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9574182-FDC0-4B94-99A7-87214522C3D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I9" i="18"/>
  <c r="I77" i="14"/>
  <c r="I9" i="59"/>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<sst xmlns="http://schemas.openxmlformats.org/spreadsheetml/2006/main" count="2420" uniqueCount="889">
  <si>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</si>
  <si>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</si>
  <si>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</si>
  <si>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</si>
  <si>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</si>
  <si>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</si>
  <si>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</si>
  <si>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</si>
  <si>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</si>
  <si>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</si>
  <si>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</si>
  <si>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</si>
  <si>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</si>
  <si>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</si>
  <si>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</si>
  <si>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</si>
  <si>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</si>
  <si>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</si>
  <si>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</si>
  <si>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</si>
  <si>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</si>
  <si>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</si>
  <si>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</si>
  <si>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</si>
  <si>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</si>
  <si>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</si>
  <si>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</si>
  <si>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</si>
  <si>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</si>
  <si>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</si>
  <si>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</si>
  <si>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</si>
  <si>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</si>
  <si>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</si>
  <si>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</si>
  <si>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</si>
  <si>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</si>
  <si>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</si>
  <si>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</si>
  <si>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</si>
  <si>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</si>
  <si>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</si>
  <si>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</si>
  <si>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</si>
  <si>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</si>
  <si>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</si>
  <si>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</si>
  <si>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</si>
  <si>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</si>
  <si>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</si>
  <si>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</si>
  <si>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</si>
  <si>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</si>
  <si>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</si>
  <si>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</si>
  <si>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</si>
  <si>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</si>
  <si>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</si>
  <si>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</si>
  <si>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</si>
  <si>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</si>
  <si>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</si>
  <si>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</si>
  <si>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</si>
  <si>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</si>
  <si>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</si>
  <si>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</si>
  <si>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</si>
  <si>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</si>
  <si>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</si>
  <si>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</si>
  <si>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</si>
  <si>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</si>
  <si>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</si>
  <si>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</si>
  <si>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</si>
  <si>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</si>
  <si>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</si>
  <si>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</si>
  <si>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</si>
  <si>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</si>
  <si>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</si>
  <si>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</si>
  <si>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</si>
  <si>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</si>
  <si>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</si>
  <si>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</si>
  <si>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</si>
  <si>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</si>
  <si>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</si>
  <si>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</si>
  <si>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</si>
  <si>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</si>
  <si>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</si>
  <si>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</si>
  <si>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</si>
  <si>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</si>
  <si>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</si>
  <si>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</si>
  <si>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</si>
  <si>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</si>
  <si>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</si>
  <si>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</si>
  <si>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</si>
  <si>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</si>
  <si>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</si>
  <si>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</si>
  <si>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</si>
  <si>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</si>
  <si>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</si>
  <si>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</si>
  <si>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</si>
  <si>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</si>
  <si>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</si>
  <si>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</si>
  <si>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</si>
  <si>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</si>
  <si>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</si>
  <si>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</si>
  <si>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</si>
  <si>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</si>
  <si>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</si>
  <si>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</si>
  <si>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</si>
  <si>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</si>
  <si>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</si>
  <si>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</si>
  <si>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</si>
  <si>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</si>
  <si>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</si>
  <si>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</si>
  <si>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</si>
  <si>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</si>
  <si>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</si>
  <si>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</si>
  <si>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</si>
  <si>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</si>
  <si>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</si>
  <si>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</si>
  <si>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</si>
  <si>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</si>
  <si>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</si>
  <si>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</si>
  <si>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</si>
  <si>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</si>
  <si>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</si>
  <si>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</si>
  <si>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</si>
  <si>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</si>
  <si>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</si>
  <si>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</si>
  <si>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</si>
  <si>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</si>
  <si>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</si>
  <si>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</si>
  <si>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</si>
  <si>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</si>
  <si>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</si>
  <si>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</si>
  <si>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</si>
  <si>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</si>
  <si>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</si>
  <si>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</si>
  <si>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</si>
  <si>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</si>
  <si>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</si>
  <si>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</si>
  <si>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</si>
  <si>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</si>
  <si>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</si>
  <si>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</si>
  <si>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</si>
  <si>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</si>
  <si>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</si>
  <si>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</si>
  <si>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</si>
  <si>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</si>
  <si>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</si>
  <si>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</si>
  <si>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</si>
  <si>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</si>
  <si>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</si>
  <si>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</si>
  <si>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</si>
  <si>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</si>
  <si>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</si>
  <si>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</si>
  <si>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</si>
  <si>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</si>
  <si>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</si>
  <si>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</si>
  <si>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</si>
  <si>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</si>
  <si>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</si>
  <si>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</si>
  <si>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</si>
  <si>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</si>
  <si>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</si>
  <si>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</si>
  <si>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</si>
  <si>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</si>
  <si>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</si>
  <si>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</si>
  <si>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</si>
  <si>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</si>
  <si>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</si>
  <si>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</si>
  <si>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</si>
  <si>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</si>
  <si>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</si>
  <si>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</si>
  <si>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</si>
  <si>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</si>
  <si>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</si>
  <si>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</si>
  <si>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</si>
  <si>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</si>
  <si>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</si>
  <si>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</si>
  <si>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</si>
  <si>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</si>
  <si>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</si>
  <si>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</si>
  <si>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</si>
  <si>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</si>
  <si>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</si>
  <si>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</si>
  <si>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</si>
  <si>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</si>
  <si>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</si>
  <si>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</si>
  <si>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</si>
  <si>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</si>
  <si>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</si>
  <si>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</si>
  <si>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</si>
  <si>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</si>
  <si>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</si>
  <si>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</si>
  <si>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</si>
  <si>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</si>
  <si>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</si>
  <si>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</si>
  <si>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</si>
  <si>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</si>
  <si>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</si>
  <si>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</si>
  <si>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</si>
  <si>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</si>
  <si>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</si>
  <si>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</si>
  <si>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</si>
  <si>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</si>
  <si>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</si>
  <si>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</si>
  <si>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</si>
  <si>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</si>
  <si>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</si>
  <si>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</si>
  <si>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</si>
  <si>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</si>
  <si>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</si>
  <si>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</si>
  <si>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</si>
  <si>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</si>
  <si>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</si>
  <si>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</si>
  <si>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</si>
  <si>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</si>
  <si>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</si>
  <si>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</si>
  <si>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</si>
  <si>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</si>
  <si>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</si>
  <si>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</si>
  <si>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</si>
  <si>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</si>
  <si>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</si>
  <si>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</si>
  <si>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</si>
  <si>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</si>
  <si>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</si>
  <si>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</si>
  <si>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</si>
  <si>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</si>
  <si>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</si>
  <si>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</si>
  <si>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</si>
  <si>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</si>
  <si>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</si>
  <si>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</si>
  <si>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</si>
  <si>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</si>
  <si>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</si>
  <si>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</si>
  <si>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</si>
  <si>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</si>
  <si>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</si>
  <si>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</si>
  <si>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</si>
  <si>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</si>
  <si>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</si>
  <si>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</si>
  <si>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</si>
  <si>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</si>
  <si>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</si>
  <si>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</si>
  <si>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</si>
  <si>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</si>
  <si>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</si>
  <si>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</si>
  <si>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</si>
  <si>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</si>
  <si>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</si>
  <si>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</si>
  <si>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</si>
  <si>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</si>
  <si>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</si>
  <si>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</si>
  <si>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</si>
  <si>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</si>
  <si>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</si>
  <si>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</si>
  <si>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</si>
  <si>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</si>
  <si>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</si>
  <si>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</si>
  <si>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</si>
  <si>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</si>
  <si>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</si>
  <si>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</si>
  <si>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</si>
  <si>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</si>
  <si>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</si>
  <si>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</si>
  <si>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</si>
  <si>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</si>
  <si>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</si>
  <si>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</si>
  <si>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</si>
  <si>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</si>
  <si>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</si>
  <si>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</si>
  <si>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</si>
  <si>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</si>
  <si>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</si>
  <si>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</si>
  <si>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</si>
  <si>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</si>
  <si>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</si>
  <si>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</si>
  <si>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</si>
  <si>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</si>
  <si>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</si>
  <si>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</si>
  <si>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</si>
  <si>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</si>
  <si>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</si>
  <si>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</si>
  <si>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</si>
  <si>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</si>
  <si>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</si>
  <si>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</si>
  <si>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</si>
  <si>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</si>
  <si>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</si>
  <si>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</si>
  <si>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</si>
  <si>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</si>
  <si>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</si>
  <si>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</si>
  <si>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</si>
  <si>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</si>
  <si>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</si>
  <si>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</si>
  <si>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</si>
  <si>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</si>
  <si>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</si>
  <si>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</si>
  <si>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</si>
  <si>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</si>
  <si>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</si>
  <si>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</si>
  <si>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</si>
  <si>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</si>
  <si>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</si>
  <si>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</si>
  <si>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</si>
  <si>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</si>
  <si>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</si>
  <si>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</si>
  <si>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</si>
  <si>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</si>
  <si>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</si>
  <si>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</si>
  <si>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</si>
  <si>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</si>
  <si>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</si>
  <si>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</si>
  <si>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</si>
  <si>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</si>
  <si>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</si>
  <si>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</si>
  <si>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</si>
  <si>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</si>
  <si>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</si>
  <si>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</si>
  <si>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</si>
  <si>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</si>
  <si>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</si>
  <si>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</si>
  <si>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</si>
  <si>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</si>
  <si>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</si>
  <si>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</si>
  <si>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</si>
  <si>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</si>
  <si>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</si>
  <si>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</si>
  <si>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</si>
  <si>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</si>
  <si>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</si>
  <si>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</si>
  <si>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</si>
  <si>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</si>
  <si>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</si>
  <si>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</si>
  <si>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</si>
  <si>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</si>
  <si>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</si>
  <si>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</si>
  <si>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</si>
  <si>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</si>
  <si>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</si>
  <si>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</si>
  <si>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</si>
  <si>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</si>
  <si>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</si>
  <si>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</si>
  <si>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</si>
  <si>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</si>
  <si>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</si>
  <si>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</si>
  <si>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</si>
  <si>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</si>
  <si>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</si>
  <si>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</si>
  <si>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</si>
  <si>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</si>
  <si>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</si>
  <si>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</si>
  <si>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</si>
  <si>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</si>
  <si>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</si>
  <si>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</si>
  <si>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</si>
  <si>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</si>
  <si>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</si>
  <si>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</si>
  <si>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</si>
  <si>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</si>
  <si>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</si>
  <si>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</si>
  <si>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</si>
  <si>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</si>
  <si>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</si>
  <si>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</si>
  <si>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</si>
  <si>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</si>
  <si>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</si>
  <si>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</si>
  <si>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</si>
  <si>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</si>
  <si>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</si>
  <si>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</si>
  <si>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</si>
  <si>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</si>
  <si>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</si>
  <si>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</si>
  <si>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</si>
  <si>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</si>
  <si>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</si>
  <si>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</si>
  <si>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</si>
  <si>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</si>
  <si>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</si>
  <si>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</si>
  <si>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</si>
  <si>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</si>
  <si>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</si>
  <si>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</si>
  <si>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</si>
  <si>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</si>
  <si>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</si>
  <si>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</si>
  <si>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</si>
  <si>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</si>
  <si>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</si>
  <si>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</si>
  <si>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</si>
  <si>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</si>
  <si>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</si>
  <si>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</si>
  <si>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</si>
  <si>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</si>
  <si>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</si>
  <si>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</si>
  <si>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</si>
  <si>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</si>
  <si>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</si>
  <si>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</si>
  <si>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</si>
  <si>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</si>
  <si>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</si>
  <si>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</si>
  <si>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</si>
  <si>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</si>
  <si>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</si>
  <si>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</si>
  <si>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</si>
  <si>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</si>
  <si>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</si>
  <si>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</si>
  <si>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</si>
  <si>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</si>
  <si>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</si>
  <si>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</si>
  <si>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</si>
  <si>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</si>
  <si>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</si>
  <si>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</si>
  <si>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</si>
  <si>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</si>
  <si>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</si>
  <si>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</si>
  <si>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</si>
  <si>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</si>
  <si>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</si>
  <si>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</si>
  <si>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</si>
  <si>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</si>
  <si>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</si>
  <si>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</si>
  <si>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</si>
  <si>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</si>
  <si>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</si>
  <si>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</si>
  <si>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</si>
  <si>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</si>
  <si>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</si>
  <si>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</si>
  <si>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</si>
  <si>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</si>
  <si>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</si>
  <si>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</si>
  <si>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</si>
  <si>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</si>
  <si>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</si>
  <si>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</si>
  <si>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</si>
  <si>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</si>
  <si>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</si>
  <si>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</si>
  <si>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</si>
  <si>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</si>
  <si>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</si>
  <si>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</si>
  <si>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</si>
  <si>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</si>
  <si>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</si>
  <si>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</si>
  <si>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</si>
  <si>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</si>
  <si>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</si>
  <si>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</si>
  <si>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</si>
  <si>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</si>
  <si>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</si>
  <si>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</si>
  <si>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</si>
  <si>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</si>
  <si>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</si>
  <si>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</si>
  <si>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</si>
  <si>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</si>
  <si>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</si>
  <si>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</si>
  <si>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</si>
  <si>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</si>
  <si>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</si>
  <si>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</si>
  <si>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</si>
  <si>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</si>
  <si>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</si>
  <si>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</si>
  <si>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</si>
  <si>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</si>
  <si>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</si>
  <si>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</si>
  <si>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</si>
  <si>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</si>
  <si>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</si>
  <si>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</si>
  <si>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</si>
  <si>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</si>
  <si>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</si>
  <si>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</si>
  <si>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</si>
  <si>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</si>
  <si>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</si>
  <si>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</si>
  <si>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</si>
  <si>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</si>
  <si>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</si>
  <si>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</si>
  <si>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</si>
  <si>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</si>
  <si>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</si>
  <si>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</si>
  <si>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</si>
  <si>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</si>
  <si>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</si>
  <si>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</si>
  <si>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</si>
  <si>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</si>
  <si>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</si>
  <si>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</si>
  <si>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</si>
  <si>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</si>
  <si>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</si>
  <si>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</si>
  <si>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</si>
  <si>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</si>
  <si>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</si>
  <si>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</si>
  <si>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</si>
  <si>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</si>
  <si>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</si>
  <si>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</si>
  <si>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</si>
  <si>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</si>
  <si>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</si>
  <si>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</si>
  <si>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</si>
  <si>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</si>
  <si>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</si>
  <si>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</si>
  <si>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</si>
  <si>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</si>
  <si>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</si>
  <si>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</si>
  <si>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</si>
  <si>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</si>
  <si>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</si>
  <si>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</si>
  <si>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</si>
  <si>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</si>
  <si>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</si>
  <si>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</si>
  <si>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</si>
  <si>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</si>
  <si>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</si>
  <si>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</si>
  <si>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</si>
  <si>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</si>
  <si>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</si>
  <si>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</si>
  <si>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</si>
  <si>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</si>
  <si>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</si>
  <si>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</si>
  <si>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</si>
  <si>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</si>
  <si>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</si>
  <si>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</si>
  <si>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</si>
  <si>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</si>
  <si>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</si>
  <si>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</si>
  <si>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</si>
  <si>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</si>
  <si>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</si>
  <si>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</si>
  <si>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</si>
  <si>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</si>
  <si>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</si>
  <si>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</si>
  <si>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</si>
  <si>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</si>
  <si>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</si>
  <si>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</si>
  <si>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</si>
  <si>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</si>
  <si>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</si>
  <si>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</si>
  <si>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</si>
  <si>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</si>
  <si>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</si>
  <si>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</si>
  <si>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</si>
  <si>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</si>
  <si>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</si>
  <si>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</si>
  <si>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</si>
  <si>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</si>
  <si>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</si>
  <si>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</si>
  <si>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</si>
  <si>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</si>
  <si>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</si>
  <si>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</si>
  <si>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</si>
  <si>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</si>
  <si>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</si>
  <si>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</si>
  <si>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</si>
  <si>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</si>
  <si>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</si>
  <si>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</si>
  <si>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</si>
  <si>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</si>
  <si>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</si>
  <si>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</si>
  <si>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</si>
  <si>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</si>
  <si>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</si>
  <si>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</si>
  <si>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</si>
  <si>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</si>
  <si>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</si>
  <si>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</si>
  <si>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</si>
  <si>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</si>
  <si>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</si>
  <si>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</si>
  <si>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</si>
  <si>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</si>
  <si>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</si>
  <si>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</si>
  <si>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</si>
  <si>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</si>
  <si>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</si>
  <si>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</si>
  <si>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</si>
  <si>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</si>
  <si>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</si>
  <si>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</si>
  <si>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</si>
  <si>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</si>
  <si>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</si>
  <si>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</si>
  <si>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</si>
  <si>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</si>
  <si>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</si>
  <si>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</si>
  <si>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</si>
  <si>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</si>
  <si>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</si>
  <si>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</si>
  <si>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</si>
  <si>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</si>
  <si>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</si>
  <si>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</si>
  <si>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</si>
  <si>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</si>
  <si>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</si>
  <si>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</si>
  <si>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</si>
  <si>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</si>
  <si>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</si>
  <si>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</si>
  <si>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</si>
  <si>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</si>
  <si>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</si>
  <si>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</si>
  <si>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</si>
  <si>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</si>
  <si>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</si>
  <si>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</si>
  <si>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</si>
  <si>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</si>
  <si>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</si>
  <si>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</si>
  <si>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</si>
  <si>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</si>
  <si>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</si>
  <si>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</si>
  <si>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</si>
  <si>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</si>
  <si>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</si>
  <si>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</si>
  <si>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</si>
  <si>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</si>
  <si>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</si>
  <si>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</si>
  <si>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</si>
  <si>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</si>
  <si>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</si>
  <si>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</si>
  <si>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</si>
  <si>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</si>
  <si>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</si>
  <si>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</si>
  <si>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</si>
  <si>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</si>
  <si>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</si>
  <si>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</si>
  <si>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</si>
  <si>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</si>
  <si>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</si>
  <si>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</si>
  <si>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</si>
  <si>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</si>
  <si>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</si>
  <si>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</si>
  <si>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</si>
  <si>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</si>
  <si>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</si>
  <si>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</si>
  <si>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</si>
  <si>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</si>
  <si>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</si>
  <si>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</si>
  <si>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</si>
  <si>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</si>
  <si>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</si>
  <si>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</si>
  <si>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</si>
  <si>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</si>
  <si>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</si>
  <si>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</si>
  <si>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</si>
  <si>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</si>
  <si>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</si>
  <si>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</si>
  <si>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</si>
  <si>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</si>
  <si>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</si>
  <si>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</si>
  <si>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</si>
  <si>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</si>
  <si>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</si>
  <si>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</si>
  <si>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</si>
  <si>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</si>
  <si>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</si>
  <si>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</si>
  <si>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</si>
  <si>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</si>
  <si>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</si>
  <si>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</si>
  <si>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</si>
  <si>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</si>
  <si>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</si>
  <si>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</si>
  <si>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</si>
  <si>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</si>
  <si>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</si>
  <si>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</si>
  <si>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</si>
  <si>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</si>
  <si>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</si>
  <si>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</si>
  <si>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</si>
  <si>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</si>
  <si>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</si>
  <si>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</si>
  <si>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</si>
  <si>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</si>
  <si>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</si>
  <si>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</si>
  <si>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</si>
  <si>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</si>
  <si>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</si>
  <si>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</si>
  <si>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</si>
  <si>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</si>
  <si>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</si>
  <si>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</si>
  <si>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</si>
  <si>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45041</t>
  </si>
  <si>
    <t>RONSE</t>
  </si>
  <si>
    <t>vloeibaar gas (MWh)</t>
  </si>
  <si>
    <t>stirlingmotor</t>
  </si>
  <si>
    <t>GASELWEST</t>
  </si>
  <si>
    <t>interne verbrandingsmotor</t>
  </si>
  <si>
    <t>WKK interne verbrandinsgmotor (gas)</t>
  </si>
  <si>
    <t>Interne verbrandingsmotor</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</si>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</sst>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5F71C1DE-1429-449A-8440-E613DFB468C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192875.35000592159</c:v>
                </c:pt>
                <c:pt idx="1">
                  <c:v>89098.013541933178</c:v>
                </c:pt>
                <c:pt idx="2">
                  <c:v>1809.4870000000001</c:v>
                </c:pt>
                <c:pt idx="3">
                  <c:v>1838.8446604312505</c:v>
                </c:pt>
                <c:pt idx="4">
                  <c:v>155845.38128557539</c:v>
                </c:pt>
                <c:pt idx="5">
                  <c:v>107681.5256105322</c:v>
                </c:pt>
                <c:pt idx="6">
                  <c:v>751.30562370175517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192875.35000592159</c:v>
                </c:pt>
                <c:pt idx="1">
                  <c:v>89098.013541933178</c:v>
                </c:pt>
                <c:pt idx="2">
                  <c:v>1809.4870000000001</c:v>
                </c:pt>
                <c:pt idx="3">
                  <c:v>1838.8446604312505</c:v>
                </c:pt>
                <c:pt idx="4">
                  <c:v>155845.38128557539</c:v>
                </c:pt>
                <c:pt idx="5">
                  <c:v>107681.5256105322</c:v>
                </c:pt>
                <c:pt idx="6">
                  <c:v>751.30562370175517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39086.90012302094</c:v>
                </c:pt>
                <c:pt idx="1">
                  <c:v>18307.945304100336</c:v>
                </c:pt>
                <c:pt idx="2">
                  <c:v>378.83489653758807</c:v>
                </c:pt>
                <c:pt idx="3">
                  <c:v>471.16430463703944</c:v>
                </c:pt>
                <c:pt idx="4">
                  <c:v>32179.017262650112</c:v>
                </c:pt>
                <c:pt idx="5">
                  <c:v>26920.072390575853</c:v>
                </c:pt>
                <c:pt idx="6">
                  <c:v>189.43964130293219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39086.90012302094</c:v>
                </c:pt>
                <c:pt idx="1">
                  <c:v>18307.945304100336</c:v>
                </c:pt>
                <c:pt idx="2">
                  <c:v>378.83489653758807</c:v>
                </c:pt>
                <c:pt idx="3">
                  <c:v>471.16430463703944</c:v>
                </c:pt>
                <c:pt idx="4">
                  <c:v>32179.017262650112</c:v>
                </c:pt>
                <c:pt idx="5">
                  <c:v>26920.072390575853</c:v>
                </c:pt>
                <c:pt idx="6">
                  <c:v>189.43964130293219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45041</v>
      </c>
      <c r="B6" s="382"/>
      <c r="C6" s="383"/>
    </row>
    <row r="7" spans="1:7" s="380" customFormat="1" ht="15.75" customHeight="1">
      <c r="A7" s="384" t="str">
        <f>txtMunicipality</f>
        <v>RONSE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0.20936038586493744</v>
      </c>
      <c r="C17" s="492">
        <f ca="1">'EF ele_warmte'!B22</f>
        <v>0.23743589743589752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0.20936038586493744</v>
      </c>
      <c r="C29" s="493">
        <f ca="1">'EF ele_warmte'!B22</f>
        <v>0.23743589743589752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10685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1465.12</v>
      </c>
      <c r="C14" s="324"/>
      <c r="D14" s="324"/>
      <c r="E14" s="324"/>
      <c r="F14" s="324"/>
    </row>
    <row r="15" spans="1:6">
      <c r="A15" s="1257" t="s">
        <v>177</v>
      </c>
      <c r="B15" s="1258">
        <v>13</v>
      </c>
      <c r="C15" s="324"/>
      <c r="D15" s="324"/>
      <c r="E15" s="324"/>
      <c r="F15" s="324"/>
    </row>
    <row r="16" spans="1:6">
      <c r="A16" s="1257" t="s">
        <v>6</v>
      </c>
      <c r="B16" s="1258">
        <v>320</v>
      </c>
      <c r="C16" s="324"/>
      <c r="D16" s="324"/>
      <c r="E16" s="324"/>
      <c r="F16" s="324"/>
    </row>
    <row r="17" spans="1:6">
      <c r="A17" s="1257" t="s">
        <v>7</v>
      </c>
      <c r="B17" s="1258">
        <v>422</v>
      </c>
      <c r="C17" s="324"/>
      <c r="D17" s="324"/>
      <c r="E17" s="324"/>
      <c r="F17" s="324"/>
    </row>
    <row r="18" spans="1:6">
      <c r="A18" s="1257" t="s">
        <v>8</v>
      </c>
      <c r="B18" s="1258">
        <v>540</v>
      </c>
      <c r="C18" s="324"/>
      <c r="D18" s="324"/>
      <c r="E18" s="324"/>
      <c r="F18" s="324"/>
    </row>
    <row r="19" spans="1:6">
      <c r="A19" s="1257" t="s">
        <v>9</v>
      </c>
      <c r="B19" s="1258">
        <v>458</v>
      </c>
      <c r="C19" s="324"/>
      <c r="D19" s="324"/>
      <c r="E19" s="324"/>
      <c r="F19" s="324"/>
    </row>
    <row r="20" spans="1:6">
      <c r="A20" s="1257" t="s">
        <v>10</v>
      </c>
      <c r="B20" s="1258">
        <v>352</v>
      </c>
      <c r="C20" s="324"/>
      <c r="D20" s="324"/>
      <c r="E20" s="324"/>
      <c r="F20" s="324"/>
    </row>
    <row r="21" spans="1:6">
      <c r="A21" s="1257" t="s">
        <v>11</v>
      </c>
      <c r="B21" s="1258">
        <v>302</v>
      </c>
      <c r="C21" s="324"/>
      <c r="D21" s="324"/>
      <c r="E21" s="324"/>
      <c r="F21" s="324"/>
    </row>
    <row r="22" spans="1:6">
      <c r="A22" s="1257" t="s">
        <v>12</v>
      </c>
      <c r="B22" s="1258">
        <v>910</v>
      </c>
      <c r="C22" s="324"/>
      <c r="D22" s="324"/>
      <c r="E22" s="324"/>
      <c r="F22" s="324"/>
    </row>
    <row r="23" spans="1:6">
      <c r="A23" s="1257" t="s">
        <v>13</v>
      </c>
      <c r="B23" s="1258">
        <v>13</v>
      </c>
      <c r="C23" s="324"/>
      <c r="D23" s="324"/>
      <c r="E23" s="324"/>
      <c r="F23" s="324"/>
    </row>
    <row r="24" spans="1:6">
      <c r="A24" s="1257" t="s">
        <v>14</v>
      </c>
      <c r="B24" s="1258">
        <v>1</v>
      </c>
      <c r="C24" s="324"/>
      <c r="D24" s="324"/>
      <c r="E24" s="324"/>
      <c r="F24" s="324"/>
    </row>
    <row r="25" spans="1:6">
      <c r="A25" s="1257" t="s">
        <v>15</v>
      </c>
      <c r="B25" s="1258">
        <v>102</v>
      </c>
      <c r="C25" s="324"/>
      <c r="D25" s="324"/>
      <c r="E25" s="324"/>
      <c r="F25" s="324"/>
    </row>
    <row r="26" spans="1:6">
      <c r="A26" s="1257" t="s">
        <v>16</v>
      </c>
      <c r="B26" s="1258">
        <v>124</v>
      </c>
      <c r="C26" s="324"/>
      <c r="D26" s="324"/>
      <c r="E26" s="324"/>
      <c r="F26" s="324"/>
    </row>
    <row r="27" spans="1:6">
      <c r="A27" s="1257" t="s">
        <v>17</v>
      </c>
      <c r="B27" s="1258">
        <v>63</v>
      </c>
      <c r="C27" s="324"/>
      <c r="D27" s="324"/>
      <c r="E27" s="324"/>
      <c r="F27" s="324"/>
    </row>
    <row r="28" spans="1:6">
      <c r="A28" s="1257" t="s">
        <v>18</v>
      </c>
      <c r="B28" s="1259">
        <v>6</v>
      </c>
      <c r="C28" s="324"/>
      <c r="D28" s="324"/>
      <c r="E28" s="324"/>
      <c r="F28" s="324"/>
    </row>
    <row r="29" spans="1:6">
      <c r="A29" s="1257" t="s">
        <v>664</v>
      </c>
      <c r="B29" s="1259">
        <v>72</v>
      </c>
      <c r="C29" s="324"/>
      <c r="D29" s="324"/>
      <c r="E29" s="324"/>
      <c r="F29" s="324"/>
    </row>
    <row r="30" spans="1:6">
      <c r="A30" s="1252" t="s">
        <v>665</v>
      </c>
      <c r="B30" s="1260">
        <v>20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3</v>
      </c>
      <c r="D36" s="1258">
        <v>913539.96299999999</v>
      </c>
      <c r="E36" s="1258">
        <v>4</v>
      </c>
      <c r="F36" s="1258">
        <v>11896.495000000001</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2270.3850000000002</v>
      </c>
    </row>
    <row r="39" spans="1:6">
      <c r="A39" s="1257" t="s">
        <v>29</v>
      </c>
      <c r="B39" s="1257" t="s">
        <v>30</v>
      </c>
      <c r="C39" s="1258">
        <v>8141</v>
      </c>
      <c r="D39" s="1258">
        <v>112484826.09999999</v>
      </c>
      <c r="E39" s="1258">
        <v>10785</v>
      </c>
      <c r="F39" s="1258">
        <v>34166835.240000002</v>
      </c>
    </row>
    <row r="40" spans="1:6">
      <c r="A40" s="1257" t="s">
        <v>29</v>
      </c>
      <c r="B40" s="1257" t="s">
        <v>28</v>
      </c>
      <c r="C40" s="1258">
        <v>0</v>
      </c>
      <c r="D40" s="1258">
        <v>0</v>
      </c>
      <c r="E40" s="1258">
        <v>0</v>
      </c>
      <c r="F40" s="1258">
        <v>0</v>
      </c>
    </row>
    <row r="41" spans="1:6">
      <c r="A41" s="1257" t="s">
        <v>31</v>
      </c>
      <c r="B41" s="1257" t="s">
        <v>32</v>
      </c>
      <c r="C41" s="1258">
        <v>118</v>
      </c>
      <c r="D41" s="1258">
        <v>1844309.5830000001</v>
      </c>
      <c r="E41" s="1258">
        <v>231</v>
      </c>
      <c r="F41" s="1258">
        <v>3385884.9539999999</v>
      </c>
    </row>
    <row r="42" spans="1:6">
      <c r="A42" s="1257" t="s">
        <v>31</v>
      </c>
      <c r="B42" s="1257" t="s">
        <v>33</v>
      </c>
      <c r="C42" s="1258">
        <v>3</v>
      </c>
      <c r="D42" s="1258">
        <v>776709.99</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16386.192999999999</v>
      </c>
      <c r="E44" s="1258">
        <v>13</v>
      </c>
      <c r="F44" s="1258">
        <v>337391.38199999998</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5</v>
      </c>
      <c r="D47" s="1258">
        <v>139889.921</v>
      </c>
      <c r="E47" s="1258">
        <v>9</v>
      </c>
      <c r="F47" s="1258">
        <v>86939.573999999993</v>
      </c>
    </row>
    <row r="48" spans="1:6">
      <c r="A48" s="1257" t="s">
        <v>31</v>
      </c>
      <c r="B48" s="1257" t="s">
        <v>28</v>
      </c>
      <c r="C48" s="1258">
        <v>45</v>
      </c>
      <c r="D48" s="1258">
        <v>79981466.849999994</v>
      </c>
      <c r="E48" s="1258">
        <v>52</v>
      </c>
      <c r="F48" s="1258">
        <v>20902024.809999999</v>
      </c>
    </row>
    <row r="49" spans="1:6">
      <c r="A49" s="1257" t="s">
        <v>31</v>
      </c>
      <c r="B49" s="1257" t="s">
        <v>39</v>
      </c>
      <c r="C49" s="1258">
        <v>3</v>
      </c>
      <c r="D49" s="1258">
        <v>15042524.939999999</v>
      </c>
      <c r="E49" s="1258">
        <v>25</v>
      </c>
      <c r="F49" s="1258">
        <v>33655212.890000001</v>
      </c>
    </row>
    <row r="50" spans="1:6">
      <c r="A50" s="1257" t="s">
        <v>31</v>
      </c>
      <c r="B50" s="1257" t="s">
        <v>40</v>
      </c>
      <c r="C50" s="1258">
        <v>9</v>
      </c>
      <c r="D50" s="1258">
        <v>419479.76199999999</v>
      </c>
      <c r="E50" s="1258">
        <v>10</v>
      </c>
      <c r="F50" s="1258">
        <v>241308.23199999999</v>
      </c>
    </row>
    <row r="51" spans="1:6">
      <c r="A51" s="1257" t="s">
        <v>41</v>
      </c>
      <c r="B51" s="1257" t="s">
        <v>42</v>
      </c>
      <c r="C51" s="1258">
        <v>5</v>
      </c>
      <c r="D51" s="1258">
        <v>67488.403999999995</v>
      </c>
      <c r="E51" s="1258">
        <v>34</v>
      </c>
      <c r="F51" s="1258">
        <v>322443.61499999999</v>
      </c>
    </row>
    <row r="52" spans="1:6">
      <c r="A52" s="1257" t="s">
        <v>41</v>
      </c>
      <c r="B52" s="1257" t="s">
        <v>28</v>
      </c>
      <c r="C52" s="1258">
        <v>4</v>
      </c>
      <c r="D52" s="1258">
        <v>61613.828999999998</v>
      </c>
      <c r="E52" s="1258">
        <v>8</v>
      </c>
      <c r="F52" s="1258">
        <v>31805.675999999999</v>
      </c>
    </row>
    <row r="53" spans="1:6">
      <c r="A53" s="1257" t="s">
        <v>43</v>
      </c>
      <c r="B53" s="1257" t="s">
        <v>44</v>
      </c>
      <c r="C53" s="1258">
        <v>274</v>
      </c>
      <c r="D53" s="1258">
        <v>7195360.6519999998</v>
      </c>
      <c r="E53" s="1258">
        <v>488</v>
      </c>
      <c r="F53" s="1258">
        <v>1419765.689</v>
      </c>
    </row>
    <row r="54" spans="1:6">
      <c r="A54" s="1257" t="s">
        <v>45</v>
      </c>
      <c r="B54" s="1257" t="s">
        <v>46</v>
      </c>
      <c r="C54" s="1258">
        <v>0</v>
      </c>
      <c r="D54" s="1258">
        <v>0</v>
      </c>
      <c r="E54" s="1258">
        <v>1</v>
      </c>
      <c r="F54" s="1258">
        <v>1809487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124</v>
      </c>
      <c r="D57" s="1258">
        <v>12641024.77</v>
      </c>
      <c r="E57" s="1258">
        <v>188</v>
      </c>
      <c r="F57" s="1258">
        <v>5583700.6519999998</v>
      </c>
    </row>
    <row r="58" spans="1:6">
      <c r="A58" s="1257" t="s">
        <v>48</v>
      </c>
      <c r="B58" s="1257" t="s">
        <v>50</v>
      </c>
      <c r="C58" s="1258">
        <v>61</v>
      </c>
      <c r="D58" s="1258">
        <v>7341308.9469999997</v>
      </c>
      <c r="E58" s="1258">
        <v>85</v>
      </c>
      <c r="F58" s="1258">
        <v>6107704.9280000003</v>
      </c>
    </row>
    <row r="59" spans="1:6">
      <c r="A59" s="1257" t="s">
        <v>48</v>
      </c>
      <c r="B59" s="1257" t="s">
        <v>51</v>
      </c>
      <c r="C59" s="1258">
        <v>197</v>
      </c>
      <c r="D59" s="1258">
        <v>6280154.6600000001</v>
      </c>
      <c r="E59" s="1258">
        <v>354</v>
      </c>
      <c r="F59" s="1258">
        <v>11373983.82</v>
      </c>
    </row>
    <row r="60" spans="1:6">
      <c r="A60" s="1257" t="s">
        <v>48</v>
      </c>
      <c r="B60" s="1257" t="s">
        <v>52</v>
      </c>
      <c r="C60" s="1258">
        <v>85</v>
      </c>
      <c r="D60" s="1258">
        <v>3586982.4670000002</v>
      </c>
      <c r="E60" s="1258">
        <v>112</v>
      </c>
      <c r="F60" s="1258">
        <v>2386023.574</v>
      </c>
    </row>
    <row r="61" spans="1:6">
      <c r="A61" s="1257" t="s">
        <v>48</v>
      </c>
      <c r="B61" s="1257" t="s">
        <v>53</v>
      </c>
      <c r="C61" s="1258">
        <v>278</v>
      </c>
      <c r="D61" s="1258">
        <v>13284556.35</v>
      </c>
      <c r="E61" s="1258">
        <v>530</v>
      </c>
      <c r="F61" s="1258">
        <v>4777475.3109999998</v>
      </c>
    </row>
    <row r="62" spans="1:6">
      <c r="A62" s="1257" t="s">
        <v>48</v>
      </c>
      <c r="B62" s="1257" t="s">
        <v>54</v>
      </c>
      <c r="C62" s="1258">
        <v>12</v>
      </c>
      <c r="D62" s="1258">
        <v>3322639.6940000001</v>
      </c>
      <c r="E62" s="1258">
        <v>27</v>
      </c>
      <c r="F62" s="1258">
        <v>1301243.2760000001</v>
      </c>
    </row>
    <row r="63" spans="1:6">
      <c r="A63" s="1257" t="s">
        <v>48</v>
      </c>
      <c r="B63" s="1257" t="s">
        <v>28</v>
      </c>
      <c r="C63" s="1258">
        <v>103</v>
      </c>
      <c r="D63" s="1258">
        <v>5386607.3650000002</v>
      </c>
      <c r="E63" s="1258">
        <v>88</v>
      </c>
      <c r="F63" s="1258">
        <v>1683406.4569999999</v>
      </c>
    </row>
    <row r="64" spans="1:6">
      <c r="A64" s="1257" t="s">
        <v>55</v>
      </c>
      <c r="B64" s="1257" t="s">
        <v>56</v>
      </c>
      <c r="C64" s="1258">
        <v>0</v>
      </c>
      <c r="D64" s="1258">
        <v>0</v>
      </c>
      <c r="E64" s="1258">
        <v>0</v>
      </c>
      <c r="F64" s="1258">
        <v>0</v>
      </c>
    </row>
    <row r="65" spans="1:6">
      <c r="A65" s="1257" t="s">
        <v>55</v>
      </c>
      <c r="B65" s="1257" t="s">
        <v>28</v>
      </c>
      <c r="C65" s="1258">
        <v>5</v>
      </c>
      <c r="D65" s="1258">
        <v>126400.708</v>
      </c>
      <c r="E65" s="1258">
        <v>4</v>
      </c>
      <c r="F65" s="1258">
        <v>9362.4750000000004</v>
      </c>
    </row>
    <row r="66" spans="1:6">
      <c r="A66" s="1257" t="s">
        <v>55</v>
      </c>
      <c r="B66" s="1257" t="s">
        <v>57</v>
      </c>
      <c r="C66" s="1258">
        <v>0</v>
      </c>
      <c r="D66" s="1258">
        <v>0</v>
      </c>
      <c r="E66" s="1258">
        <v>7</v>
      </c>
      <c r="F66" s="1258">
        <v>33037.637999999999</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56021091</v>
      </c>
      <c r="E73" s="442"/>
      <c r="F73" s="324"/>
    </row>
    <row r="74" spans="1:6">
      <c r="A74" s="1257" t="s">
        <v>63</v>
      </c>
      <c r="B74" s="1257" t="s">
        <v>608</v>
      </c>
      <c r="C74" s="1270" t="s">
        <v>610</v>
      </c>
      <c r="D74" s="1258">
        <v>18082928.5</v>
      </c>
      <c r="E74" s="442"/>
      <c r="F74" s="324"/>
    </row>
    <row r="75" spans="1:6">
      <c r="A75" s="1257" t="s">
        <v>64</v>
      </c>
      <c r="B75" s="1257" t="s">
        <v>607</v>
      </c>
      <c r="C75" s="1270" t="s">
        <v>611</v>
      </c>
      <c r="D75" s="1258">
        <v>17232614</v>
      </c>
      <c r="E75" s="442"/>
      <c r="F75" s="324"/>
    </row>
    <row r="76" spans="1:6">
      <c r="A76" s="1257" t="s">
        <v>64</v>
      </c>
      <c r="B76" s="1257" t="s">
        <v>608</v>
      </c>
      <c r="C76" s="1270" t="s">
        <v>612</v>
      </c>
      <c r="D76" s="1258">
        <v>1957194.5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205873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2101.2047460134427</v>
      </c>
      <c r="C91" s="324"/>
      <c r="D91" s="324"/>
      <c r="E91" s="324"/>
      <c r="F91" s="324"/>
    </row>
    <row r="92" spans="1:6">
      <c r="A92" s="1252" t="s">
        <v>68</v>
      </c>
      <c r="B92" s="1253">
        <v>4925.5819310335055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5479</v>
      </c>
      <c r="C97" s="324"/>
      <c r="D97" s="324"/>
      <c r="E97" s="324"/>
      <c r="F97" s="324"/>
    </row>
    <row r="98" spans="1:6">
      <c r="A98" s="1257" t="s">
        <v>71</v>
      </c>
      <c r="B98" s="1258">
        <v>0</v>
      </c>
      <c r="C98" s="324"/>
      <c r="D98" s="324"/>
      <c r="E98" s="324"/>
      <c r="F98" s="324"/>
    </row>
    <row r="99" spans="1:6">
      <c r="A99" s="1257" t="s">
        <v>72</v>
      </c>
      <c r="B99" s="1258">
        <v>110</v>
      </c>
      <c r="C99" s="324"/>
      <c r="D99" s="324"/>
      <c r="E99" s="324"/>
      <c r="F99" s="324"/>
    </row>
    <row r="100" spans="1:6">
      <c r="A100" s="1257" t="s">
        <v>73</v>
      </c>
      <c r="B100" s="1258">
        <v>487</v>
      </c>
      <c r="C100" s="324"/>
      <c r="D100" s="324"/>
      <c r="E100" s="324"/>
      <c r="F100" s="324"/>
    </row>
    <row r="101" spans="1:6">
      <c r="A101" s="1257" t="s">
        <v>74</v>
      </c>
      <c r="B101" s="1258">
        <v>138</v>
      </c>
      <c r="C101" s="324"/>
      <c r="D101" s="324"/>
      <c r="E101" s="324"/>
      <c r="F101" s="324"/>
    </row>
    <row r="102" spans="1:6">
      <c r="A102" s="1257" t="s">
        <v>75</v>
      </c>
      <c r="B102" s="1258">
        <v>237</v>
      </c>
      <c r="C102" s="324"/>
      <c r="D102" s="324"/>
      <c r="E102" s="324"/>
      <c r="F102" s="324"/>
    </row>
    <row r="103" spans="1:6">
      <c r="A103" s="1257" t="s">
        <v>76</v>
      </c>
      <c r="B103" s="1258">
        <v>384</v>
      </c>
      <c r="C103" s="324"/>
      <c r="D103" s="324"/>
      <c r="E103" s="324"/>
      <c r="F103" s="324"/>
    </row>
    <row r="104" spans="1:6">
      <c r="A104" s="1257" t="s">
        <v>77</v>
      </c>
      <c r="B104" s="1258">
        <v>2766</v>
      </c>
      <c r="C104" s="324"/>
      <c r="D104" s="324"/>
      <c r="E104" s="324"/>
      <c r="F104" s="324"/>
    </row>
    <row r="105" spans="1:6">
      <c r="A105" s="1252" t="s">
        <v>78</v>
      </c>
      <c r="B105" s="1260">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3</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16</v>
      </c>
      <c r="C123" s="1258">
        <v>20</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112</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14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132444.57439520376</v>
      </c>
      <c r="C3" s="43" t="s">
        <v>163</v>
      </c>
      <c r="D3" s="43"/>
      <c r="E3" s="153"/>
      <c r="F3" s="43"/>
      <c r="G3" s="43"/>
      <c r="H3" s="43"/>
      <c r="I3" s="43"/>
      <c r="J3" s="43"/>
      <c r="K3" s="96"/>
    </row>
    <row r="4" spans="1:11">
      <c r="A4" s="350" t="s">
        <v>164</v>
      </c>
      <c r="B4" s="49">
        <f>IF(ISERROR('SEAP template'!B78+'SEAP template'!C78),0,'SEAP template'!B78+'SEAP template'!C78)</f>
        <v>7715.2866770469482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163.47461538461539</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0.20936038586493744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237.35109890109894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999.642857142857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0.23743589743589752</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1809.4870000000001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1809.4870000000001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0.20936038586493744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378.83489653758807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34166.83524</v>
      </c>
      <c r="C5" s="17">
        <f>IF(ISERROR('Eigen informatie GS &amp; warmtenet'!B59),0,'Eigen informatie GS &amp; warmtenet'!B59)</f>
        <v>0</v>
      </c>
      <c r="D5" s="30">
        <f>(SUM(HH_hh_gas_kWh,HH_rest_gas_kWh)/1000)*0.902</f>
        <v>101461.3131422</v>
      </c>
      <c r="E5" s="17">
        <f>B32*B41</f>
        <v>2036.7491130806109</v>
      </c>
      <c r="F5" s="17">
        <f>B36*B45</f>
        <v>39195.807139229204</v>
      </c>
      <c r="G5" s="18"/>
      <c r="H5" s="17"/>
      <c r="I5" s="17"/>
      <c r="J5" s="17">
        <f>B35*B44+C35*C44</f>
        <v>200.56911699516826</v>
      </c>
      <c r="K5" s="17"/>
      <c r="L5" s="17"/>
      <c r="M5" s="17"/>
      <c r="N5" s="17">
        <f>B34*B43+C34*C43</f>
        <v>13124.436284905814</v>
      </c>
      <c r="O5" s="17">
        <f>B52*B53*B54</f>
        <v>261.88248495908823</v>
      </c>
      <c r="P5" s="17">
        <f>B60*B61*B62/1000-B60*B61*B62/1000/B63</f>
        <v>326.5527385382357</v>
      </c>
    </row>
    <row r="6" spans="1:16">
      <c r="A6" s="16" t="s">
        <v>573</v>
      </c>
      <c r="B6" s="738">
        <f>kWh_PV_kleiner_dan_10kW</f>
        <v>2101.2047460134427</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36268.039986013442</v>
      </c>
      <c r="C8" s="21">
        <f>C5</f>
        <v>0</v>
      </c>
      <c r="D8" s="21">
        <f>D5</f>
        <v>101461.3131422</v>
      </c>
      <c r="E8" s="21">
        <f>E5</f>
        <v>2036.7491130806109</v>
      </c>
      <c r="F8" s="21">
        <f>F5</f>
        <v>39195.807139229204</v>
      </c>
      <c r="G8" s="21"/>
      <c r="H8" s="21"/>
      <c r="I8" s="21"/>
      <c r="J8" s="21">
        <f>J5</f>
        <v>200.56911699516826</v>
      </c>
      <c r="K8" s="21"/>
      <c r="L8" s="21">
        <f>L5</f>
        <v>0</v>
      </c>
      <c r="M8" s="21">
        <f>M5</f>
        <v>0</v>
      </c>
      <c r="N8" s="21">
        <f>N5</f>
        <v>13124.436284905814</v>
      </c>
      <c r="O8" s="21">
        <f>O5</f>
        <v>261.88248495908823</v>
      </c>
      <c r="P8" s="21">
        <f>P5</f>
        <v>326.5527385382357</v>
      </c>
    </row>
    <row r="9" spans="1:16">
      <c r="B9" s="19"/>
      <c r="C9" s="19"/>
      <c r="D9" s="255"/>
      <c r="E9" s="19"/>
      <c r="F9" s="19"/>
      <c r="G9" s="19"/>
      <c r="H9" s="19"/>
      <c r="I9" s="19"/>
      <c r="J9" s="19"/>
      <c r="K9" s="19"/>
      <c r="L9" s="19"/>
      <c r="M9" s="19"/>
      <c r="N9" s="19"/>
      <c r="O9" s="19"/>
      <c r="P9" s="19"/>
    </row>
    <row r="10" spans="1:16">
      <c r="A10" s="24" t="s">
        <v>207</v>
      </c>
      <c r="B10" s="25">
        <f ca="1">'EF ele_warmte'!B12</f>
        <v>0.20936038586493744</v>
      </c>
      <c r="C10" s="25">
        <f ca="1">'EF ele_warmte'!B22</f>
        <v>0.23743589743589752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7593.0908460367546</v>
      </c>
      <c r="C12" s="23">
        <f ca="1">C10*C8</f>
        <v>0</v>
      </c>
      <c r="D12" s="23">
        <f>D8*D10</f>
        <v>20495.185254724402</v>
      </c>
      <c r="E12" s="23">
        <f>E10*E8</f>
        <v>462.34204866929866</v>
      </c>
      <c r="F12" s="23">
        <f>F10*F8</f>
        <v>10465.280506174198</v>
      </c>
      <c r="G12" s="23"/>
      <c r="H12" s="23"/>
      <c r="I12" s="23"/>
      <c r="J12" s="23">
        <f>J10*J8</f>
        <v>71.001467416289557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10685</v>
      </c>
      <c r="C26" s="36"/>
      <c r="D26" s="225"/>
    </row>
    <row r="27" spans="1:7" s="15" customFormat="1">
      <c r="A27" s="227" t="s">
        <v>774</v>
      </c>
      <c r="B27" s="37">
        <f>SUM(HH_hh_gas_aantal,HH_rest_gas_aantal)</f>
        <v>8141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7733.95</v>
      </c>
      <c r="C31" s="165" t="s">
        <v>104</v>
      </c>
      <c r="D31" s="230"/>
      <c r="G31" s="15"/>
    </row>
    <row r="32" spans="1:7">
      <c r="A32" s="168" t="s">
        <v>72</v>
      </c>
      <c r="B32" s="165">
        <f>IF((B21*($B$26-($B$27-0.05*$B$27)-$B$60))&lt;0,0,B21*($B$26-($B$27-0.05*$B$27)-$B$60))</f>
        <v>32.918212262564388</v>
      </c>
      <c r="C32" s="165" t="s">
        <v>104</v>
      </c>
      <c r="D32" s="230"/>
      <c r="G32" s="15"/>
    </row>
    <row r="33" spans="1:7">
      <c r="A33" s="168" t="s">
        <v>73</v>
      </c>
      <c r="B33" s="165">
        <f>IF((B22*($B$26-($B$27-0.05*$B$27)-$B$60))&lt;0,0,B22*($B$26-($B$27-0.05*$B$27)-$B$60))</f>
        <v>684.39727664223631</v>
      </c>
      <c r="C33" s="165" t="s">
        <v>104</v>
      </c>
      <c r="D33" s="230"/>
      <c r="G33" s="15"/>
    </row>
    <row r="34" spans="1:7">
      <c r="A34" s="168" t="s">
        <v>74</v>
      </c>
      <c r="B34" s="165">
        <f>IF((B24*($B$26-($B$27-0.05*$B$27)-$B$60))&lt;0,0,B24*($B$26-($B$27-0.05*$B$27)-$B$60))</f>
        <v>288.98271982526609</v>
      </c>
      <c r="C34" s="165">
        <f>B26*C24</f>
        <v>1843.8298619417255</v>
      </c>
      <c r="D34" s="230"/>
      <c r="G34" s="15"/>
    </row>
    <row r="35" spans="1:7">
      <c r="A35" s="168" t="s">
        <v>76</v>
      </c>
      <c r="B35" s="165">
        <f>IF((B19*($B$26-($B$27-0.05*$B$27)-$B$60))&lt;0,0,B19*($B$26-($B$27-0.05*$B$27)-$B$60))</f>
        <v>24.91553708963135</v>
      </c>
      <c r="C35" s="165">
        <f>B35/2</f>
        <v>12.457768544815675</v>
      </c>
      <c r="D35" s="231"/>
      <c r="G35" s="15"/>
    </row>
    <row r="36" spans="1:7">
      <c r="A36" s="168" t="s">
        <v>77</v>
      </c>
      <c r="B36" s="165">
        <f>IF((B18*($B$26-($B$27-0.05*$B$27)-$B$60))&lt;0,0,B18*($B$26-($B$27-0.05*$B$27)-$B$60))</f>
        <v>1888.8362541803021</v>
      </c>
      <c r="C36" s="165" t="s">
        <v>104</v>
      </c>
      <c r="D36" s="231"/>
      <c r="G36" s="15"/>
    </row>
    <row r="37" spans="1:7">
      <c r="A37" s="168" t="s">
        <v>78</v>
      </c>
      <c r="B37" s="165">
        <f>B60</f>
        <v>31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132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33213.538017999999</v>
      </c>
      <c r="C5" s="17">
        <f>IF(ISERROR('Eigen informatie GS &amp; warmtenet'!B60),0,'Eigen informatie GS &amp; warmtenet'!B60)</f>
        <v>0</v>
      </c>
      <c r="D5" s="30">
        <f>SUM(D6:D12)</f>
        <v>46762.633376205995</v>
      </c>
      <c r="E5" s="17">
        <f>SUM(E6:E12)</f>
        <v>98.657456173246189</v>
      </c>
      <c r="F5" s="17">
        <f>SUM(F6:F12)</f>
        <v>7135.6112925578855</v>
      </c>
      <c r="G5" s="18"/>
      <c r="H5" s="17"/>
      <c r="I5" s="17"/>
      <c r="J5" s="17">
        <f>SUM(J6:J12)</f>
        <v>5.8640595482150636E-2</v>
      </c>
      <c r="K5" s="17"/>
      <c r="L5" s="17"/>
      <c r="M5" s="17"/>
      <c r="N5" s="17">
        <f>SUM(N6:N12)</f>
        <v>2183.6576155434432</v>
      </c>
      <c r="O5" s="17">
        <f>B38*B39*B40</f>
        <v>0</v>
      </c>
      <c r="P5" s="17">
        <f>B46*B47*B48/1000-B46*B47*B48/1000/B49</f>
        <v>0</v>
      </c>
      <c r="R5" s="32"/>
    </row>
    <row r="6" spans="1:18">
      <c r="A6" s="32" t="s">
        <v>53</v>
      </c>
      <c r="B6" s="37">
        <f>B26</f>
        <v>4777.4753110000001</v>
      </c>
      <c r="C6" s="33"/>
      <c r="D6" s="37">
        <f>IF(ISERROR(TER_kantoor_gas_kWh/1000),0,TER_kantoor_gas_kWh/1000)*0.902</f>
        <v>11982.6698277</v>
      </c>
      <c r="E6" s="33">
        <f>$C$26*'E Balans VL '!I12/100/3.6*1000000</f>
        <v>1.2475357918560774</v>
      </c>
      <c r="F6" s="33">
        <f>$C$26*('E Balans VL '!L12+'E Balans VL '!N12)/100/3.6*1000000</f>
        <v>477.34717399245028</v>
      </c>
      <c r="G6" s="34"/>
      <c r="H6" s="33"/>
      <c r="I6" s="33"/>
      <c r="J6" s="33">
        <f>$C$26*('E Balans VL '!D12+'E Balans VL '!E12)/100/3.6*1000000</f>
        <v>0</v>
      </c>
      <c r="K6" s="33"/>
      <c r="L6" s="33"/>
      <c r="M6" s="33"/>
      <c r="N6" s="33">
        <f>$C$26*'E Balans VL '!Y12/100/3.6*1000000</f>
        <v>3.3872050786718071</v>
      </c>
      <c r="O6" s="33"/>
      <c r="P6" s="33"/>
      <c r="R6" s="32"/>
    </row>
    <row r="7" spans="1:18">
      <c r="A7" s="32" t="s">
        <v>52</v>
      </c>
      <c r="B7" s="37">
        <f t="shared" ref="B7:B12" si="0">B27</f>
        <v>2386.0235739999998</v>
      </c>
      <c r="C7" s="33"/>
      <c r="D7" s="37">
        <f>IF(ISERROR(TER_horeca_gas_kWh/1000),0,TER_horeca_gas_kWh/1000)*0.902</f>
        <v>3235.4581852340002</v>
      </c>
      <c r="E7" s="33">
        <f>$C$27*'E Balans VL '!I9/100/3.6*1000000</f>
        <v>0</v>
      </c>
      <c r="F7" s="33">
        <f>$C$27*('E Balans VL '!L9+'E Balans VL '!N9)/100/3.6*1000000</f>
        <v>195.95569818964518</v>
      </c>
      <c r="G7" s="34"/>
      <c r="H7" s="33"/>
      <c r="I7" s="33"/>
      <c r="J7" s="33">
        <f>$C$27*('E Balans VL '!D9+'E Balans VL '!E9)/100/3.6*1000000</f>
        <v>0</v>
      </c>
      <c r="K7" s="33"/>
      <c r="L7" s="33"/>
      <c r="M7" s="33"/>
      <c r="N7" s="33">
        <f>$C$27*'E Balans VL '!Y9/100/3.6*1000000</f>
        <v>30.152352623708126</v>
      </c>
      <c r="O7" s="33"/>
      <c r="P7" s="33"/>
      <c r="R7" s="32"/>
    </row>
    <row r="8" spans="1:18">
      <c r="A8" s="6" t="s">
        <v>51</v>
      </c>
      <c r="B8" s="37">
        <f t="shared" si="0"/>
        <v>11373.983819999999</v>
      </c>
      <c r="C8" s="33"/>
      <c r="D8" s="37">
        <f>IF(ISERROR(TER_handel_gas_kWh/1000),0,TER_handel_gas_kWh/1000)*0.902</f>
        <v>5664.6995033200001</v>
      </c>
      <c r="E8" s="33">
        <f>$C$28*'E Balans VL '!I13/100/3.6*1000000</f>
        <v>41.802375180791522</v>
      </c>
      <c r="F8" s="33">
        <f>$C$28*('E Balans VL '!L13+'E Balans VL '!N13)/100/3.6*1000000</f>
        <v>1086.4071119493831</v>
      </c>
      <c r="G8" s="34"/>
      <c r="H8" s="33"/>
      <c r="I8" s="33"/>
      <c r="J8" s="33">
        <f>$C$28*('E Balans VL '!D13+'E Balans VL '!E13)/100/3.6*1000000</f>
        <v>0</v>
      </c>
      <c r="K8" s="33"/>
      <c r="L8" s="33"/>
      <c r="M8" s="33"/>
      <c r="N8" s="33">
        <f>$C$28*'E Balans VL '!Y13/100/3.6*1000000</f>
        <v>4.5004181371715211</v>
      </c>
      <c r="O8" s="33"/>
      <c r="P8" s="33"/>
      <c r="R8" s="32"/>
    </row>
    <row r="9" spans="1:18">
      <c r="A9" s="32" t="s">
        <v>50</v>
      </c>
      <c r="B9" s="37">
        <f t="shared" si="0"/>
        <v>6107.7049280000001</v>
      </c>
      <c r="C9" s="33"/>
      <c r="D9" s="37">
        <f>IF(ISERROR(TER_gezond_gas_kWh/1000),0,TER_gezond_gas_kWh/1000)*0.902</f>
        <v>6621.8606701939998</v>
      </c>
      <c r="E9" s="33">
        <f>$C$29*'E Balans VL '!I10/100/3.6*1000000</f>
        <v>0</v>
      </c>
      <c r="F9" s="33">
        <f>$C$29*('E Balans VL '!L10+'E Balans VL '!N10)/100/3.6*1000000</f>
        <v>412.60391136248307</v>
      </c>
      <c r="G9" s="34"/>
      <c r="H9" s="33"/>
      <c r="I9" s="33"/>
      <c r="J9" s="33">
        <f>$C$29*('E Balans VL '!D10+'E Balans VL '!E10)/100/3.6*1000000</f>
        <v>0</v>
      </c>
      <c r="K9" s="33"/>
      <c r="L9" s="33"/>
      <c r="M9" s="33"/>
      <c r="N9" s="33">
        <f>$C$29*'E Balans VL '!Y10/100/3.6*1000000</f>
        <v>47.522501342498117</v>
      </c>
      <c r="O9" s="33"/>
      <c r="P9" s="33"/>
      <c r="R9" s="32"/>
    </row>
    <row r="10" spans="1:18">
      <c r="A10" s="32" t="s">
        <v>49</v>
      </c>
      <c r="B10" s="37">
        <f t="shared" si="0"/>
        <v>5583.7006519999995</v>
      </c>
      <c r="C10" s="33"/>
      <c r="D10" s="37">
        <f>IF(ISERROR(TER_ander_gas_kWh/1000),0,TER_ander_gas_kWh/1000)*0.902</f>
        <v>11402.204342540001</v>
      </c>
      <c r="E10" s="33">
        <f>$C$30*'E Balans VL '!I14/100/3.6*1000000</f>
        <v>50.631910313134782</v>
      </c>
      <c r="F10" s="33">
        <f>$C$30*('E Balans VL '!L14+'E Balans VL '!N14)/100/3.6*1000000</f>
        <v>4413.6198204202601</v>
      </c>
      <c r="G10" s="34"/>
      <c r="H10" s="33"/>
      <c r="I10" s="33"/>
      <c r="J10" s="33">
        <f>$C$30*('E Balans VL '!D14+'E Balans VL '!E14)/100/3.6*1000000</f>
        <v>5.5264808262454182E-2</v>
      </c>
      <c r="K10" s="33"/>
      <c r="L10" s="33"/>
      <c r="M10" s="33"/>
      <c r="N10" s="33">
        <f>$C$30*'E Balans VL '!Y14/100/3.6*1000000</f>
        <v>1970.7616939968461</v>
      </c>
      <c r="O10" s="33"/>
      <c r="P10" s="33"/>
      <c r="R10" s="32"/>
    </row>
    <row r="11" spans="1:18">
      <c r="A11" s="32" t="s">
        <v>54</v>
      </c>
      <c r="B11" s="37">
        <f t="shared" si="0"/>
        <v>1301.2432760000002</v>
      </c>
      <c r="C11" s="33"/>
      <c r="D11" s="37">
        <f>IF(ISERROR(TER_onderwijs_gas_kWh/1000),0,TER_onderwijs_gas_kWh/1000)*0.902</f>
        <v>2997.0210039879998</v>
      </c>
      <c r="E11" s="33">
        <f>$C$31*'E Balans VL '!I11/100/3.6*1000000</f>
        <v>0</v>
      </c>
      <c r="F11" s="33">
        <f>$C$31*('E Balans VL '!L11+'E Balans VL '!N11)/100/3.6*1000000</f>
        <v>154.86544539057786</v>
      </c>
      <c r="G11" s="34"/>
      <c r="H11" s="33"/>
      <c r="I11" s="33"/>
      <c r="J11" s="33">
        <f>$C$31*('E Balans VL '!D11+'E Balans VL '!E11)/100/3.6*1000000</f>
        <v>0</v>
      </c>
      <c r="K11" s="33"/>
      <c r="L11" s="33"/>
      <c r="M11" s="33"/>
      <c r="N11" s="33">
        <f>$C$31*'E Balans VL '!Y11/100/3.6*1000000</f>
        <v>2.8939332952144805</v>
      </c>
      <c r="O11" s="33"/>
      <c r="P11" s="33"/>
      <c r="R11" s="32"/>
    </row>
    <row r="12" spans="1:18">
      <c r="A12" s="32" t="s">
        <v>248</v>
      </c>
      <c r="B12" s="37">
        <f t="shared" si="0"/>
        <v>1683.406457</v>
      </c>
      <c r="C12" s="33"/>
      <c r="D12" s="37">
        <f>IF(ISERROR(TER_rest_gas_kWh/1000),0,TER_rest_gas_kWh/1000)*0.902</f>
        <v>4858.7198432300002</v>
      </c>
      <c r="E12" s="33">
        <f>$C$32*'E Balans VL '!I8/100/3.6*1000000</f>
        <v>4.9756348874638183</v>
      </c>
      <c r="F12" s="33">
        <f>$C$32*('E Balans VL '!L8+'E Balans VL '!N8)/100/3.6*1000000</f>
        <v>394.81213125308597</v>
      </c>
      <c r="G12" s="34"/>
      <c r="H12" s="33"/>
      <c r="I12" s="33"/>
      <c r="J12" s="33">
        <f>$C$32*('E Balans VL '!D8+'E Balans VL '!E8)/100/3.6*1000000</f>
        <v>3.3757872196964545E-3</v>
      </c>
      <c r="K12" s="33"/>
      <c r="L12" s="33"/>
      <c r="M12" s="33"/>
      <c r="N12" s="33">
        <f>$C$32*'E Balans VL '!Y8/100/3.6*1000000</f>
        <v>124.43951106933329</v>
      </c>
      <c r="O12" s="33"/>
      <c r="P12" s="33"/>
      <c r="R12" s="32"/>
    </row>
    <row r="13" spans="1:18">
      <c r="A13" s="16" t="s">
        <v>464</v>
      </c>
      <c r="B13" s="244">
        <f ca="1">'lokale energieproductie'!N40+'lokale energieproductie'!N33</f>
        <v>688.49999999999989</v>
      </c>
      <c r="C13" s="244">
        <f ca="1">'lokale energieproductie'!O40+'lokale energieproductie'!O33</f>
        <v>999.642857142857</v>
      </c>
      <c r="D13" s="302">
        <f ca="1">('lokale energieproductie'!P33+'lokale energieproductie'!P40)*(-1)</f>
        <v>-1984.2857142857142</v>
      </c>
      <c r="E13" s="245"/>
      <c r="F13" s="302">
        <f ca="1">('lokale energieproductie'!S33+'lokale energieproductie'!S40)*(-1)</f>
        <v>0</v>
      </c>
      <c r="G13" s="246"/>
      <c r="H13" s="245"/>
      <c r="I13" s="245"/>
      <c r="J13" s="245"/>
      <c r="K13" s="245"/>
      <c r="L13" s="302">
        <f ca="1">('lokale energieproductie'!U33+'lokale energieproductie'!T33+'lokale energieproductie'!U40+'lokale energieproductie'!T40)*(-1)</f>
        <v>0</v>
      </c>
      <c r="M13" s="245"/>
      <c r="N13" s="302">
        <f ca="1">('lokale energieproductie'!Q33+'lokale energieproductie'!R33+'lokale energieproductie'!V33+'lokale energieproductie'!Q40+'lokale energieproductie'!R40+'lokale energieproductie'!V40)*(-1)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33902.038017999999</v>
      </c>
      <c r="C16" s="21">
        <f t="shared" ca="1" si="1"/>
        <v>999.642857142857</v>
      </c>
      <c r="D16" s="21">
        <f t="shared" ca="1" si="1"/>
        <v>44778.347661920277</v>
      </c>
      <c r="E16" s="21">
        <f t="shared" si="1"/>
        <v>98.657456173246189</v>
      </c>
      <c r="F16" s="21">
        <f t="shared" ca="1" si="1"/>
        <v>7135.6112925578855</v>
      </c>
      <c r="G16" s="21">
        <f t="shared" si="1"/>
        <v>0</v>
      </c>
      <c r="H16" s="21">
        <f t="shared" si="1"/>
        <v>0</v>
      </c>
      <c r="I16" s="21">
        <f t="shared" si="1"/>
        <v>0</v>
      </c>
      <c r="J16" s="21">
        <f t="shared" si="1"/>
        <v>5.8640595482150636E-2</v>
      </c>
      <c r="K16" s="21">
        <f t="shared" si="1"/>
        <v>0</v>
      </c>
      <c r="L16" s="21">
        <f t="shared" ca="1" si="1"/>
        <v>0</v>
      </c>
      <c r="M16" s="21">
        <f t="shared" si="1"/>
        <v>0</v>
      </c>
      <c r="N16" s="21">
        <f t="shared" ca="1" si="1"/>
        <v>2183.6576155434432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0.20936038586493744</v>
      </c>
      <c r="C18" s="25">
        <f ca="1">'EF ele_warmte'!B22</f>
        <v>0.23743589743589752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7097.7437610562583</v>
      </c>
      <c r="C20" s="23">
        <f t="shared" ref="C20:P20" ca="1" si="2">C16*C18</f>
        <v>237.35109890109894</v>
      </c>
      <c r="D20" s="23">
        <f t="shared" ca="1" si="2"/>
        <v>9045.2262277078971</v>
      </c>
      <c r="E20" s="23">
        <f t="shared" si="2"/>
        <v>22.395242551326884</v>
      </c>
      <c r="F20" s="23">
        <f t="shared" ca="1" si="2"/>
        <v>1905.2082151129555</v>
      </c>
      <c r="G20" s="23">
        <f t="shared" si="2"/>
        <v>0</v>
      </c>
      <c r="H20" s="23">
        <f t="shared" si="2"/>
        <v>0</v>
      </c>
      <c r="I20" s="23">
        <f t="shared" si="2"/>
        <v>0</v>
      </c>
      <c r="J20" s="23">
        <f t="shared" si="2"/>
        <v>2.0758770800681323E-2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4777.4753110000001</v>
      </c>
      <c r="C26" s="39">
        <f>IF(ISERROR(B26*3.6/1000000/'E Balans VL '!Z12*100),0,B26*3.6/1000000/'E Balans VL '!Z12*100)</f>
        <v>0.13369868047375028</v>
      </c>
      <c r="D26" s="234" t="s">
        <v>667</v>
      </c>
      <c r="F26" s="6"/>
    </row>
    <row r="27" spans="1:18">
      <c r="A27" s="228" t="s">
        <v>52</v>
      </c>
      <c r="B27" s="33">
        <f>IF(ISERROR(TER_horeca_ele_kWh/1000),0,TER_horeca_ele_kWh/1000)</f>
        <v>2386.0235739999998</v>
      </c>
      <c r="C27" s="39">
        <f>IF(ISERROR(B27*3.6/1000000/'E Balans VL '!Z9*100),0,B27*3.6/1000000/'E Balans VL '!Z9*100)</f>
        <v>0.17783615573579431</v>
      </c>
      <c r="D27" s="234" t="s">
        <v>667</v>
      </c>
      <c r="F27" s="6"/>
    </row>
    <row r="28" spans="1:18">
      <c r="A28" s="168" t="s">
        <v>51</v>
      </c>
      <c r="B28" s="33">
        <f>IF(ISERROR(TER_handel_ele_kWh/1000),0,TER_handel_ele_kWh/1000)</f>
        <v>11373.983819999999</v>
      </c>
      <c r="C28" s="39">
        <f>IF(ISERROR(B28*3.6/1000000/'E Balans VL '!Z13*100),0,B28*3.6/1000000/'E Balans VL '!Z13*100)</f>
        <v>0.32953442321658638</v>
      </c>
      <c r="D28" s="234" t="s">
        <v>667</v>
      </c>
      <c r="F28" s="6"/>
    </row>
    <row r="29" spans="1:18">
      <c r="A29" s="228" t="s">
        <v>50</v>
      </c>
      <c r="B29" s="33">
        <f>IF(ISERROR(TER_gezond_ele_kWh/1000),0,TER_gezond_ele_kWh/1000)</f>
        <v>6107.7049280000001</v>
      </c>
      <c r="C29" s="39">
        <f>IF(ISERROR(B29*3.6/1000000/'E Balans VL '!Z10*100),0,B29*3.6/1000000/'E Balans VL '!Z10*100)</f>
        <v>0.61596932572358665</v>
      </c>
      <c r="D29" s="234" t="s">
        <v>667</v>
      </c>
      <c r="F29" s="6"/>
    </row>
    <row r="30" spans="1:18">
      <c r="A30" s="228" t="s">
        <v>49</v>
      </c>
      <c r="B30" s="33">
        <f>IF(ISERROR(TER_ander_ele_kWh/1000),0,TER_ander_ele_kWh/1000)</f>
        <v>5583.7006519999995</v>
      </c>
      <c r="C30" s="39">
        <f>IF(ISERROR(B30*3.6/1000000/'E Balans VL '!Z14*100),0,B30*3.6/1000000/'E Balans VL '!Z14*100)</f>
        <v>0.22634051165510244</v>
      </c>
      <c r="D30" s="234" t="s">
        <v>667</v>
      </c>
      <c r="F30" s="6"/>
    </row>
    <row r="31" spans="1:18">
      <c r="A31" s="228" t="s">
        <v>54</v>
      </c>
      <c r="B31" s="33">
        <f>IF(ISERROR(TER_onderwijs_ele_kWh/1000),0,TER_onderwijs_ele_kWh/1000)</f>
        <v>1301.2432760000002</v>
      </c>
      <c r="C31" s="39">
        <f>IF(ISERROR(B31*3.6/1000000/'E Balans VL '!Z11*100),0,B31*3.6/1000000/'E Balans VL '!Z11*100)</f>
        <v>0.37090732275356308</v>
      </c>
      <c r="D31" s="234" t="s">
        <v>667</v>
      </c>
    </row>
    <row r="32" spans="1:18">
      <c r="A32" s="228" t="s">
        <v>248</v>
      </c>
      <c r="B32" s="33">
        <f>IF(ISERROR(TER_rest_ele_kWh/1000),0,TER_rest_ele_kWh/1000)</f>
        <v>1683.406457</v>
      </c>
      <c r="C32" s="39">
        <f>IF(ISERROR(B32*3.6/1000000/'E Balans VL '!Z8*100),0,B32*3.6/1000000/'E Balans VL '!Z8*100)</f>
        <v>1.382574970524145E-2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58608.761842000007</v>
      </c>
      <c r="C5" s="17">
        <f>IF(ISERROR('Eigen informatie GS &amp; warmtenet'!B61),0,'Eigen informatie GS &amp; warmtenet'!B61)</f>
        <v>0</v>
      </c>
      <c r="D5" s="30">
        <f>SUM(D6:D15)</f>
        <v>88595.132049578009</v>
      </c>
      <c r="E5" s="17">
        <f>SUM(E6:E15)</f>
        <v>1126.3868797761595</v>
      </c>
      <c r="F5" s="17">
        <f>SUM(F6:F15)</f>
        <v>6472.6777268697178</v>
      </c>
      <c r="G5" s="18"/>
      <c r="H5" s="17"/>
      <c r="I5" s="17"/>
      <c r="J5" s="17">
        <f>SUM(J6:J15)</f>
        <v>80.657682329390397</v>
      </c>
      <c r="K5" s="17"/>
      <c r="L5" s="17"/>
      <c r="M5" s="17"/>
      <c r="N5" s="17">
        <f>SUM(N6:N15)</f>
        <v>961.76510502211681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337.39138199999996</v>
      </c>
      <c r="C8" s="33"/>
      <c r="D8" s="37">
        <f>IF( ISERROR(IND_metaal_Gas_kWH/1000),0,IND_metaal_Gas_kWH/1000)*0.902</f>
        <v>14.780346086</v>
      </c>
      <c r="E8" s="33">
        <f>C30*'E Balans VL '!I18/100/3.6*1000000</f>
        <v>2.4212011194684471</v>
      </c>
      <c r="F8" s="33">
        <f>C30*'E Balans VL '!L18/100/3.6*1000000+C30*'E Balans VL '!N18/100/3.6*1000000</f>
        <v>22.456528845207636</v>
      </c>
      <c r="G8" s="34"/>
      <c r="H8" s="33"/>
      <c r="I8" s="33"/>
      <c r="J8" s="40">
        <f>C30*'E Balans VL '!D18/100/3.6*1000000+C30*'E Balans VL '!E18/100/3.6*1000000</f>
        <v>0.32525971948624688</v>
      </c>
      <c r="K8" s="33"/>
      <c r="L8" s="33"/>
      <c r="M8" s="33"/>
      <c r="N8" s="33">
        <f>C30*'E Balans VL '!Y18/100/3.6*1000000</f>
        <v>4.0884068880714262</v>
      </c>
      <c r="O8" s="33"/>
      <c r="P8" s="33"/>
      <c r="R8" s="32"/>
    </row>
    <row r="9" spans="1:18">
      <c r="A9" s="6" t="s">
        <v>32</v>
      </c>
      <c r="B9" s="37">
        <f t="shared" si="0"/>
        <v>3385.8849540000001</v>
      </c>
      <c r="C9" s="33"/>
      <c r="D9" s="37">
        <f>IF( ISERROR(IND_andere_gas_kWh/1000),0,IND_andere_gas_kWh/1000)*0.902</f>
        <v>1663.5672438660001</v>
      </c>
      <c r="E9" s="33">
        <f>C31*'E Balans VL '!I19/100/3.6*1000000</f>
        <v>8.9020888759435515</v>
      </c>
      <c r="F9" s="33">
        <f>C31*'E Balans VL '!L19/100/3.6*1000000+C31*'E Balans VL '!N19/100/3.6*1000000</f>
        <v>2236.0542334572756</v>
      </c>
      <c r="G9" s="34"/>
      <c r="H9" s="33"/>
      <c r="I9" s="33"/>
      <c r="J9" s="40">
        <f>C31*'E Balans VL '!D19/100/3.6*1000000+C31*'E Balans VL '!E19/100/3.6*1000000</f>
        <v>0</v>
      </c>
      <c r="K9" s="33"/>
      <c r="L9" s="33"/>
      <c r="M9" s="33"/>
      <c r="N9" s="33">
        <f>C31*'E Balans VL '!Y19/100/3.6*1000000</f>
        <v>180.76701022207831</v>
      </c>
      <c r="O9" s="33"/>
      <c r="P9" s="33"/>
      <c r="R9" s="32"/>
    </row>
    <row r="10" spans="1:18">
      <c r="A10" s="6" t="s">
        <v>40</v>
      </c>
      <c r="B10" s="37">
        <f t="shared" si="0"/>
        <v>241.30823199999998</v>
      </c>
      <c r="C10" s="33"/>
      <c r="D10" s="37">
        <f>IF( ISERROR(IND_voed_gas_kWh/1000),0,IND_voed_gas_kWh/1000)*0.902</f>
        <v>378.37074532399998</v>
      </c>
      <c r="E10" s="33">
        <f>C32*'E Balans VL '!I20/100/3.6*1000000</f>
        <v>0.40738345892854155</v>
      </c>
      <c r="F10" s="33">
        <f>C32*'E Balans VL '!L20/100/3.6*1000000+C32*'E Balans VL '!N20/100/3.6*1000000</f>
        <v>14.163740059105487</v>
      </c>
      <c r="G10" s="34"/>
      <c r="H10" s="33"/>
      <c r="I10" s="33"/>
      <c r="J10" s="40">
        <f>C32*'E Balans VL '!D20/100/3.6*1000000+C32*'E Balans VL '!E20/100/3.6*1000000</f>
        <v>0</v>
      </c>
      <c r="K10" s="33"/>
      <c r="L10" s="33"/>
      <c r="M10" s="33"/>
      <c r="N10" s="33">
        <f>C32*'E Balans VL '!Y20/100/3.6*1000000</f>
        <v>13.138025243206874</v>
      </c>
      <c r="O10" s="33"/>
      <c r="P10" s="33"/>
      <c r="R10" s="32"/>
    </row>
    <row r="11" spans="1:18">
      <c r="A11" s="6" t="s">
        <v>39</v>
      </c>
      <c r="B11" s="37">
        <f t="shared" si="0"/>
        <v>33655.212890000003</v>
      </c>
      <c r="C11" s="33"/>
      <c r="D11" s="37">
        <f>IF( ISERROR(IND_textiel_gas_kWh/1000),0,IND_textiel_gas_kWh/1000)*0.902</f>
        <v>13568.35749588</v>
      </c>
      <c r="E11" s="33">
        <f>C33*'E Balans VL '!I21/100/3.6*1000000</f>
        <v>117.22980750609121</v>
      </c>
      <c r="F11" s="33">
        <f>C33*'E Balans VL '!L21/100/3.6*1000000+C33*'E Balans VL '!N21/100/3.6*1000000</f>
        <v>894.35812836884315</v>
      </c>
      <c r="G11" s="34"/>
      <c r="H11" s="33"/>
      <c r="I11" s="33"/>
      <c r="J11" s="40">
        <f>C33*'E Balans VL '!D21/100/3.6*1000000+C33*'E Balans VL '!E21/100/3.6*1000000</f>
        <v>0</v>
      </c>
      <c r="K11" s="33"/>
      <c r="L11" s="33"/>
      <c r="M11" s="33"/>
      <c r="N11" s="33">
        <f>C33*'E Balans VL '!Y21/100/3.6*1000000</f>
        <v>4.1604492316355755</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86.939573999999993</v>
      </c>
      <c r="C13" s="33"/>
      <c r="D13" s="37">
        <f>IF( ISERROR(IND_papier_gas_kWh/1000),0,IND_papier_gas_kWh/1000)*0.902</f>
        <v>126.18070874200002</v>
      </c>
      <c r="E13" s="33">
        <f>C35*'E Balans VL '!I23/100/3.6*1000000</f>
        <v>0.30759305419020633</v>
      </c>
      <c r="F13" s="33">
        <f>C35*'E Balans VL '!L23/100/3.6*1000000+C35*'E Balans VL '!N23/100/3.6*1000000</f>
        <v>0.80599675050407704</v>
      </c>
      <c r="G13" s="34"/>
      <c r="H13" s="33"/>
      <c r="I13" s="33"/>
      <c r="J13" s="40">
        <f>C35*'E Balans VL '!D23/100/3.6*1000000+C35*'E Balans VL '!E23/100/3.6*1000000</f>
        <v>0</v>
      </c>
      <c r="K13" s="33"/>
      <c r="L13" s="33"/>
      <c r="M13" s="33"/>
      <c r="N13" s="33">
        <f>C35*'E Balans VL '!Y23/100/3.6*1000000</f>
        <v>-1.8938675648118137</v>
      </c>
      <c r="O13" s="33"/>
      <c r="P13" s="33"/>
      <c r="R13" s="32"/>
    </row>
    <row r="14" spans="1:18">
      <c r="A14" s="6" t="s">
        <v>33</v>
      </c>
      <c r="B14" s="37">
        <f t="shared" si="0"/>
        <v>0</v>
      </c>
      <c r="C14" s="33"/>
      <c r="D14" s="37">
        <f>IF( ISERROR(IND_chemie_gas_kWh/1000),0,IND_chemie_gas_kWh/1000)*0.902</f>
        <v>700.59241097999995</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20902.024809999999</v>
      </c>
      <c r="C15" s="33"/>
      <c r="D15" s="37">
        <f>IF( ISERROR(IND_rest_gas_kWh/1000),0,IND_rest_gas_kWh/1000)*0.902</f>
        <v>72143.283098700005</v>
      </c>
      <c r="E15" s="33">
        <f>C37*'E Balans VL '!I15/100/3.6*1000000</f>
        <v>997.11880576153749</v>
      </c>
      <c r="F15" s="33">
        <f>C37*'E Balans VL '!L15/100/3.6*1000000+C37*'E Balans VL '!N15/100/3.6*1000000</f>
        <v>3304.839099388782</v>
      </c>
      <c r="G15" s="34"/>
      <c r="H15" s="33"/>
      <c r="I15" s="33"/>
      <c r="J15" s="40">
        <f>C37*'E Balans VL '!D15/100/3.6*1000000+C37*'E Balans VL '!E15/100/3.6*1000000</f>
        <v>80.332422609904157</v>
      </c>
      <c r="K15" s="33"/>
      <c r="L15" s="33"/>
      <c r="M15" s="33"/>
      <c r="N15" s="33">
        <f>C37*'E Balans VL '!Y15/100/3.6*1000000</f>
        <v>761.50508100193645</v>
      </c>
      <c r="O15" s="33"/>
      <c r="P15" s="33"/>
      <c r="R15" s="32"/>
    </row>
    <row r="16" spans="1:18">
      <c r="A16" s="16" t="s">
        <v>464</v>
      </c>
      <c r="B16" s="244">
        <f>'lokale energieproductie'!N39+'lokale energieproductie'!N32</f>
        <v>0</v>
      </c>
      <c r="C16" s="244">
        <f>'lokale energieproductie'!O39+'lokale energieproductie'!O32</f>
        <v>0</v>
      </c>
      <c r="D16" s="302">
        <f>('lokale energieproductie'!P32+'lokale energieproductie'!P39)*(-1)</f>
        <v>0</v>
      </c>
      <c r="E16" s="245"/>
      <c r="F16" s="302">
        <f>('lokale energieproductie'!S32+'lokale energieproductie'!S39)*(-1)</f>
        <v>0</v>
      </c>
      <c r="G16" s="246"/>
      <c r="H16" s="245"/>
      <c r="I16" s="245"/>
      <c r="J16" s="245"/>
      <c r="K16" s="245"/>
      <c r="L16" s="302">
        <f>('lokale energieproductie'!T32+'lokale energieproductie'!U32+'lokale energieproductie'!T39+'lokale energieproductie'!U39)*(-1)</f>
        <v>0</v>
      </c>
      <c r="M16" s="245"/>
      <c r="N16" s="302">
        <f>('lokale energieproductie'!Q32+'lokale energieproductie'!R32+'lokale energieproductie'!V32+'lokale energieproductie'!Q39+'lokale energieproductie'!R39+'lokale energieproductie'!V39)*(-1)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58608.761842000007</v>
      </c>
      <c r="C18" s="21">
        <f>C5+C16</f>
        <v>0</v>
      </c>
      <c r="D18" s="21">
        <f>MAX((D5+D16),0)</f>
        <v>88595.132049578009</v>
      </c>
      <c r="E18" s="21">
        <f>MAX((E5+E16),0)</f>
        <v>1126.3868797761595</v>
      </c>
      <c r="F18" s="21">
        <f>MAX((F5+F16),0)</f>
        <v>6472.6777268697178</v>
      </c>
      <c r="G18" s="21"/>
      <c r="H18" s="21"/>
      <c r="I18" s="21"/>
      <c r="J18" s="21">
        <f>MAX((J5+J16),0)</f>
        <v>80.657682329390397</v>
      </c>
      <c r="K18" s="21"/>
      <c r="L18" s="21">
        <f>MAX((L5+L16),0)</f>
        <v>0</v>
      </c>
      <c r="M18" s="21"/>
      <c r="N18" s="21">
        <f>MAX((N5+N16),0)</f>
        <v>961.76510502211681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0.20936038586493744</v>
      </c>
      <c r="C20" s="25">
        <f ca="1">'EF ele_warmte'!B22</f>
        <v>0.23743589743589752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12270.352994307343</v>
      </c>
      <c r="C22" s="23">
        <f ca="1">C18*C20</f>
        <v>0</v>
      </c>
      <c r="D22" s="23">
        <f>D18*D20</f>
        <v>17896.216674014759</v>
      </c>
      <c r="E22" s="23">
        <f>E18*E20</f>
        <v>255.68982170918821</v>
      </c>
      <c r="F22" s="23">
        <f>F18*F20</f>
        <v>1728.2049530742147</v>
      </c>
      <c r="G22" s="23"/>
      <c r="H22" s="23"/>
      <c r="I22" s="23"/>
      <c r="J22" s="23">
        <f>J18*J20</f>
        <v>28.552819544604198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337.39138199999996</v>
      </c>
      <c r="C30" s="39">
        <f>IF(ISERROR(B30*3.6/1000000/'E Balans VL '!Z18*100),0,B30*3.6/1000000/'E Balans VL '!Z18*100)</f>
        <v>1.8668351165449553E-2</v>
      </c>
      <c r="D30" s="234" t="s">
        <v>667</v>
      </c>
    </row>
    <row r="31" spans="1:18">
      <c r="A31" s="6" t="s">
        <v>32</v>
      </c>
      <c r="B31" s="37">
        <f>IF( ISERROR(IND_ander_ele_kWh/1000),0,IND_ander_ele_kWh/1000)</f>
        <v>3385.8849540000001</v>
      </c>
      <c r="C31" s="39">
        <f>IF(ISERROR(B31*3.6/1000000/'E Balans VL '!Z19*100),0,B31*3.6/1000000/'E Balans VL '!Z19*100)</f>
        <v>0.14770288114664493</v>
      </c>
      <c r="D31" s="234" t="s">
        <v>667</v>
      </c>
    </row>
    <row r="32" spans="1:18">
      <c r="A32" s="168" t="s">
        <v>40</v>
      </c>
      <c r="B32" s="37">
        <f>IF( ISERROR(IND_voed_ele_kWh/1000),0,IND_voed_ele_kWh/1000)</f>
        <v>241.30823199999998</v>
      </c>
      <c r="C32" s="39">
        <f>IF(ISERROR(B32*3.6/1000000/'E Balans VL '!Z20*100),0,B32*3.6/1000000/'E Balans VL '!Z20*100)</f>
        <v>7.5744942130246493E-3</v>
      </c>
      <c r="D32" s="234" t="s">
        <v>667</v>
      </c>
    </row>
    <row r="33" spans="1:5">
      <c r="A33" s="168" t="s">
        <v>39</v>
      </c>
      <c r="B33" s="37">
        <f>IF( ISERROR(IND_textiel_ele_kWh/1000),0,IND_textiel_ele_kWh/1000)</f>
        <v>33655.212890000003</v>
      </c>
      <c r="C33" s="39">
        <f>IF(ISERROR(B33*3.6/1000000/'E Balans VL '!Z21*100),0,B33*3.6/1000000/'E Balans VL '!Z21*100)</f>
        <v>5.2268044535717788</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86.939573999999993</v>
      </c>
      <c r="C35" s="39">
        <f>IF(ISERROR(B35*3.6/1000000/'E Balans VL '!Z22*100),0,B35*3.6/1000000/'E Balans VL '!Z22*100)</f>
        <v>3.899599152225601E-2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20902.024809999999</v>
      </c>
      <c r="C37" s="39">
        <f>IF(ISERROR(B37*3.6/1000000/'E Balans VL '!Z15*100),0,B37*3.6/1000000/'E Balans VL '!Z15*100)</f>
        <v>0.17010941441326283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354.24929099999997</v>
      </c>
      <c r="C5" s="17">
        <f>'Eigen informatie GS &amp; warmtenet'!B62</f>
        <v>0</v>
      </c>
      <c r="D5" s="30">
        <f>IF(ISERROR(SUM(LB_lb_gas_kWh,LB_rest_gas_kWh)/1000),0,SUM(LB_lb_gas_kWh,LB_rest_gas_kWh)/1000)*0.902</f>
        <v>116.45021416599999</v>
      </c>
      <c r="E5" s="17">
        <f>B17*'E Balans VL '!I25/3.6*1000000/100</f>
        <v>14.391891075543152</v>
      </c>
      <c r="F5" s="17">
        <f>B17*('E Balans VL '!L25/3.6*1000000+'E Balans VL '!N25/3.6*1000000)/100</f>
        <v>1253.1036974475612</v>
      </c>
      <c r="G5" s="18"/>
      <c r="H5" s="17"/>
      <c r="I5" s="17"/>
      <c r="J5" s="17">
        <f>('E Balans VL '!D25+'E Balans VL '!E25)/3.6*1000000*landbouw!B17/100</f>
        <v>100.64956674214616</v>
      </c>
      <c r="K5" s="17"/>
      <c r="L5" s="17">
        <f>L6*(-1)</f>
        <v>0</v>
      </c>
      <c r="M5" s="17"/>
      <c r="N5" s="17">
        <f>N6*(-1)</f>
        <v>0</v>
      </c>
      <c r="O5" s="17"/>
      <c r="P5" s="17"/>
      <c r="R5" s="32"/>
    </row>
    <row r="6" spans="1:18">
      <c r="A6" s="16" t="s">
        <v>464</v>
      </c>
      <c r="B6" s="17" t="s">
        <v>204</v>
      </c>
      <c r="C6" s="17">
        <f>'lokale energieproductie'!O41+'lokale energieproductie'!O34</f>
        <v>0</v>
      </c>
      <c r="D6" s="302">
        <f>('lokale energieproductie'!P34+'lokale energieproductie'!P41)*(-1)</f>
        <v>0</v>
      </c>
      <c r="E6" s="245"/>
      <c r="F6" s="302">
        <f>('lokale energieproductie'!S34+'lokale energieproductie'!S41)*(-1)</f>
        <v>0</v>
      </c>
      <c r="G6" s="246"/>
      <c r="H6" s="245"/>
      <c r="I6" s="245"/>
      <c r="J6" s="245"/>
      <c r="K6" s="245"/>
      <c r="L6" s="302">
        <f>('lokale energieproductie'!T34+'lokale energieproductie'!U34+'lokale energieproductie'!T41+'lokale energieproductie'!U41)*(-1)</f>
        <v>0</v>
      </c>
      <c r="M6" s="245"/>
      <c r="N6" s="302">
        <f>('lokale energieproductie'!V34+'lokale energieproductie'!R34+'lokale energieproductie'!Q34+'lokale energieproductie'!Q41+'lokale energieproductie'!R41+'lokale energieproductie'!V41)*(-1)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354.24929099999997</v>
      </c>
      <c r="C8" s="21">
        <f>C5+C6</f>
        <v>0</v>
      </c>
      <c r="D8" s="21">
        <f>MAX((D5+D6),0)</f>
        <v>116.45021416599999</v>
      </c>
      <c r="E8" s="21">
        <f>MAX((E5+E6),0)</f>
        <v>14.391891075543152</v>
      </c>
      <c r="F8" s="21">
        <f>MAX((F5+F6),0)</f>
        <v>1253.1036974475612</v>
      </c>
      <c r="G8" s="21"/>
      <c r="H8" s="21"/>
      <c r="I8" s="21"/>
      <c r="J8" s="21">
        <f>MAX((J5+J6),0)</f>
        <v>100.64956674214616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0.20936038586493744</v>
      </c>
      <c r="C10" s="31">
        <f ca="1">'EF ele_warmte'!B22</f>
        <v>0.23743589743589752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74.16576825614051</v>
      </c>
      <c r="C12" s="23">
        <f ca="1">C8*C10</f>
        <v>0</v>
      </c>
      <c r="D12" s="23">
        <f>D8*D10</f>
        <v>23.522943261531999</v>
      </c>
      <c r="E12" s="23">
        <f>E8*E10</f>
        <v>3.2669592741482956</v>
      </c>
      <c r="F12" s="23">
        <f>F8*F10</f>
        <v>334.57868721849889</v>
      </c>
      <c r="G12" s="23"/>
      <c r="H12" s="23"/>
      <c r="I12" s="23"/>
      <c r="J12" s="23">
        <f>J8*J10</f>
        <v>35.629946626719743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5.2661696606614801E-2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129.50068637531993</v>
      </c>
      <c r="C26" s="244">
        <f>B26*'GWP N2O_CH4'!B5</f>
        <v>2719.5144138817186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21.77761918956368</v>
      </c>
      <c r="C27" s="244">
        <f>B27*'GWP N2O_CH4'!B5</f>
        <v>457.33000298083726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1.946199607991449</v>
      </c>
      <c r="C28" s="244">
        <f>B28*'GWP N2O_CH4'!B4</f>
        <v>603.32187847734917</v>
      </c>
      <c r="D28" s="50"/>
    </row>
    <row r="29" spans="1:4">
      <c r="A29" s="41" t="s">
        <v>265</v>
      </c>
      <c r="B29" s="244">
        <f>B34*'ha_N2O bodem landbouw'!B4</f>
        <v>9.892283116387393</v>
      </c>
      <c r="C29" s="244">
        <f>B29*'GWP N2O_CH4'!B4</f>
        <v>3066.607766080092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2.1691995808709378E-3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2.611602034811341E-4</v>
      </c>
      <c r="C5" s="429" t="s">
        <v>204</v>
      </c>
      <c r="D5" s="414">
        <f>SUM(D6:D11)</f>
        <v>4.6933133349781251E-4</v>
      </c>
      <c r="E5" s="414">
        <f>SUM(E6:E11)</f>
        <v>4.0009388217411112E-4</v>
      </c>
      <c r="F5" s="427" t="s">
        <v>204</v>
      </c>
      <c r="G5" s="414">
        <f>SUM(G6:G11)</f>
        <v>0.32020224544793363</v>
      </c>
      <c r="H5" s="414">
        <f>SUM(H6:H11)</f>
        <v>4.4891398513579643E-2</v>
      </c>
      <c r="I5" s="429" t="s">
        <v>204</v>
      </c>
      <c r="J5" s="429" t="s">
        <v>204</v>
      </c>
      <c r="K5" s="429" t="s">
        <v>204</v>
      </c>
      <c r="L5" s="429" t="s">
        <v>204</v>
      </c>
      <c r="M5" s="414">
        <f>SUM(M6:M11)</f>
        <v>2.1429262817249599E-2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1.8175092220390509E-4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3.0835004986399508E-4</v>
      </c>
      <c r="E6" s="843">
        <f>vkm_GW_PW*SUMIFS(TableVerdeelsleutelVkm[LPG],TableVerdeelsleutelVkm[Voertuigtype],"Lichte voertuigen")*SUMIFS(TableECFTransport[EnergieConsumptieFactor (PJ per km)],TableECFTransport[Index],CONCATENATE($A6,"_LPG_LPG"))</f>
        <v>2.6697236539307461E-4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8.5282167243353579E-2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2.9668599378155511E-2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6.8801984676818157E-3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4.4957179738176891E-6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0.17158842617784836</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2.7346875596366161E-6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9.8907883944054937E-3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7.4426972069479986E-5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1.6098128363381742E-4</v>
      </c>
      <c r="E8" s="417">
        <f>vkm_NGW_PW*SUMIFS(TableVerdeelsleutelVkm[LPG],TableVerdeelsleutelVkm[Voertuigtype],"Lichte voertuigen")*SUMIFS(TableECFTransport[EnergieConsumptieFactor (PJ per km)],TableECFTransport[Index],CONCATENATE($A8,"_LPG_LPG"))</f>
        <v>1.3312151678103654E-4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3.9456210760478359E-2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1.5219707183760502E-2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3.2820370182079974E-3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4.8659123393133612E-7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2.3875441266253371E-2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3.5726410399703017E-7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1.3762389369542946E-3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72.544500966981687</v>
      </c>
      <c r="C14" s="21"/>
      <c r="D14" s="21">
        <f t="shared" ref="D14:M14" si="0">((D5)*10^9/3600)+D12</f>
        <v>130.36981486050348</v>
      </c>
      <c r="E14" s="21">
        <f t="shared" si="0"/>
        <v>111.13718949280864</v>
      </c>
      <c r="F14" s="21"/>
      <c r="G14" s="21">
        <f t="shared" si="0"/>
        <v>88945.068179981565</v>
      </c>
      <c r="H14" s="21">
        <f t="shared" si="0"/>
        <v>12469.83292043879</v>
      </c>
      <c r="I14" s="21"/>
      <c r="J14" s="21"/>
      <c r="K14" s="21"/>
      <c r="L14" s="21"/>
      <c r="M14" s="21">
        <f t="shared" si="0"/>
        <v>5952.5730047915558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0.20936038586493744</v>
      </c>
      <c r="C16" s="56">
        <f ca="1">'EF ele_warmte'!B22</f>
        <v>0.23743589743589752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15.187944714826614</v>
      </c>
      <c r="C18" s="23"/>
      <c r="D18" s="23">
        <f t="shared" ref="D18:M18" si="1">D14*D16</f>
        <v>26.334702601821704</v>
      </c>
      <c r="E18" s="23">
        <f t="shared" si="1"/>
        <v>25.228142014867561</v>
      </c>
      <c r="F18" s="23"/>
      <c r="G18" s="23">
        <f t="shared" si="1"/>
        <v>23748.333204055078</v>
      </c>
      <c r="H18" s="23">
        <f t="shared" si="1"/>
        <v>3104.9883971892586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3.4877045603955723E-5</v>
      </c>
      <c r="C50" s="313">
        <f t="shared" ref="C50:P50" si="2">SUM(C51:C52)</f>
        <v>0</v>
      </c>
      <c r="D50" s="313">
        <f t="shared" si="2"/>
        <v>0</v>
      </c>
      <c r="E50" s="313">
        <f t="shared" si="2"/>
        <v>0</v>
      </c>
      <c r="F50" s="313">
        <f t="shared" si="2"/>
        <v>0</v>
      </c>
      <c r="G50" s="313">
        <f t="shared" si="2"/>
        <v>2.5268945204684743E-3</v>
      </c>
      <c r="H50" s="313">
        <f t="shared" si="2"/>
        <v>0</v>
      </c>
      <c r="I50" s="313">
        <f t="shared" si="2"/>
        <v>0</v>
      </c>
      <c r="J50" s="313">
        <f t="shared" si="2"/>
        <v>0</v>
      </c>
      <c r="K50" s="313">
        <f t="shared" si="2"/>
        <v>0</v>
      </c>
      <c r="L50" s="313">
        <f t="shared" si="2"/>
        <v>0</v>
      </c>
      <c r="M50" s="313">
        <f t="shared" si="2"/>
        <v>1.4292867925388888E-4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3.4877045603955723E-5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2.5268945204684743E-3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1.4292867925388888E-4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9.688068223321034</v>
      </c>
      <c r="C54" s="21">
        <f t="shared" ref="C54:P54" si="3">(C50)*10^9/3600</f>
        <v>0</v>
      </c>
      <c r="D54" s="21">
        <f t="shared" si="3"/>
        <v>0</v>
      </c>
      <c r="E54" s="21">
        <f t="shared" si="3"/>
        <v>0</v>
      </c>
      <c r="F54" s="21">
        <f t="shared" si="3"/>
        <v>0</v>
      </c>
      <c r="G54" s="21">
        <f t="shared" si="3"/>
        <v>701.91514457457617</v>
      </c>
      <c r="H54" s="21">
        <f t="shared" si="3"/>
        <v>0</v>
      </c>
      <c r="I54" s="21">
        <f t="shared" si="3"/>
        <v>0</v>
      </c>
      <c r="J54" s="21">
        <f t="shared" si="3"/>
        <v>0</v>
      </c>
      <c r="K54" s="21">
        <f t="shared" si="3"/>
        <v>0</v>
      </c>
      <c r="L54" s="21">
        <f t="shared" si="3"/>
        <v>0</v>
      </c>
      <c r="M54" s="21">
        <f t="shared" si="3"/>
        <v>39.702410903858016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0.20936038586493744</v>
      </c>
      <c r="C56" s="56">
        <f ca="1">'EF ele_warmte'!B22</f>
        <v>0.23743589743589752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2.0282977015203305</v>
      </c>
      <c r="C58" s="23">
        <f t="shared" ref="C58:P58" ca="1" si="4">C54*C56</f>
        <v>0</v>
      </c>
      <c r="D58" s="23">
        <f t="shared" si="4"/>
        <v>0</v>
      </c>
      <c r="E58" s="23">
        <f t="shared" si="4"/>
        <v>0</v>
      </c>
      <c r="F58" s="23">
        <f t="shared" si="4"/>
        <v>0</v>
      </c>
      <c r="G58" s="23">
        <f t="shared" si="4"/>
        <v>187.41134360141186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7026.7866770469482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N31</f>
        <v>688.49999999999989</v>
      </c>
      <c r="C8" s="539">
        <f>B50</f>
        <v>809.2802741812643</v>
      </c>
      <c r="D8" s="540"/>
      <c r="E8" s="540">
        <f>E50</f>
        <v>0</v>
      </c>
      <c r="F8" s="541"/>
      <c r="G8" s="542"/>
      <c r="H8" s="540">
        <f>I50</f>
        <v>0</v>
      </c>
      <c r="I8" s="540">
        <f>G50+F50</f>
        <v>0</v>
      </c>
      <c r="J8" s="540">
        <f>H50+D50+C50</f>
        <v>0</v>
      </c>
      <c r="K8" s="540"/>
      <c r="L8" s="540"/>
      <c r="M8" s="540"/>
      <c r="N8" s="543"/>
      <c r="O8" s="544">
        <f>C8*$C$12+D8*$D$12+E8*$E$12+F8*$F$12+G8*$G$12+H8*$H$12+I8*$I$12+J8*$J$12</f>
        <v>163.47461538461539</v>
      </c>
      <c r="P8" s="1230"/>
      <c r="Q8" s="1231"/>
      <c r="S8" s="534"/>
      <c r="T8" s="1227"/>
      <c r="U8" s="1227"/>
    </row>
    <row r="9" spans="1:21" s="525" customFormat="1" ht="17.45" customHeight="1" thickBot="1">
      <c r="A9" s="545" t="s">
        <v>236</v>
      </c>
      <c r="B9" s="546">
        <f>N38+'Eigen informatie GS &amp; warmtenet'!B12</f>
        <v>0</v>
      </c>
      <c r="C9" s="547">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7715.2866770469482</v>
      </c>
      <c r="C10" s="554">
        <f t="shared" ref="C10:L10" si="0">SUM(C8:C9)</f>
        <v>809.2802741812643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163.47461538461539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O31</f>
        <v>999.642857142857</v>
      </c>
      <c r="C17" s="570">
        <f>B51</f>
        <v>1175.0054401044501</v>
      </c>
      <c r="D17" s="571"/>
      <c r="E17" s="571">
        <f>E51</f>
        <v>0</v>
      </c>
      <c r="F17" s="572"/>
      <c r="G17" s="573"/>
      <c r="H17" s="570">
        <f>I51</f>
        <v>0</v>
      </c>
      <c r="I17" s="571">
        <f>G51+F51</f>
        <v>0</v>
      </c>
      <c r="J17" s="571">
        <f>H51+D51+C51</f>
        <v>0</v>
      </c>
      <c r="K17" s="571"/>
      <c r="L17" s="571"/>
      <c r="M17" s="571"/>
      <c r="N17" s="924"/>
      <c r="O17" s="574">
        <f>C17*$C$22+E17*$E$22+H17*$H$22+I17*$I$22+J17*$J$22+D17*$D$22+F17*$F$22+G17*$G$22+K17*$K$22+L17*$L$22</f>
        <v>237.35109890109894</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999.642857142857</v>
      </c>
      <c r="C20" s="553">
        <f>SUM(C17:C19)</f>
        <v>1175.0054401044501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237.35109890109894</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45041</v>
      </c>
      <c r="C28" s="745">
        <v>9600</v>
      </c>
      <c r="D28" s="631"/>
      <c r="E28" s="630"/>
      <c r="F28" s="630"/>
      <c r="G28" s="630" t="s">
        <v>883</v>
      </c>
      <c r="H28" s="630" t="s">
        <v>883</v>
      </c>
      <c r="I28" s="630"/>
      <c r="J28" s="744"/>
      <c r="K28" s="744"/>
      <c r="L28" s="630" t="s">
        <v>884</v>
      </c>
      <c r="M28" s="630">
        <v>1</v>
      </c>
      <c r="N28" s="630">
        <v>4.5</v>
      </c>
      <c r="O28" s="630">
        <v>22.5</v>
      </c>
      <c r="P28" s="630">
        <v>30</v>
      </c>
      <c r="Q28" s="630">
        <v>0</v>
      </c>
      <c r="R28" s="630">
        <v>0</v>
      </c>
      <c r="S28" s="630">
        <v>0</v>
      </c>
      <c r="T28" s="630">
        <v>0</v>
      </c>
      <c r="U28" s="630">
        <v>0</v>
      </c>
      <c r="V28" s="630">
        <v>0</v>
      </c>
      <c r="W28" s="630">
        <v>0</v>
      </c>
      <c r="X28" s="630"/>
      <c r="Y28" s="630">
        <v>1300</v>
      </c>
      <c r="Z28" s="630" t="s">
        <v>53</v>
      </c>
      <c r="AA28" s="632" t="s">
        <v>149</v>
      </c>
    </row>
    <row r="29" spans="1:27" s="584" customFormat="1" ht="51" hidden="1">
      <c r="A29" s="583"/>
      <c r="B29" s="745">
        <v>45041</v>
      </c>
      <c r="C29" s="745">
        <v>9600</v>
      </c>
      <c r="D29" s="631"/>
      <c r="E29" s="630"/>
      <c r="F29" s="630"/>
      <c r="G29" s="630" t="s">
        <v>885</v>
      </c>
      <c r="H29" s="630" t="s">
        <v>886</v>
      </c>
      <c r="I29" s="630"/>
      <c r="J29" s="744"/>
      <c r="K29" s="744"/>
      <c r="L29" s="630" t="s">
        <v>884</v>
      </c>
      <c r="M29" s="630">
        <v>142</v>
      </c>
      <c r="N29" s="630">
        <v>638.99999999999989</v>
      </c>
      <c r="O29" s="630">
        <v>912.85714285714266</v>
      </c>
      <c r="P29" s="630">
        <v>1825.7142857142856</v>
      </c>
      <c r="Q29" s="630">
        <v>0</v>
      </c>
      <c r="R29" s="630">
        <v>0</v>
      </c>
      <c r="S29" s="630">
        <v>0</v>
      </c>
      <c r="T29" s="630">
        <v>0</v>
      </c>
      <c r="U29" s="630">
        <v>0</v>
      </c>
      <c r="V29" s="630">
        <v>0</v>
      </c>
      <c r="W29" s="630">
        <v>0</v>
      </c>
      <c r="X29" s="630"/>
      <c r="Y29" s="630">
        <v>1500</v>
      </c>
      <c r="Z29" s="630" t="s">
        <v>50</v>
      </c>
      <c r="AA29" s="632" t="s">
        <v>149</v>
      </c>
    </row>
    <row r="30" spans="1:27" s="584" customFormat="1" ht="25.5" hidden="1">
      <c r="A30" s="583"/>
      <c r="B30" s="745">
        <v>45041</v>
      </c>
      <c r="C30" s="745">
        <v>9600</v>
      </c>
      <c r="D30" s="631"/>
      <c r="E30" s="630"/>
      <c r="F30" s="630"/>
      <c r="G30" s="630" t="s">
        <v>887</v>
      </c>
      <c r="H30" s="630" t="s">
        <v>886</v>
      </c>
      <c r="I30" s="630"/>
      <c r="J30" s="744"/>
      <c r="K30" s="744"/>
      <c r="L30" s="630" t="s">
        <v>888</v>
      </c>
      <c r="M30" s="630">
        <v>10</v>
      </c>
      <c r="N30" s="630">
        <v>45</v>
      </c>
      <c r="O30" s="630">
        <v>64.285714285714292</v>
      </c>
      <c r="P30" s="630">
        <v>128.57142857142858</v>
      </c>
      <c r="Q30" s="630">
        <v>0</v>
      </c>
      <c r="R30" s="630">
        <v>0</v>
      </c>
      <c r="S30" s="630">
        <v>0</v>
      </c>
      <c r="T30" s="630">
        <v>0</v>
      </c>
      <c r="U30" s="630">
        <v>0</v>
      </c>
      <c r="V30" s="630">
        <v>0</v>
      </c>
      <c r="W30" s="630">
        <v>0</v>
      </c>
      <c r="X30" s="630"/>
      <c r="Y30" s="630">
        <v>1100</v>
      </c>
      <c r="Z30" s="630" t="s">
        <v>51</v>
      </c>
      <c r="AA30" s="632" t="s">
        <v>149</v>
      </c>
    </row>
    <row r="31" spans="1:27" s="564" customFormat="1" hidden="1">
      <c r="A31" s="586" t="s">
        <v>268</v>
      </c>
      <c r="B31" s="587"/>
      <c r="C31" s="587"/>
      <c r="D31" s="587"/>
      <c r="E31" s="587"/>
      <c r="F31" s="587"/>
      <c r="G31" s="587"/>
      <c r="H31" s="587"/>
      <c r="I31" s="587"/>
      <c r="J31" s="587"/>
      <c r="K31" s="587"/>
      <c r="L31" s="588"/>
      <c r="M31" s="588">
        <f>SUM(M28:M30)</f>
        <v>153</v>
      </c>
      <c r="N31" s="588">
        <f>SUM(N28:N30)</f>
        <v>688.49999999999989</v>
      </c>
      <c r="O31" s="588">
        <f>SUM(O28:O30)</f>
        <v>999.642857142857</v>
      </c>
      <c r="P31" s="588">
        <f>SUM(P28:P30)</f>
        <v>1984.2857142857142</v>
      </c>
      <c r="Q31" s="588">
        <f>SUM(Q28:Q30)</f>
        <v>0</v>
      </c>
      <c r="R31" s="588">
        <f>SUM(R28:R30)</f>
        <v>0</v>
      </c>
      <c r="S31" s="588">
        <f>SUM(S28:S30)</f>
        <v>0</v>
      </c>
      <c r="T31" s="588">
        <f>SUM(T28:T30)</f>
        <v>0</v>
      </c>
      <c r="U31" s="588">
        <f>SUM(U28:U30)</f>
        <v>0</v>
      </c>
      <c r="V31" s="588">
        <f>SUM(V28:V30)</f>
        <v>0</v>
      </c>
      <c r="W31" s="588">
        <f>SUM(W28:W30)</f>
        <v>0</v>
      </c>
      <c r="X31" s="588"/>
      <c r="Y31" s="589"/>
      <c r="Z31" s="589"/>
      <c r="AA31" s="590"/>
    </row>
    <row r="32" spans="1:27" s="564" customFormat="1">
      <c r="A32" s="586" t="s">
        <v>275</v>
      </c>
      <c r="B32" s="587"/>
      <c r="C32" s="587"/>
      <c r="D32" s="587"/>
      <c r="E32" s="587"/>
      <c r="F32" s="587"/>
      <c r="G32" s="587"/>
      <c r="H32" s="587"/>
      <c r="I32" s="587"/>
      <c r="J32" s="587"/>
      <c r="K32" s="587"/>
      <c r="L32" s="588"/>
      <c r="M32" s="588">
        <f>SUMIF($AA$28:$AA$30,"industrie",M28:M30)</f>
        <v>0</v>
      </c>
      <c r="N32" s="588">
        <f>SUMIF($AA$28:$AA$30,"industrie",N28:N30)</f>
        <v>0</v>
      </c>
      <c r="O32" s="588">
        <f>SUMIF($AA$28:$AA$30,"industrie",O28:O30)</f>
        <v>0</v>
      </c>
      <c r="P32" s="588">
        <f>SUMIF($AA$28:$AA$30,"industrie",P28:P30)</f>
        <v>0</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c r="Y32" s="589"/>
      <c r="Z32" s="589"/>
      <c r="AA32" s="590"/>
    </row>
    <row r="33" spans="1:28" s="564" customFormat="1">
      <c r="A33" s="586" t="s">
        <v>276</v>
      </c>
      <c r="B33" s="587"/>
      <c r="C33" s="587"/>
      <c r="D33" s="587"/>
      <c r="E33" s="587"/>
      <c r="F33" s="587"/>
      <c r="G33" s="587"/>
      <c r="H33" s="587"/>
      <c r="I33" s="587"/>
      <c r="J33" s="587"/>
      <c r="K33" s="587"/>
      <c r="L33" s="588"/>
      <c r="M33" s="588">
        <f ca="1">SUMIF($AA$28:AD30,"tertiair",M28:M30)</f>
        <v>153</v>
      </c>
      <c r="N33" s="588">
        <f ca="1">SUMIF($AA$28:AE30,"tertiair",N28:N30)</f>
        <v>688.49999999999989</v>
      </c>
      <c r="O33" s="588">
        <f ca="1">SUMIF($AA$28:AF30,"tertiair",O28:O30)</f>
        <v>999.642857142857</v>
      </c>
      <c r="P33" s="588">
        <f ca="1">SUMIF($AA$28:AG30,"tertiair",P28:P30)</f>
        <v>1984.2857142857142</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c r="Y33" s="589"/>
      <c r="Z33" s="589"/>
      <c r="AA33" s="590"/>
    </row>
    <row r="34" spans="1:28" s="564" customFormat="1" ht="15.75" thickBot="1">
      <c r="A34" s="591" t="s">
        <v>277</v>
      </c>
      <c r="B34" s="592"/>
      <c r="C34" s="592"/>
      <c r="D34" s="592"/>
      <c r="E34" s="592"/>
      <c r="F34" s="592"/>
      <c r="G34" s="592"/>
      <c r="H34" s="592"/>
      <c r="I34" s="592"/>
      <c r="J34" s="592"/>
      <c r="K34" s="592"/>
      <c r="L34" s="593"/>
      <c r="M34" s="593">
        <f>SUMIF($AA$28:$AA$30,"landbouw",M28:M30)</f>
        <v>0</v>
      </c>
      <c r="N34" s="593">
        <f>SUMIF($AA$28:$AA$30,"landbouw",N28:N30)</f>
        <v>0</v>
      </c>
      <c r="O34" s="593">
        <f>SUMIF($AA$28:$AA$30,"landbouw",O28:O30)</f>
        <v>0</v>
      </c>
      <c r="P34" s="593">
        <f>SUMIF($AA$28:$AA$30,"landbouw",P28:P30)</f>
        <v>0</v>
      </c>
      <c r="Q34" s="593">
        <f>SUMIF($AA$28:$AA$30,"landbouw",Q28:Q30)</f>
        <v>0</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98" t="s">
        <v>269</v>
      </c>
      <c r="B36" s="627" t="s">
        <v>89</v>
      </c>
      <c r="C36" s="627" t="s">
        <v>90</v>
      </c>
      <c r="D36" s="627"/>
      <c r="E36" s="627"/>
      <c r="F36" s="627"/>
      <c r="G36" s="627" t="s">
        <v>91</v>
      </c>
      <c r="H36" s="627" t="s">
        <v>92</v>
      </c>
      <c r="I36" s="627"/>
      <c r="J36" s="627"/>
      <c r="K36" s="627"/>
      <c r="L36" s="627" t="s">
        <v>93</v>
      </c>
      <c r="M36" s="628" t="s">
        <v>286</v>
      </c>
      <c r="N36" s="628" t="s">
        <v>94</v>
      </c>
      <c r="O36" s="628" t="s">
        <v>95</v>
      </c>
      <c r="P36" s="628" t="s">
        <v>509</v>
      </c>
      <c r="Q36" s="628" t="s">
        <v>96</v>
      </c>
      <c r="R36" s="628" t="s">
        <v>97</v>
      </c>
      <c r="S36" s="628" t="s">
        <v>98</v>
      </c>
      <c r="T36" s="628" t="s">
        <v>99</v>
      </c>
      <c r="U36" s="628" t="s">
        <v>100</v>
      </c>
      <c r="V36" s="628" t="s">
        <v>101</v>
      </c>
      <c r="W36" s="627" t="s">
        <v>102</v>
      </c>
      <c r="X36" s="627" t="s">
        <v>882</v>
      </c>
      <c r="Y36" s="627" t="s">
        <v>287</v>
      </c>
      <c r="Z36" s="627" t="s">
        <v>103</v>
      </c>
      <c r="AA36" s="629" t="s">
        <v>288</v>
      </c>
    </row>
    <row r="37" spans="1:28" s="599" customFormat="1" ht="12.75" hidden="1">
      <c r="A37" s="585"/>
      <c r="B37" s="745"/>
      <c r="C37" s="745"/>
      <c r="D37" s="633"/>
      <c r="E37" s="633"/>
      <c r="F37" s="633"/>
      <c r="G37" s="633"/>
      <c r="H37" s="633"/>
      <c r="I37" s="633"/>
      <c r="J37" s="744"/>
      <c r="K37" s="744"/>
      <c r="L37" s="633"/>
      <c r="M37" s="633"/>
      <c r="N37" s="633"/>
      <c r="O37" s="633"/>
      <c r="P37" s="633"/>
      <c r="Q37" s="633"/>
      <c r="R37" s="633"/>
      <c r="S37" s="633"/>
      <c r="T37" s="633"/>
      <c r="U37" s="633"/>
      <c r="V37" s="633"/>
      <c r="W37" s="633"/>
      <c r="X37" s="633"/>
      <c r="Y37" s="633"/>
      <c r="Z37" s="633"/>
      <c r="AA37" s="634"/>
    </row>
    <row r="38" spans="1:28" s="564" customFormat="1" hidden="1">
      <c r="A38" s="586" t="s">
        <v>268</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c r="Y38" s="589"/>
      <c r="Z38" s="589"/>
      <c r="AA38" s="590"/>
    </row>
    <row r="39" spans="1:28" s="564" customFormat="1">
      <c r="A39" s="586" t="s">
        <v>275</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c r="Y39" s="589"/>
      <c r="Z39" s="589"/>
      <c r="AA39" s="590"/>
    </row>
    <row r="40" spans="1:28" s="564" customFormat="1">
      <c r="A40" s="586" t="s">
        <v>276</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c r="Y40" s="589"/>
      <c r="Z40" s="589"/>
      <c r="AA40" s="590"/>
    </row>
    <row r="41" spans="1:28" s="564" customFormat="1" ht="15.75" thickBot="1">
      <c r="A41" s="591" t="s">
        <v>277</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c r="Y41" s="594"/>
      <c r="Z41" s="594"/>
      <c r="AA41" s="595"/>
    </row>
    <row r="42" spans="1:28" s="600"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600"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1" t="s">
        <v>270</v>
      </c>
      <c r="B44" s="602"/>
      <c r="C44" s="602"/>
      <c r="D44" s="602"/>
      <c r="E44" s="602"/>
      <c r="F44" s="602"/>
      <c r="G44" s="602"/>
      <c r="H44" s="602"/>
      <c r="I44" s="603"/>
      <c r="J44" s="604"/>
      <c r="K44" s="604"/>
      <c r="L44" s="605"/>
      <c r="M44" s="605"/>
      <c r="N44" s="605"/>
      <c r="O44" s="605"/>
      <c r="P44" s="605"/>
    </row>
    <row r="45" spans="1:28">
      <c r="A45" s="607"/>
      <c r="B45" s="597"/>
      <c r="C45" s="597"/>
      <c r="D45" s="597"/>
      <c r="E45" s="597"/>
      <c r="F45" s="597"/>
      <c r="G45" s="597"/>
      <c r="H45" s="597"/>
      <c r="I45" s="608"/>
      <c r="J45" s="597"/>
      <c r="K45" s="597"/>
      <c r="L45" s="605"/>
      <c r="M45" s="605"/>
      <c r="N45" s="605"/>
      <c r="O45" s="605"/>
      <c r="P45" s="605"/>
    </row>
    <row r="46" spans="1:28">
      <c r="A46" s="609"/>
      <c r="B46" s="610" t="s">
        <v>271</v>
      </c>
      <c r="C46" s="610" t="s">
        <v>272</v>
      </c>
      <c r="D46" s="610"/>
      <c r="E46" s="610"/>
      <c r="F46" s="610"/>
      <c r="G46" s="610"/>
      <c r="H46" s="610"/>
      <c r="I46" s="611"/>
      <c r="J46" s="610"/>
      <c r="K46" s="610"/>
      <c r="L46" s="610"/>
      <c r="M46" s="610"/>
      <c r="N46" s="610"/>
      <c r="O46" s="610"/>
      <c r="P46" s="605"/>
    </row>
    <row r="47" spans="1:28">
      <c r="A47" s="607" t="s">
        <v>268</v>
      </c>
      <c r="B47" s="612">
        <f>IF(ISERROR(O31/(O31+N31)),0,O31/(O31+N31))</f>
        <v>0.59215536938309221</v>
      </c>
      <c r="C47" s="613">
        <f>IF(ISERROR(N31/(O31+N31)),0,N31/(N31+O31))</f>
        <v>0.40784463061690784</v>
      </c>
      <c r="D47" s="580"/>
      <c r="E47" s="580"/>
      <c r="F47" s="580"/>
      <c r="G47" s="580"/>
      <c r="H47" s="580"/>
      <c r="I47" s="614"/>
      <c r="J47" s="580"/>
      <c r="K47" s="580"/>
      <c r="L47" s="615"/>
      <c r="M47" s="615"/>
      <c r="N47" s="615"/>
      <c r="O47" s="615"/>
      <c r="P47" s="605"/>
    </row>
    <row r="48" spans="1:28">
      <c r="A48" s="607"/>
      <c r="B48" s="616"/>
      <c r="C48" s="616"/>
      <c r="D48" s="616"/>
      <c r="E48" s="616"/>
      <c r="F48" s="616"/>
      <c r="G48" s="616"/>
      <c r="H48" s="616"/>
      <c r="I48" s="617"/>
      <c r="J48" s="616"/>
      <c r="K48" s="616"/>
      <c r="L48" s="618"/>
      <c r="M48" s="618"/>
      <c r="N48" s="618"/>
      <c r="O48" s="618"/>
      <c r="P48" s="605"/>
    </row>
    <row r="49" spans="1:16" ht="30">
      <c r="A49" s="619"/>
      <c r="B49" s="620" t="s">
        <v>509</v>
      </c>
      <c r="C49" s="620" t="s">
        <v>96</v>
      </c>
      <c r="D49" s="620" t="s">
        <v>97</v>
      </c>
      <c r="E49" s="620" t="s">
        <v>98</v>
      </c>
      <c r="F49" s="620" t="s">
        <v>99</v>
      </c>
      <c r="G49" s="620" t="s">
        <v>100</v>
      </c>
      <c r="H49" s="620" t="s">
        <v>101</v>
      </c>
      <c r="I49" s="621" t="s">
        <v>102</v>
      </c>
      <c r="J49" s="610"/>
      <c r="K49" s="610"/>
      <c r="L49" s="618"/>
      <c r="M49" s="618"/>
      <c r="N49" s="618"/>
      <c r="O49" s="605"/>
      <c r="P49" s="605"/>
    </row>
    <row r="50" spans="1:16">
      <c r="A50" s="609" t="s">
        <v>273</v>
      </c>
      <c r="B50" s="622">
        <f t="shared" ref="B50:I50" si="2">$C$47*P31</f>
        <v>809.2802741812643</v>
      </c>
      <c r="C50" s="622">
        <f t="shared" si="2"/>
        <v>0</v>
      </c>
      <c r="D50" s="622">
        <f t="shared" si="2"/>
        <v>0</v>
      </c>
      <c r="E50" s="622">
        <f t="shared" si="2"/>
        <v>0</v>
      </c>
      <c r="F50" s="622">
        <f t="shared" si="2"/>
        <v>0</v>
      </c>
      <c r="G50" s="622">
        <f t="shared" si="2"/>
        <v>0</v>
      </c>
      <c r="H50" s="622">
        <f t="shared" si="2"/>
        <v>0</v>
      </c>
      <c r="I50" s="623">
        <f t="shared" si="2"/>
        <v>0</v>
      </c>
      <c r="J50" s="580"/>
      <c r="K50" s="580"/>
      <c r="L50" s="618"/>
      <c r="M50" s="618"/>
      <c r="N50" s="618"/>
      <c r="O50" s="605"/>
      <c r="P50" s="605"/>
    </row>
    <row r="51" spans="1:16" ht="15.75" thickBot="1">
      <c r="A51" s="624" t="s">
        <v>274</v>
      </c>
      <c r="B51" s="625">
        <f t="shared" ref="B51:I51" si="3">$B$47*P31</f>
        <v>1175.0054401044501</v>
      </c>
      <c r="C51" s="625">
        <f t="shared" si="3"/>
        <v>0</v>
      </c>
      <c r="D51" s="625">
        <f t="shared" si="3"/>
        <v>0</v>
      </c>
      <c r="E51" s="625">
        <f t="shared" si="3"/>
        <v>0</v>
      </c>
      <c r="F51" s="625">
        <f t="shared" si="3"/>
        <v>0</v>
      </c>
      <c r="G51" s="625">
        <f t="shared" si="3"/>
        <v>0</v>
      </c>
      <c r="H51" s="625">
        <f t="shared" si="3"/>
        <v>0</v>
      </c>
      <c r="I51" s="626">
        <f t="shared" si="3"/>
        <v>0</v>
      </c>
      <c r="J51" s="580"/>
      <c r="K51" s="580"/>
      <c r="L51" s="618"/>
      <c r="M51" s="618"/>
      <c r="N51" s="618"/>
      <c r="O51" s="605"/>
      <c r="P51" s="605"/>
    </row>
    <row r="52" spans="1:16">
      <c r="J52" s="560"/>
      <c r="K52" s="560"/>
      <c r="L52" s="560"/>
      <c r="M52" s="560"/>
      <c r="N52" s="560"/>
    </row>
    <row r="53" spans="1:16">
      <c r="J53" s="560"/>
      <c r="K53" s="560"/>
      <c r="L53" s="560"/>
      <c r="M53" s="560"/>
      <c r="N53"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35711.525018</v>
      </c>
      <c r="D10" s="641">
        <f ca="1">tertiair!C16</f>
        <v>999.642857142857</v>
      </c>
      <c r="E10" s="641">
        <f ca="1">tertiair!D16</f>
        <v>44778.347661920277</v>
      </c>
      <c r="F10" s="641">
        <f>tertiair!E16</f>
        <v>98.657456173246189</v>
      </c>
      <c r="G10" s="641">
        <f ca="1">tertiair!F16</f>
        <v>7135.6112925578855</v>
      </c>
      <c r="H10" s="641">
        <f>tertiair!G16</f>
        <v>0</v>
      </c>
      <c r="I10" s="641">
        <f>tertiair!H16</f>
        <v>0</v>
      </c>
      <c r="J10" s="641">
        <f>tertiair!I16</f>
        <v>0</v>
      </c>
      <c r="K10" s="641">
        <f>tertiair!J16</f>
        <v>5.8640595482150636E-2</v>
      </c>
      <c r="L10" s="641">
        <f>tertiair!K16</f>
        <v>0</v>
      </c>
      <c r="M10" s="641">
        <f ca="1">tertiair!L16</f>
        <v>0</v>
      </c>
      <c r="N10" s="641">
        <f>tertiair!M16</f>
        <v>0</v>
      </c>
      <c r="O10" s="641">
        <f ca="1">tertiair!N16</f>
        <v>2183.6576155434432</v>
      </c>
      <c r="P10" s="641">
        <f>tertiair!O16</f>
        <v>0</v>
      </c>
      <c r="Q10" s="642">
        <f>tertiair!P16</f>
        <v>0</v>
      </c>
      <c r="R10" s="644">
        <f ca="1">SUM(C10:Q10)</f>
        <v>90907.500541933172</v>
      </c>
      <c r="S10" s="67"/>
    </row>
    <row r="11" spans="1:19" s="440" customFormat="1">
      <c r="A11" s="761" t="s">
        <v>213</v>
      </c>
      <c r="B11" s="766"/>
      <c r="C11" s="641">
        <f>huishoudens!B8</f>
        <v>36268.039986013442</v>
      </c>
      <c r="D11" s="641">
        <f>huishoudens!C8</f>
        <v>0</v>
      </c>
      <c r="E11" s="641">
        <f>huishoudens!D8</f>
        <v>101461.3131422</v>
      </c>
      <c r="F11" s="641">
        <f>huishoudens!E8</f>
        <v>2036.7491130806109</v>
      </c>
      <c r="G11" s="641">
        <f>huishoudens!F8</f>
        <v>39195.807139229204</v>
      </c>
      <c r="H11" s="641">
        <f>huishoudens!G8</f>
        <v>0</v>
      </c>
      <c r="I11" s="641">
        <f>huishoudens!H8</f>
        <v>0</v>
      </c>
      <c r="J11" s="641">
        <f>huishoudens!I8</f>
        <v>0</v>
      </c>
      <c r="K11" s="641">
        <f>huishoudens!J8</f>
        <v>200.56911699516826</v>
      </c>
      <c r="L11" s="641">
        <f>huishoudens!K8</f>
        <v>0</v>
      </c>
      <c r="M11" s="641">
        <f>huishoudens!L8</f>
        <v>0</v>
      </c>
      <c r="N11" s="641">
        <f>huishoudens!M8</f>
        <v>0</v>
      </c>
      <c r="O11" s="641">
        <f>huishoudens!N8</f>
        <v>13124.436284905814</v>
      </c>
      <c r="P11" s="641">
        <f>huishoudens!O8</f>
        <v>261.88248495908823</v>
      </c>
      <c r="Q11" s="642">
        <f>huishoudens!P8</f>
        <v>326.5527385382357</v>
      </c>
      <c r="R11" s="644">
        <f>SUM(C11:Q11)</f>
        <v>192875.35000592159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58608.761842000007</v>
      </c>
      <c r="D13" s="641">
        <f>industrie!C18</f>
        <v>0</v>
      </c>
      <c r="E13" s="641">
        <f>industrie!D18</f>
        <v>88595.132049578009</v>
      </c>
      <c r="F13" s="641">
        <f>industrie!E18</f>
        <v>1126.3868797761595</v>
      </c>
      <c r="G13" s="641">
        <f>industrie!F18</f>
        <v>6472.6777268697178</v>
      </c>
      <c r="H13" s="641">
        <f>industrie!G18</f>
        <v>0</v>
      </c>
      <c r="I13" s="641">
        <f>industrie!H18</f>
        <v>0</v>
      </c>
      <c r="J13" s="641">
        <f>industrie!I18</f>
        <v>0</v>
      </c>
      <c r="K13" s="641">
        <f>industrie!J18</f>
        <v>80.657682329390397</v>
      </c>
      <c r="L13" s="641">
        <f>industrie!K18</f>
        <v>0</v>
      </c>
      <c r="M13" s="641">
        <f>industrie!L18</f>
        <v>0</v>
      </c>
      <c r="N13" s="641">
        <f>industrie!M18</f>
        <v>0</v>
      </c>
      <c r="O13" s="641">
        <f>industrie!N18</f>
        <v>961.76510502211681</v>
      </c>
      <c r="P13" s="641">
        <f>industrie!O18</f>
        <v>0</v>
      </c>
      <c r="Q13" s="642">
        <f>industrie!P18</f>
        <v>0</v>
      </c>
      <c r="R13" s="644">
        <f>SUM(C13:Q13)</f>
        <v>155845.38128557539</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130588.32684601346</v>
      </c>
      <c r="D16" s="677">
        <f t="shared" ref="D16:R16" ca="1" si="0">SUM(D9:D15)</f>
        <v>999.642857142857</v>
      </c>
      <c r="E16" s="677">
        <f t="shared" ca="1" si="0"/>
        <v>234834.79285369828</v>
      </c>
      <c r="F16" s="677">
        <f t="shared" si="0"/>
        <v>3261.7934490300167</v>
      </c>
      <c r="G16" s="677">
        <f t="shared" ca="1" si="0"/>
        <v>52804.096158656808</v>
      </c>
      <c r="H16" s="677">
        <f t="shared" si="0"/>
        <v>0</v>
      </c>
      <c r="I16" s="677">
        <f t="shared" si="0"/>
        <v>0</v>
      </c>
      <c r="J16" s="677">
        <f t="shared" si="0"/>
        <v>0</v>
      </c>
      <c r="K16" s="677">
        <f t="shared" si="0"/>
        <v>281.2854399200408</v>
      </c>
      <c r="L16" s="677">
        <f t="shared" si="0"/>
        <v>0</v>
      </c>
      <c r="M16" s="677">
        <f t="shared" ca="1" si="0"/>
        <v>0</v>
      </c>
      <c r="N16" s="677">
        <f t="shared" si="0"/>
        <v>0</v>
      </c>
      <c r="O16" s="677">
        <f t="shared" ca="1" si="0"/>
        <v>16269.859005471375</v>
      </c>
      <c r="P16" s="677">
        <f t="shared" si="0"/>
        <v>261.88248495908823</v>
      </c>
      <c r="Q16" s="677">
        <f t="shared" si="0"/>
        <v>326.5527385382357</v>
      </c>
      <c r="R16" s="677">
        <f t="shared" ca="1" si="0"/>
        <v>439628.23183343018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9.688068223321034</v>
      </c>
      <c r="D19" s="641">
        <f>transport!C54</f>
        <v>0</v>
      </c>
      <c r="E19" s="641">
        <f>transport!D54</f>
        <v>0</v>
      </c>
      <c r="F19" s="641">
        <f>transport!E54</f>
        <v>0</v>
      </c>
      <c r="G19" s="641">
        <f>transport!F54</f>
        <v>0</v>
      </c>
      <c r="H19" s="641">
        <f>transport!G54</f>
        <v>701.91514457457617</v>
      </c>
      <c r="I19" s="641">
        <f>transport!H54</f>
        <v>0</v>
      </c>
      <c r="J19" s="641">
        <f>transport!I54</f>
        <v>0</v>
      </c>
      <c r="K19" s="641">
        <f>transport!J54</f>
        <v>0</v>
      </c>
      <c r="L19" s="641">
        <f>transport!K54</f>
        <v>0</v>
      </c>
      <c r="M19" s="641">
        <f>transport!L54</f>
        <v>0</v>
      </c>
      <c r="N19" s="641">
        <f>transport!M54</f>
        <v>39.702410903858016</v>
      </c>
      <c r="O19" s="641">
        <f>transport!N54</f>
        <v>0</v>
      </c>
      <c r="P19" s="641">
        <f>transport!O54</f>
        <v>0</v>
      </c>
      <c r="Q19" s="642">
        <f>transport!P54</f>
        <v>0</v>
      </c>
      <c r="R19" s="644">
        <f>SUM(C19:Q19)</f>
        <v>751.30562370175517</v>
      </c>
      <c r="S19" s="67"/>
    </row>
    <row r="20" spans="1:19" s="440" customFormat="1">
      <c r="A20" s="761" t="s">
        <v>295</v>
      </c>
      <c r="B20" s="766"/>
      <c r="C20" s="641">
        <f>transport!B14</f>
        <v>72.544500966981687</v>
      </c>
      <c r="D20" s="641">
        <f>transport!C14</f>
        <v>0</v>
      </c>
      <c r="E20" s="641">
        <f>transport!D14</f>
        <v>130.36981486050348</v>
      </c>
      <c r="F20" s="641">
        <f>transport!E14</f>
        <v>111.13718949280864</v>
      </c>
      <c r="G20" s="641">
        <f>transport!F14</f>
        <v>0</v>
      </c>
      <c r="H20" s="641">
        <f>transport!G14</f>
        <v>88945.068179981565</v>
      </c>
      <c r="I20" s="641">
        <f>transport!H14</f>
        <v>12469.83292043879</v>
      </c>
      <c r="J20" s="641">
        <f>transport!I14</f>
        <v>0</v>
      </c>
      <c r="K20" s="641">
        <f>transport!J14</f>
        <v>0</v>
      </c>
      <c r="L20" s="641">
        <f>transport!K14</f>
        <v>0</v>
      </c>
      <c r="M20" s="641">
        <f>transport!L14</f>
        <v>0</v>
      </c>
      <c r="N20" s="641">
        <f>transport!M14</f>
        <v>5952.5730047915558</v>
      </c>
      <c r="O20" s="641">
        <f>transport!N14</f>
        <v>0</v>
      </c>
      <c r="P20" s="641">
        <f>transport!O14</f>
        <v>0</v>
      </c>
      <c r="Q20" s="642">
        <f>transport!P14</f>
        <v>0</v>
      </c>
      <c r="R20" s="644">
        <f>SUM(C20:Q20)</f>
        <v>107681.5256105322</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82.232569190302726</v>
      </c>
      <c r="D22" s="764">
        <f t="shared" ref="D22:R22" si="1">SUM(D18:D21)</f>
        <v>0</v>
      </c>
      <c r="E22" s="764">
        <f t="shared" si="1"/>
        <v>130.36981486050348</v>
      </c>
      <c r="F22" s="764">
        <f t="shared" si="1"/>
        <v>111.13718949280864</v>
      </c>
      <c r="G22" s="764">
        <f t="shared" si="1"/>
        <v>0</v>
      </c>
      <c r="H22" s="764">
        <f t="shared" si="1"/>
        <v>89646.983324556146</v>
      </c>
      <c r="I22" s="764">
        <f t="shared" si="1"/>
        <v>12469.83292043879</v>
      </c>
      <c r="J22" s="764">
        <f t="shared" si="1"/>
        <v>0</v>
      </c>
      <c r="K22" s="764">
        <f t="shared" si="1"/>
        <v>0</v>
      </c>
      <c r="L22" s="764">
        <f t="shared" si="1"/>
        <v>0</v>
      </c>
      <c r="M22" s="764">
        <f t="shared" si="1"/>
        <v>0</v>
      </c>
      <c r="N22" s="764">
        <f t="shared" si="1"/>
        <v>5992.2754156954143</v>
      </c>
      <c r="O22" s="764">
        <f t="shared" si="1"/>
        <v>0</v>
      </c>
      <c r="P22" s="764">
        <f t="shared" si="1"/>
        <v>0</v>
      </c>
      <c r="Q22" s="764">
        <f t="shared" si="1"/>
        <v>0</v>
      </c>
      <c r="R22" s="764">
        <f t="shared" si="1"/>
        <v>108432.83123423396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354.24929099999997</v>
      </c>
      <c r="D24" s="641">
        <f>+landbouw!C8</f>
        <v>0</v>
      </c>
      <c r="E24" s="641">
        <f>+landbouw!D8</f>
        <v>116.45021416599999</v>
      </c>
      <c r="F24" s="641">
        <f>+landbouw!E8</f>
        <v>14.391891075543152</v>
      </c>
      <c r="G24" s="641">
        <f>+landbouw!F8</f>
        <v>1253.1036974475612</v>
      </c>
      <c r="H24" s="641">
        <f>+landbouw!G8</f>
        <v>0</v>
      </c>
      <c r="I24" s="641">
        <f>+landbouw!H8</f>
        <v>0</v>
      </c>
      <c r="J24" s="641">
        <f>+landbouw!I8</f>
        <v>0</v>
      </c>
      <c r="K24" s="641">
        <f>+landbouw!J8</f>
        <v>100.64956674214616</v>
      </c>
      <c r="L24" s="641">
        <f>+landbouw!K8</f>
        <v>0</v>
      </c>
      <c r="M24" s="641">
        <f>+landbouw!L8</f>
        <v>0</v>
      </c>
      <c r="N24" s="641">
        <f>+landbouw!M8</f>
        <v>0</v>
      </c>
      <c r="O24" s="641">
        <f>+landbouw!N8</f>
        <v>0</v>
      </c>
      <c r="P24" s="641">
        <f>+landbouw!O8</f>
        <v>0</v>
      </c>
      <c r="Q24" s="642">
        <f>+landbouw!P8</f>
        <v>0</v>
      </c>
      <c r="R24" s="644">
        <f>SUM(C24:Q24)</f>
        <v>1838.8446604312505</v>
      </c>
      <c r="S24" s="67"/>
    </row>
    <row r="25" spans="1:19" s="440" customFormat="1" ht="15" thickBot="1">
      <c r="A25" s="783" t="s">
        <v>683</v>
      </c>
      <c r="B25" s="901"/>
      <c r="C25" s="902">
        <f>IF(Onbekend_ele_kWh="---",0,Onbekend_ele_kWh)/1000+IF(REST_rest_ele_kWh="---",0,REST_rest_ele_kWh)/1000</f>
        <v>1419.7656890000001</v>
      </c>
      <c r="D25" s="902"/>
      <c r="E25" s="902">
        <f>IF(onbekend_gas_kWh="---",0,onbekend_gas_kWh)/1000+IF(REST_rest_gas_kWh="---",0,REST_rest_gas_kWh)/1000</f>
        <v>7195.3606519999994</v>
      </c>
      <c r="F25" s="902"/>
      <c r="G25" s="902"/>
      <c r="H25" s="902"/>
      <c r="I25" s="902"/>
      <c r="J25" s="902"/>
      <c r="K25" s="902"/>
      <c r="L25" s="902"/>
      <c r="M25" s="902"/>
      <c r="N25" s="902"/>
      <c r="O25" s="902"/>
      <c r="P25" s="902"/>
      <c r="Q25" s="903"/>
      <c r="R25" s="644">
        <f>SUM(C25:Q25)</f>
        <v>8615.1263409999992</v>
      </c>
      <c r="S25" s="67"/>
    </row>
    <row r="26" spans="1:19" s="440" customFormat="1" ht="15.75" thickBot="1">
      <c r="A26" s="649" t="s">
        <v>684</v>
      </c>
      <c r="B26" s="769"/>
      <c r="C26" s="764">
        <f>SUM(C24:C25)</f>
        <v>1774.0149799999999</v>
      </c>
      <c r="D26" s="764">
        <f t="shared" ref="D26:R26" si="2">SUM(D24:D25)</f>
        <v>0</v>
      </c>
      <c r="E26" s="764">
        <f t="shared" si="2"/>
        <v>7311.810866165999</v>
      </c>
      <c r="F26" s="764">
        <f t="shared" si="2"/>
        <v>14.391891075543152</v>
      </c>
      <c r="G26" s="764">
        <f t="shared" si="2"/>
        <v>1253.1036974475612</v>
      </c>
      <c r="H26" s="764">
        <f t="shared" si="2"/>
        <v>0</v>
      </c>
      <c r="I26" s="764">
        <f t="shared" si="2"/>
        <v>0</v>
      </c>
      <c r="J26" s="764">
        <f t="shared" si="2"/>
        <v>0</v>
      </c>
      <c r="K26" s="764">
        <f t="shared" si="2"/>
        <v>100.64956674214616</v>
      </c>
      <c r="L26" s="764">
        <f t="shared" si="2"/>
        <v>0</v>
      </c>
      <c r="M26" s="764">
        <f t="shared" si="2"/>
        <v>0</v>
      </c>
      <c r="N26" s="764">
        <f t="shared" si="2"/>
        <v>0</v>
      </c>
      <c r="O26" s="764">
        <f t="shared" si="2"/>
        <v>0</v>
      </c>
      <c r="P26" s="764">
        <f t="shared" si="2"/>
        <v>0</v>
      </c>
      <c r="Q26" s="764">
        <f t="shared" si="2"/>
        <v>0</v>
      </c>
      <c r="R26" s="764">
        <f t="shared" si="2"/>
        <v>10453.97100143125</v>
      </c>
      <c r="S26" s="67"/>
    </row>
    <row r="27" spans="1:19" s="440" customFormat="1" ht="17.25" thickTop="1" thickBot="1">
      <c r="A27" s="650" t="s">
        <v>109</v>
      </c>
      <c r="B27" s="756"/>
      <c r="C27" s="651">
        <f ca="1">C22+C16+C26</f>
        <v>132444.57439520376</v>
      </c>
      <c r="D27" s="651">
        <f t="shared" ref="D27:R27" ca="1" si="3">D22+D16+D26</f>
        <v>999.642857142857</v>
      </c>
      <c r="E27" s="651">
        <f t="shared" ca="1" si="3"/>
        <v>242276.97353472476</v>
      </c>
      <c r="F27" s="651">
        <f t="shared" si="3"/>
        <v>3387.3225295983689</v>
      </c>
      <c r="G27" s="651">
        <f t="shared" ca="1" si="3"/>
        <v>54057.199856104373</v>
      </c>
      <c r="H27" s="651">
        <f t="shared" si="3"/>
        <v>89646.983324556146</v>
      </c>
      <c r="I27" s="651">
        <f t="shared" si="3"/>
        <v>12469.83292043879</v>
      </c>
      <c r="J27" s="651">
        <f t="shared" si="3"/>
        <v>0</v>
      </c>
      <c r="K27" s="651">
        <f t="shared" si="3"/>
        <v>381.93500666218699</v>
      </c>
      <c r="L27" s="651">
        <f t="shared" si="3"/>
        <v>0</v>
      </c>
      <c r="M27" s="651">
        <f t="shared" ca="1" si="3"/>
        <v>0</v>
      </c>
      <c r="N27" s="651">
        <f t="shared" si="3"/>
        <v>5992.2754156954143</v>
      </c>
      <c r="O27" s="651">
        <f t="shared" ca="1" si="3"/>
        <v>16269.859005471375</v>
      </c>
      <c r="P27" s="651">
        <f t="shared" si="3"/>
        <v>261.88248495908823</v>
      </c>
      <c r="Q27" s="651">
        <f t="shared" si="3"/>
        <v>326.5527385382357</v>
      </c>
      <c r="R27" s="651">
        <f t="shared" ca="1" si="3"/>
        <v>558515.03406909539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7476.5786575938464</v>
      </c>
      <c r="D40" s="641">
        <f ca="1">tertiair!C20</f>
        <v>237.35109890109894</v>
      </c>
      <c r="E40" s="641">
        <f ca="1">tertiair!D20</f>
        <v>9045.2262277078971</v>
      </c>
      <c r="F40" s="641">
        <f>tertiair!E20</f>
        <v>22.395242551326884</v>
      </c>
      <c r="G40" s="641">
        <f ca="1">tertiair!F20</f>
        <v>1905.2082151129555</v>
      </c>
      <c r="H40" s="641">
        <f>tertiair!G20</f>
        <v>0</v>
      </c>
      <c r="I40" s="641">
        <f>tertiair!H20</f>
        <v>0</v>
      </c>
      <c r="J40" s="641">
        <f>tertiair!I20</f>
        <v>0</v>
      </c>
      <c r="K40" s="641">
        <f>tertiair!J20</f>
        <v>2.0758770800681323E-2</v>
      </c>
      <c r="L40" s="641">
        <f>tertiair!K20</f>
        <v>0</v>
      </c>
      <c r="M40" s="641">
        <f ca="1">tertiair!L20</f>
        <v>0</v>
      </c>
      <c r="N40" s="641">
        <f>tertiair!M20</f>
        <v>0</v>
      </c>
      <c r="O40" s="641">
        <f ca="1">tertiair!N20</f>
        <v>0</v>
      </c>
      <c r="P40" s="641">
        <f>tertiair!O20</f>
        <v>0</v>
      </c>
      <c r="Q40" s="724">
        <f>tertiair!P20</f>
        <v>0</v>
      </c>
      <c r="R40" s="802">
        <f t="shared" ca="1" si="4"/>
        <v>18686.780200637924</v>
      </c>
    </row>
    <row r="41" spans="1:18">
      <c r="A41" s="774" t="s">
        <v>213</v>
      </c>
      <c r="B41" s="781"/>
      <c r="C41" s="641">
        <f ca="1">huishoudens!B12</f>
        <v>7593.0908460367546</v>
      </c>
      <c r="D41" s="641">
        <f ca="1">huishoudens!C12</f>
        <v>0</v>
      </c>
      <c r="E41" s="641">
        <f>huishoudens!D12</f>
        <v>20495.185254724402</v>
      </c>
      <c r="F41" s="641">
        <f>huishoudens!E12</f>
        <v>462.34204866929866</v>
      </c>
      <c r="G41" s="641">
        <f>huishoudens!F12</f>
        <v>10465.280506174198</v>
      </c>
      <c r="H41" s="641">
        <f>huishoudens!G12</f>
        <v>0</v>
      </c>
      <c r="I41" s="641">
        <f>huishoudens!H12</f>
        <v>0</v>
      </c>
      <c r="J41" s="641">
        <f>huishoudens!I12</f>
        <v>0</v>
      </c>
      <c r="K41" s="641">
        <f>huishoudens!J12</f>
        <v>71.001467416289557</v>
      </c>
      <c r="L41" s="641">
        <f>huishoudens!K12</f>
        <v>0</v>
      </c>
      <c r="M41" s="641">
        <f>huishoudens!L12</f>
        <v>0</v>
      </c>
      <c r="N41" s="641">
        <f>huishoudens!M12</f>
        <v>0</v>
      </c>
      <c r="O41" s="641">
        <f>huishoudens!N12</f>
        <v>0</v>
      </c>
      <c r="P41" s="641">
        <f>huishoudens!O12</f>
        <v>0</v>
      </c>
      <c r="Q41" s="724">
        <f>huishoudens!P12</f>
        <v>0</v>
      </c>
      <c r="R41" s="802">
        <f t="shared" ca="1" si="4"/>
        <v>39086.90012302094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12270.352994307343</v>
      </c>
      <c r="D43" s="641">
        <f ca="1">industrie!C22</f>
        <v>0</v>
      </c>
      <c r="E43" s="641">
        <f>industrie!D22</f>
        <v>17896.216674014759</v>
      </c>
      <c r="F43" s="641">
        <f>industrie!E22</f>
        <v>255.68982170918821</v>
      </c>
      <c r="G43" s="641">
        <f>industrie!F22</f>
        <v>1728.2049530742147</v>
      </c>
      <c r="H43" s="641">
        <f>industrie!G22</f>
        <v>0</v>
      </c>
      <c r="I43" s="641">
        <f>industrie!H22</f>
        <v>0</v>
      </c>
      <c r="J43" s="641">
        <f>industrie!I22</f>
        <v>0</v>
      </c>
      <c r="K43" s="641">
        <f>industrie!J22</f>
        <v>28.552819544604198</v>
      </c>
      <c r="L43" s="641">
        <f>industrie!K22</f>
        <v>0</v>
      </c>
      <c r="M43" s="641">
        <f>industrie!L22</f>
        <v>0</v>
      </c>
      <c r="N43" s="641">
        <f>industrie!M22</f>
        <v>0</v>
      </c>
      <c r="O43" s="641">
        <f>industrie!N22</f>
        <v>0</v>
      </c>
      <c r="P43" s="641">
        <f>industrie!O22</f>
        <v>0</v>
      </c>
      <c r="Q43" s="724">
        <f>industrie!P22</f>
        <v>0</v>
      </c>
      <c r="R43" s="801">
        <f t="shared" ca="1" si="4"/>
        <v>32179.017262650112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27340.022497937942</v>
      </c>
      <c r="D46" s="677">
        <f t="shared" ref="D46:Q46" ca="1" si="5">SUM(D39:D45)</f>
        <v>237.35109890109894</v>
      </c>
      <c r="E46" s="677">
        <f t="shared" ca="1" si="5"/>
        <v>47436.628156447056</v>
      </c>
      <c r="F46" s="677">
        <f t="shared" si="5"/>
        <v>740.4271129298138</v>
      </c>
      <c r="G46" s="677">
        <f t="shared" ca="1" si="5"/>
        <v>14098.69367436137</v>
      </c>
      <c r="H46" s="677">
        <f t="shared" si="5"/>
        <v>0</v>
      </c>
      <c r="I46" s="677">
        <f t="shared" si="5"/>
        <v>0</v>
      </c>
      <c r="J46" s="677">
        <f t="shared" si="5"/>
        <v>0</v>
      </c>
      <c r="K46" s="677">
        <f t="shared" si="5"/>
        <v>99.575045731694445</v>
      </c>
      <c r="L46" s="677">
        <f t="shared" si="5"/>
        <v>0</v>
      </c>
      <c r="M46" s="677">
        <f t="shared" ca="1" si="5"/>
        <v>0</v>
      </c>
      <c r="N46" s="677">
        <f t="shared" si="5"/>
        <v>0</v>
      </c>
      <c r="O46" s="677">
        <f t="shared" ca="1" si="5"/>
        <v>0</v>
      </c>
      <c r="P46" s="677">
        <f t="shared" si="5"/>
        <v>0</v>
      </c>
      <c r="Q46" s="677">
        <f t="shared" si="5"/>
        <v>0</v>
      </c>
      <c r="R46" s="677">
        <f ca="1">SUM(R39:R45)</f>
        <v>89952.697586308976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2.0282977015203305</v>
      </c>
      <c r="D49" s="641">
        <f ca="1">transport!C58</f>
        <v>0</v>
      </c>
      <c r="E49" s="641">
        <f>transport!D58</f>
        <v>0</v>
      </c>
      <c r="F49" s="641">
        <f>transport!E58</f>
        <v>0</v>
      </c>
      <c r="G49" s="641">
        <f>transport!F58</f>
        <v>0</v>
      </c>
      <c r="H49" s="641">
        <f>transport!G58</f>
        <v>187.41134360141186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189.43964130293219</v>
      </c>
    </row>
    <row r="50" spans="1:18">
      <c r="A50" s="777" t="s">
        <v>295</v>
      </c>
      <c r="B50" s="787"/>
      <c r="C50" s="647">
        <f ca="1">transport!B18</f>
        <v>15.187944714826614</v>
      </c>
      <c r="D50" s="647">
        <f>transport!C18</f>
        <v>0</v>
      </c>
      <c r="E50" s="647">
        <f>transport!D18</f>
        <v>26.334702601821704</v>
      </c>
      <c r="F50" s="647">
        <f>transport!E18</f>
        <v>25.228142014867561</v>
      </c>
      <c r="G50" s="647">
        <f>transport!F18</f>
        <v>0</v>
      </c>
      <c r="H50" s="647">
        <f>transport!G18</f>
        <v>23748.333204055078</v>
      </c>
      <c r="I50" s="647">
        <f>transport!H18</f>
        <v>3104.9883971892586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26920.072390575853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17.216242416346944</v>
      </c>
      <c r="D52" s="677">
        <f t="shared" ref="D52:Q52" ca="1" si="6">SUM(D48:D51)</f>
        <v>0</v>
      </c>
      <c r="E52" s="677">
        <f t="shared" si="6"/>
        <v>26.334702601821704</v>
      </c>
      <c r="F52" s="677">
        <f t="shared" si="6"/>
        <v>25.228142014867561</v>
      </c>
      <c r="G52" s="677">
        <f t="shared" si="6"/>
        <v>0</v>
      </c>
      <c r="H52" s="677">
        <f t="shared" si="6"/>
        <v>23935.74454765649</v>
      </c>
      <c r="I52" s="677">
        <f t="shared" si="6"/>
        <v>3104.9883971892586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27109.512031878785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74.16576825614051</v>
      </c>
      <c r="D54" s="647">
        <f ca="1">+landbouw!C12</f>
        <v>0</v>
      </c>
      <c r="E54" s="647">
        <f>+landbouw!D12</f>
        <v>23.522943261531999</v>
      </c>
      <c r="F54" s="647">
        <f>+landbouw!E12</f>
        <v>3.2669592741482956</v>
      </c>
      <c r="G54" s="647">
        <f>+landbouw!F12</f>
        <v>334.57868721849889</v>
      </c>
      <c r="H54" s="647">
        <f>+landbouw!G12</f>
        <v>0</v>
      </c>
      <c r="I54" s="647">
        <f>+landbouw!H12</f>
        <v>0</v>
      </c>
      <c r="J54" s="647">
        <f>+landbouw!I12</f>
        <v>0</v>
      </c>
      <c r="K54" s="647">
        <f>+landbouw!J12</f>
        <v>35.629946626719743</v>
      </c>
      <c r="L54" s="647">
        <f>+landbouw!K12</f>
        <v>0</v>
      </c>
      <c r="M54" s="647">
        <f>+landbouw!L12</f>
        <v>0</v>
      </c>
      <c r="N54" s="647">
        <f>+landbouw!M12</f>
        <v>0</v>
      </c>
      <c r="O54" s="647">
        <f>+landbouw!N12</f>
        <v>0</v>
      </c>
      <c r="P54" s="647">
        <f>+landbouw!O12</f>
        <v>0</v>
      </c>
      <c r="Q54" s="648">
        <f>+landbouw!P12</f>
        <v>0</v>
      </c>
      <c r="R54" s="676">
        <f ca="1">SUM(C54:Q54)</f>
        <v>471.16430463703944</v>
      </c>
    </row>
    <row r="55" spans="1:18" ht="15" thickBot="1">
      <c r="A55" s="777" t="s">
        <v>683</v>
      </c>
      <c r="B55" s="787"/>
      <c r="C55" s="647">
        <f ca="1">C25*'EF ele_warmte'!B12</f>
        <v>297.24269248683879</v>
      </c>
      <c r="D55" s="647"/>
      <c r="E55" s="647">
        <f>E25*EF_CO2_aardgas</f>
        <v>1453.4628517040001</v>
      </c>
      <c r="F55" s="647"/>
      <c r="G55" s="647"/>
      <c r="H55" s="647"/>
      <c r="I55" s="647"/>
      <c r="J55" s="647"/>
      <c r="K55" s="647"/>
      <c r="L55" s="647"/>
      <c r="M55" s="647"/>
      <c r="N55" s="647"/>
      <c r="O55" s="647"/>
      <c r="P55" s="647"/>
      <c r="Q55" s="648"/>
      <c r="R55" s="676">
        <f ca="1">SUM(C55:Q55)</f>
        <v>1750.7055441908387</v>
      </c>
    </row>
    <row r="56" spans="1:18" ht="15.75" thickBot="1">
      <c r="A56" s="775" t="s">
        <v>684</v>
      </c>
      <c r="B56" s="788"/>
      <c r="C56" s="677">
        <f ca="1">SUM(C54:C55)</f>
        <v>371.40846074297929</v>
      </c>
      <c r="D56" s="677">
        <f t="shared" ref="D56:Q56" ca="1" si="7">SUM(D54:D55)</f>
        <v>0</v>
      </c>
      <c r="E56" s="677">
        <f t="shared" si="7"/>
        <v>1476.985794965532</v>
      </c>
      <c r="F56" s="677">
        <f t="shared" si="7"/>
        <v>3.2669592741482956</v>
      </c>
      <c r="G56" s="677">
        <f t="shared" si="7"/>
        <v>334.57868721849889</v>
      </c>
      <c r="H56" s="677">
        <f t="shared" si="7"/>
        <v>0</v>
      </c>
      <c r="I56" s="677">
        <f t="shared" si="7"/>
        <v>0</v>
      </c>
      <c r="J56" s="677">
        <f t="shared" si="7"/>
        <v>0</v>
      </c>
      <c r="K56" s="677">
        <f t="shared" si="7"/>
        <v>35.629946626719743</v>
      </c>
      <c r="L56" s="677">
        <f t="shared" si="7"/>
        <v>0</v>
      </c>
      <c r="M56" s="677">
        <f t="shared" si="7"/>
        <v>0</v>
      </c>
      <c r="N56" s="677">
        <f t="shared" si="7"/>
        <v>0</v>
      </c>
      <c r="O56" s="677">
        <f t="shared" si="7"/>
        <v>0</v>
      </c>
      <c r="P56" s="677">
        <f t="shared" si="7"/>
        <v>0</v>
      </c>
      <c r="Q56" s="678">
        <f t="shared" si="7"/>
        <v>0</v>
      </c>
      <c r="R56" s="679">
        <f ca="1">SUM(R54:R55)</f>
        <v>2221.8698488278783</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27728.647201097268</v>
      </c>
      <c r="D61" s="685">
        <f t="shared" ref="D61:Q61" ca="1" si="8">D46+D52+D56</f>
        <v>237.35109890109894</v>
      </c>
      <c r="E61" s="685">
        <f t="shared" ca="1" si="8"/>
        <v>48939.948654014413</v>
      </c>
      <c r="F61" s="685">
        <f t="shared" si="8"/>
        <v>768.92221421882971</v>
      </c>
      <c r="G61" s="685">
        <f t="shared" ca="1" si="8"/>
        <v>14433.272361579868</v>
      </c>
      <c r="H61" s="685">
        <f t="shared" si="8"/>
        <v>23935.74454765649</v>
      </c>
      <c r="I61" s="685">
        <f t="shared" si="8"/>
        <v>3104.9883971892586</v>
      </c>
      <c r="J61" s="685">
        <f t="shared" si="8"/>
        <v>0</v>
      </c>
      <c r="K61" s="685">
        <f t="shared" si="8"/>
        <v>135.20499235841419</v>
      </c>
      <c r="L61" s="685">
        <f t="shared" si="8"/>
        <v>0</v>
      </c>
      <c r="M61" s="685">
        <f t="shared" ca="1" si="8"/>
        <v>0</v>
      </c>
      <c r="N61" s="685">
        <f t="shared" si="8"/>
        <v>0</v>
      </c>
      <c r="O61" s="685">
        <f t="shared" ca="1" si="8"/>
        <v>0</v>
      </c>
      <c r="P61" s="685">
        <f t="shared" si="8"/>
        <v>0</v>
      </c>
      <c r="Q61" s="685">
        <f t="shared" si="8"/>
        <v>0</v>
      </c>
      <c r="R61" s="685">
        <f ca="1">R46+R52+R56</f>
        <v>119284.07946701563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0.20936038586493741</v>
      </c>
      <c r="D63" s="731">
        <f t="shared" ca="1" si="9"/>
        <v>0.23743589743589752</v>
      </c>
      <c r="E63" s="927">
        <f t="shared" ca="1" si="9"/>
        <v>0.20200000000000004</v>
      </c>
      <c r="F63" s="731">
        <f t="shared" si="9"/>
        <v>0.22699999999999998</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7026.7866770469482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688.49999999999989</v>
      </c>
      <c r="D76" s="910">
        <f>'lokale energieproductie'!C8</f>
        <v>809.2802741812643</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163.47461538461539</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7026.7866770469482</v>
      </c>
      <c r="C78" s="703">
        <f>SUM(C72:C77)</f>
        <v>688.49999999999989</v>
      </c>
      <c r="D78" s="704">
        <f t="shared" ref="D78:H78" si="10">SUM(D76:D77)</f>
        <v>809.2802741812643</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163.47461538461539</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999.642857142857</v>
      </c>
      <c r="D87" s="727">
        <f>'lokale energieproductie'!C17</f>
        <v>1175.0054401044501</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237.35109890109894</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999.642857142857</v>
      </c>
      <c r="D90" s="703">
        <f t="shared" ref="D90:H90" si="12">SUM(D87:D89)</f>
        <v>1175.0054401044501</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237.35109890109894</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36268.039986013442</v>
      </c>
      <c r="C4" s="444">
        <f>huishoudens!C8</f>
        <v>0</v>
      </c>
      <c r="D4" s="444">
        <f>huishoudens!D8</f>
        <v>101461.3131422</v>
      </c>
      <c r="E4" s="444">
        <f>huishoudens!E8</f>
        <v>2036.7491130806109</v>
      </c>
      <c r="F4" s="444">
        <f>huishoudens!F8</f>
        <v>39195.807139229204</v>
      </c>
      <c r="G4" s="444">
        <f>huishoudens!G8</f>
        <v>0</v>
      </c>
      <c r="H4" s="444">
        <f>huishoudens!H8</f>
        <v>0</v>
      </c>
      <c r="I4" s="444">
        <f>huishoudens!I8</f>
        <v>0</v>
      </c>
      <c r="J4" s="444">
        <f>huishoudens!J8</f>
        <v>200.56911699516826</v>
      </c>
      <c r="K4" s="444">
        <f>huishoudens!K8</f>
        <v>0</v>
      </c>
      <c r="L4" s="444">
        <f>huishoudens!L8</f>
        <v>0</v>
      </c>
      <c r="M4" s="444">
        <f>huishoudens!M8</f>
        <v>0</v>
      </c>
      <c r="N4" s="444">
        <f>huishoudens!N8</f>
        <v>13124.436284905814</v>
      </c>
      <c r="O4" s="444">
        <f>huishoudens!O8</f>
        <v>261.88248495908823</v>
      </c>
      <c r="P4" s="445">
        <f>huishoudens!P8</f>
        <v>326.5527385382357</v>
      </c>
      <c r="Q4" s="446">
        <f>SUM(B4:P4)</f>
        <v>192875.35000592159</v>
      </c>
    </row>
    <row r="5" spans="1:17">
      <c r="A5" s="443" t="s">
        <v>149</v>
      </c>
      <c r="B5" s="444">
        <f ca="1">tertiair!B16</f>
        <v>33902.038017999999</v>
      </c>
      <c r="C5" s="444">
        <f ca="1">tertiair!C16</f>
        <v>999.642857142857</v>
      </c>
      <c r="D5" s="444">
        <f ca="1">tertiair!D16</f>
        <v>44778.347661920277</v>
      </c>
      <c r="E5" s="444">
        <f>tertiair!E16</f>
        <v>98.657456173246189</v>
      </c>
      <c r="F5" s="444">
        <f ca="1">tertiair!F16</f>
        <v>7135.6112925578855</v>
      </c>
      <c r="G5" s="444">
        <f>tertiair!G16</f>
        <v>0</v>
      </c>
      <c r="H5" s="444">
        <f>tertiair!H16</f>
        <v>0</v>
      </c>
      <c r="I5" s="444">
        <f>tertiair!I16</f>
        <v>0</v>
      </c>
      <c r="J5" s="444">
        <f>tertiair!J16</f>
        <v>5.8640595482150636E-2</v>
      </c>
      <c r="K5" s="444">
        <f>tertiair!K16</f>
        <v>0</v>
      </c>
      <c r="L5" s="444">
        <f ca="1">tertiair!L16</f>
        <v>0</v>
      </c>
      <c r="M5" s="444">
        <f>tertiair!M16</f>
        <v>0</v>
      </c>
      <c r="N5" s="444">
        <f ca="1">tertiair!N16</f>
        <v>2183.6576155434432</v>
      </c>
      <c r="O5" s="444">
        <f>tertiair!O16</f>
        <v>0</v>
      </c>
      <c r="P5" s="445">
        <f>tertiair!P16</f>
        <v>0</v>
      </c>
      <c r="Q5" s="443">
        <f t="shared" ref="Q5:Q14" ca="1" si="0">SUM(B5:P5)</f>
        <v>89098.013541933178</v>
      </c>
    </row>
    <row r="6" spans="1:17">
      <c r="A6" s="443" t="s">
        <v>187</v>
      </c>
      <c r="B6" s="444">
        <f>'openbare verlichting'!B8</f>
        <v>1809.4870000000001</v>
      </c>
      <c r="C6" s="444"/>
      <c r="D6" s="444"/>
      <c r="E6" s="444"/>
      <c r="F6" s="444"/>
      <c r="G6" s="444"/>
      <c r="H6" s="444"/>
      <c r="I6" s="444"/>
      <c r="J6" s="444"/>
      <c r="K6" s="444"/>
      <c r="L6" s="444"/>
      <c r="M6" s="444"/>
      <c r="N6" s="444"/>
      <c r="O6" s="444"/>
      <c r="P6" s="445"/>
      <c r="Q6" s="443">
        <f t="shared" si="0"/>
        <v>1809.4870000000001</v>
      </c>
    </row>
    <row r="7" spans="1:17">
      <c r="A7" s="443" t="s">
        <v>105</v>
      </c>
      <c r="B7" s="444">
        <f>landbouw!B8</f>
        <v>354.24929099999997</v>
      </c>
      <c r="C7" s="444">
        <f>landbouw!C8</f>
        <v>0</v>
      </c>
      <c r="D7" s="444">
        <f>landbouw!D8</f>
        <v>116.45021416599999</v>
      </c>
      <c r="E7" s="444">
        <f>landbouw!E8</f>
        <v>14.391891075543152</v>
      </c>
      <c r="F7" s="444">
        <f>landbouw!F8</f>
        <v>1253.1036974475612</v>
      </c>
      <c r="G7" s="444">
        <f>landbouw!G8</f>
        <v>0</v>
      </c>
      <c r="H7" s="444">
        <f>landbouw!H8</f>
        <v>0</v>
      </c>
      <c r="I7" s="444">
        <f>landbouw!I8</f>
        <v>0</v>
      </c>
      <c r="J7" s="444">
        <f>landbouw!J8</f>
        <v>100.64956674214616</v>
      </c>
      <c r="K7" s="444">
        <f>landbouw!K8</f>
        <v>0</v>
      </c>
      <c r="L7" s="444">
        <f>landbouw!L8</f>
        <v>0</v>
      </c>
      <c r="M7" s="444">
        <f>landbouw!M8</f>
        <v>0</v>
      </c>
      <c r="N7" s="444">
        <f>landbouw!N8</f>
        <v>0</v>
      </c>
      <c r="O7" s="444">
        <f>landbouw!O8</f>
        <v>0</v>
      </c>
      <c r="P7" s="445">
        <f>landbouw!P8</f>
        <v>0</v>
      </c>
      <c r="Q7" s="443">
        <f t="shared" si="0"/>
        <v>1838.8446604312505</v>
      </c>
    </row>
    <row r="8" spans="1:17">
      <c r="A8" s="443" t="s">
        <v>587</v>
      </c>
      <c r="B8" s="444">
        <f>industrie!B18</f>
        <v>58608.761842000007</v>
      </c>
      <c r="C8" s="444">
        <f>industrie!C18</f>
        <v>0</v>
      </c>
      <c r="D8" s="444">
        <f>industrie!D18</f>
        <v>88595.132049578009</v>
      </c>
      <c r="E8" s="444">
        <f>industrie!E18</f>
        <v>1126.3868797761595</v>
      </c>
      <c r="F8" s="444">
        <f>industrie!F18</f>
        <v>6472.6777268697178</v>
      </c>
      <c r="G8" s="444">
        <f>industrie!G18</f>
        <v>0</v>
      </c>
      <c r="H8" s="444">
        <f>industrie!H18</f>
        <v>0</v>
      </c>
      <c r="I8" s="444">
        <f>industrie!I18</f>
        <v>0</v>
      </c>
      <c r="J8" s="444">
        <f>industrie!J18</f>
        <v>80.657682329390397</v>
      </c>
      <c r="K8" s="444">
        <f>industrie!K18</f>
        <v>0</v>
      </c>
      <c r="L8" s="444">
        <f>industrie!L18</f>
        <v>0</v>
      </c>
      <c r="M8" s="444">
        <f>industrie!M18</f>
        <v>0</v>
      </c>
      <c r="N8" s="444">
        <f>industrie!N18</f>
        <v>961.76510502211681</v>
      </c>
      <c r="O8" s="444">
        <f>industrie!O18</f>
        <v>0</v>
      </c>
      <c r="P8" s="445">
        <f>industrie!P18</f>
        <v>0</v>
      </c>
      <c r="Q8" s="443">
        <f t="shared" si="0"/>
        <v>155845.38128557539</v>
      </c>
    </row>
    <row r="9" spans="1:17" s="449" customFormat="1">
      <c r="A9" s="447" t="s">
        <v>536</v>
      </c>
      <c r="B9" s="448">
        <f>transport!B14</f>
        <v>72.544500966981687</v>
      </c>
      <c r="C9" s="448">
        <f>transport!C14</f>
        <v>0</v>
      </c>
      <c r="D9" s="448">
        <f>transport!D14</f>
        <v>130.36981486050348</v>
      </c>
      <c r="E9" s="448">
        <f>transport!E14</f>
        <v>111.13718949280864</v>
      </c>
      <c r="F9" s="448">
        <f>transport!F14</f>
        <v>0</v>
      </c>
      <c r="G9" s="448">
        <f>transport!G14</f>
        <v>88945.068179981565</v>
      </c>
      <c r="H9" s="448">
        <f>transport!H14</f>
        <v>12469.83292043879</v>
      </c>
      <c r="I9" s="448">
        <f>transport!I14</f>
        <v>0</v>
      </c>
      <c r="J9" s="448">
        <f>transport!J14</f>
        <v>0</v>
      </c>
      <c r="K9" s="448">
        <f>transport!K14</f>
        <v>0</v>
      </c>
      <c r="L9" s="448">
        <f>transport!L14</f>
        <v>0</v>
      </c>
      <c r="M9" s="448">
        <f>transport!M14</f>
        <v>5952.5730047915558</v>
      </c>
      <c r="N9" s="448">
        <f>transport!N14</f>
        <v>0</v>
      </c>
      <c r="O9" s="448">
        <f>transport!O14</f>
        <v>0</v>
      </c>
      <c r="P9" s="448">
        <f>transport!P14</f>
        <v>0</v>
      </c>
      <c r="Q9" s="447">
        <f>SUM(B9:P9)</f>
        <v>107681.5256105322</v>
      </c>
    </row>
    <row r="10" spans="1:17">
      <c r="A10" s="443" t="s">
        <v>526</v>
      </c>
      <c r="B10" s="444">
        <f>transport!B54</f>
        <v>9.688068223321034</v>
      </c>
      <c r="C10" s="444">
        <f>transport!C54</f>
        <v>0</v>
      </c>
      <c r="D10" s="444">
        <f>transport!D54</f>
        <v>0</v>
      </c>
      <c r="E10" s="444">
        <f>transport!E54</f>
        <v>0</v>
      </c>
      <c r="F10" s="444">
        <f>transport!F54</f>
        <v>0</v>
      </c>
      <c r="G10" s="444">
        <f>transport!G54</f>
        <v>701.91514457457617</v>
      </c>
      <c r="H10" s="444">
        <f>transport!H54</f>
        <v>0</v>
      </c>
      <c r="I10" s="444">
        <f>transport!I54</f>
        <v>0</v>
      </c>
      <c r="J10" s="444">
        <f>transport!J54</f>
        <v>0</v>
      </c>
      <c r="K10" s="444">
        <f>transport!K54</f>
        <v>0</v>
      </c>
      <c r="L10" s="444">
        <f>transport!L54</f>
        <v>0</v>
      </c>
      <c r="M10" s="444">
        <f>transport!M54</f>
        <v>39.702410903858016</v>
      </c>
      <c r="N10" s="444">
        <f>transport!N54</f>
        <v>0</v>
      </c>
      <c r="O10" s="444">
        <f>transport!O54</f>
        <v>0</v>
      </c>
      <c r="P10" s="445">
        <f>transport!P54</f>
        <v>0</v>
      </c>
      <c r="Q10" s="443">
        <f t="shared" si="0"/>
        <v>751.30562370175517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1419.7656890000001</v>
      </c>
      <c r="C14" s="451"/>
      <c r="D14" s="451">
        <f>'SEAP template'!E25</f>
        <v>7195.3606519999994</v>
      </c>
      <c r="E14" s="451"/>
      <c r="F14" s="451"/>
      <c r="G14" s="451"/>
      <c r="H14" s="451"/>
      <c r="I14" s="451"/>
      <c r="J14" s="451"/>
      <c r="K14" s="451"/>
      <c r="L14" s="451"/>
      <c r="M14" s="451"/>
      <c r="N14" s="451"/>
      <c r="O14" s="451"/>
      <c r="P14" s="452"/>
      <c r="Q14" s="443">
        <f t="shared" si="0"/>
        <v>8615.1263409999992</v>
      </c>
    </row>
    <row r="15" spans="1:17" s="455" customFormat="1">
      <c r="A15" s="453" t="s">
        <v>530</v>
      </c>
      <c r="B15" s="454">
        <f ca="1">SUM(B4:B14)</f>
        <v>132444.57439520373</v>
      </c>
      <c r="C15" s="454">
        <f t="shared" ref="C15:Q15" ca="1" si="1">SUM(C4:C14)</f>
        <v>999.642857142857</v>
      </c>
      <c r="D15" s="454">
        <f t="shared" ca="1" si="1"/>
        <v>242276.97353472476</v>
      </c>
      <c r="E15" s="454">
        <f t="shared" si="1"/>
        <v>3387.3225295983684</v>
      </c>
      <c r="F15" s="454">
        <f t="shared" ca="1" si="1"/>
        <v>54057.199856104373</v>
      </c>
      <c r="G15" s="454">
        <f t="shared" si="1"/>
        <v>89646.983324556146</v>
      </c>
      <c r="H15" s="454">
        <f t="shared" si="1"/>
        <v>12469.83292043879</v>
      </c>
      <c r="I15" s="454">
        <f t="shared" si="1"/>
        <v>0</v>
      </c>
      <c r="J15" s="454">
        <f t="shared" si="1"/>
        <v>381.93500666218699</v>
      </c>
      <c r="K15" s="454">
        <f t="shared" si="1"/>
        <v>0</v>
      </c>
      <c r="L15" s="454">
        <f t="shared" ca="1" si="1"/>
        <v>0</v>
      </c>
      <c r="M15" s="454">
        <f t="shared" si="1"/>
        <v>5992.2754156954143</v>
      </c>
      <c r="N15" s="454">
        <f t="shared" ca="1" si="1"/>
        <v>16269.859005471375</v>
      </c>
      <c r="O15" s="454">
        <f t="shared" si="1"/>
        <v>261.88248495908823</v>
      </c>
      <c r="P15" s="454">
        <f t="shared" si="1"/>
        <v>326.5527385382357</v>
      </c>
      <c r="Q15" s="454">
        <f t="shared" ca="1" si="1"/>
        <v>558515.03406909539</v>
      </c>
    </row>
    <row r="17" spans="1:17">
      <c r="A17" s="456" t="s">
        <v>531</v>
      </c>
      <c r="B17" s="736">
        <f ca="1">huishoudens!B10</f>
        <v>0.20936038586493744</v>
      </c>
      <c r="C17" s="736">
        <f ca="1">huishoudens!C10</f>
        <v>0.23743589743589752</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7593.0908460367546</v>
      </c>
      <c r="C22" s="444">
        <f t="shared" ref="C22:C32" ca="1" si="3">C4*$C$17</f>
        <v>0</v>
      </c>
      <c r="D22" s="444">
        <f t="shared" ref="D22:D32" si="4">D4*$D$17</f>
        <v>20495.185254724402</v>
      </c>
      <c r="E22" s="444">
        <f t="shared" ref="E22:E32" si="5">E4*$E$17</f>
        <v>462.34204866929866</v>
      </c>
      <c r="F22" s="444">
        <f t="shared" ref="F22:F32" si="6">F4*$F$17</f>
        <v>10465.280506174198</v>
      </c>
      <c r="G22" s="444">
        <f t="shared" ref="G22:G32" si="7">G4*$G$17</f>
        <v>0</v>
      </c>
      <c r="H22" s="444">
        <f t="shared" ref="H22:H32" si="8">H4*$H$17</f>
        <v>0</v>
      </c>
      <c r="I22" s="444">
        <f t="shared" ref="I22:I32" si="9">I4*$I$17</f>
        <v>0</v>
      </c>
      <c r="J22" s="444">
        <f t="shared" ref="J22:J32" si="10">J4*$J$17</f>
        <v>71.001467416289557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39086.90012302094</v>
      </c>
    </row>
    <row r="23" spans="1:17">
      <c r="A23" s="443" t="s">
        <v>149</v>
      </c>
      <c r="B23" s="444">
        <f t="shared" ca="1" si="2"/>
        <v>7097.7437610562583</v>
      </c>
      <c r="C23" s="444">
        <f t="shared" ca="1" si="3"/>
        <v>237.35109890109894</v>
      </c>
      <c r="D23" s="444">
        <f t="shared" ca="1" si="4"/>
        <v>9045.2262277078971</v>
      </c>
      <c r="E23" s="444">
        <f t="shared" si="5"/>
        <v>22.395242551326884</v>
      </c>
      <c r="F23" s="444">
        <f t="shared" ca="1" si="6"/>
        <v>1905.2082151129555</v>
      </c>
      <c r="G23" s="444">
        <f t="shared" si="7"/>
        <v>0</v>
      </c>
      <c r="H23" s="444">
        <f t="shared" si="8"/>
        <v>0</v>
      </c>
      <c r="I23" s="444">
        <f t="shared" si="9"/>
        <v>0</v>
      </c>
      <c r="J23" s="444">
        <f t="shared" si="10"/>
        <v>2.0758770800681323E-2</v>
      </c>
      <c r="K23" s="444">
        <f t="shared" si="11"/>
        <v>0</v>
      </c>
      <c r="L23" s="444">
        <f t="shared" ca="1" si="12"/>
        <v>0</v>
      </c>
      <c r="M23" s="444">
        <f t="shared" si="13"/>
        <v>0</v>
      </c>
      <c r="N23" s="444">
        <f t="shared" ca="1" si="14"/>
        <v>0</v>
      </c>
      <c r="O23" s="444">
        <f t="shared" si="15"/>
        <v>0</v>
      </c>
      <c r="P23" s="445">
        <f t="shared" si="16"/>
        <v>0</v>
      </c>
      <c r="Q23" s="443">
        <f t="shared" ref="Q23:Q31" ca="1" si="17">SUM(B23:P23)</f>
        <v>18307.945304100336</v>
      </c>
    </row>
    <row r="24" spans="1:17">
      <c r="A24" s="443" t="s">
        <v>187</v>
      </c>
      <c r="B24" s="444">
        <f t="shared" ca="1" si="2"/>
        <v>378.83489653758807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378.83489653758807</v>
      </c>
    </row>
    <row r="25" spans="1:17">
      <c r="A25" s="443" t="s">
        <v>105</v>
      </c>
      <c r="B25" s="444">
        <f t="shared" ca="1" si="2"/>
        <v>74.16576825614051</v>
      </c>
      <c r="C25" s="444">
        <f t="shared" ca="1" si="3"/>
        <v>0</v>
      </c>
      <c r="D25" s="444">
        <f t="shared" si="4"/>
        <v>23.522943261531999</v>
      </c>
      <c r="E25" s="444">
        <f t="shared" si="5"/>
        <v>3.2669592741482956</v>
      </c>
      <c r="F25" s="444">
        <f t="shared" si="6"/>
        <v>334.57868721849889</v>
      </c>
      <c r="G25" s="444">
        <f t="shared" si="7"/>
        <v>0</v>
      </c>
      <c r="H25" s="444">
        <f t="shared" si="8"/>
        <v>0</v>
      </c>
      <c r="I25" s="444">
        <f t="shared" si="9"/>
        <v>0</v>
      </c>
      <c r="J25" s="444">
        <f t="shared" si="10"/>
        <v>35.629946626719743</v>
      </c>
      <c r="K25" s="444">
        <f t="shared" si="11"/>
        <v>0</v>
      </c>
      <c r="L25" s="444">
        <f t="shared" si="12"/>
        <v>0</v>
      </c>
      <c r="M25" s="444">
        <f t="shared" si="13"/>
        <v>0</v>
      </c>
      <c r="N25" s="444">
        <f t="shared" si="14"/>
        <v>0</v>
      </c>
      <c r="O25" s="444">
        <f t="shared" si="15"/>
        <v>0</v>
      </c>
      <c r="P25" s="445">
        <f t="shared" si="16"/>
        <v>0</v>
      </c>
      <c r="Q25" s="443">
        <f t="shared" ca="1" si="17"/>
        <v>471.16430463703944</v>
      </c>
    </row>
    <row r="26" spans="1:17">
      <c r="A26" s="443" t="s">
        <v>587</v>
      </c>
      <c r="B26" s="444">
        <f t="shared" ca="1" si="2"/>
        <v>12270.352994307343</v>
      </c>
      <c r="C26" s="444">
        <f t="shared" ca="1" si="3"/>
        <v>0</v>
      </c>
      <c r="D26" s="444">
        <f t="shared" si="4"/>
        <v>17896.216674014759</v>
      </c>
      <c r="E26" s="444">
        <f t="shared" si="5"/>
        <v>255.68982170918821</v>
      </c>
      <c r="F26" s="444">
        <f t="shared" si="6"/>
        <v>1728.2049530742147</v>
      </c>
      <c r="G26" s="444">
        <f t="shared" si="7"/>
        <v>0</v>
      </c>
      <c r="H26" s="444">
        <f t="shared" si="8"/>
        <v>0</v>
      </c>
      <c r="I26" s="444">
        <f t="shared" si="9"/>
        <v>0</v>
      </c>
      <c r="J26" s="444">
        <f t="shared" si="10"/>
        <v>28.552819544604198</v>
      </c>
      <c r="K26" s="444">
        <f t="shared" si="11"/>
        <v>0</v>
      </c>
      <c r="L26" s="444">
        <f t="shared" si="12"/>
        <v>0</v>
      </c>
      <c r="M26" s="444">
        <f t="shared" si="13"/>
        <v>0</v>
      </c>
      <c r="N26" s="444">
        <f t="shared" si="14"/>
        <v>0</v>
      </c>
      <c r="O26" s="444">
        <f t="shared" si="15"/>
        <v>0</v>
      </c>
      <c r="P26" s="445">
        <f t="shared" si="16"/>
        <v>0</v>
      </c>
      <c r="Q26" s="443">
        <f t="shared" ca="1" si="17"/>
        <v>32179.017262650112</v>
      </c>
    </row>
    <row r="27" spans="1:17" s="449" customFormat="1">
      <c r="A27" s="447" t="s">
        <v>536</v>
      </c>
      <c r="B27" s="730">
        <f t="shared" ca="1" si="2"/>
        <v>15.187944714826614</v>
      </c>
      <c r="C27" s="448">
        <f t="shared" ca="1" si="3"/>
        <v>0</v>
      </c>
      <c r="D27" s="448">
        <f t="shared" si="4"/>
        <v>26.334702601821704</v>
      </c>
      <c r="E27" s="448">
        <f t="shared" si="5"/>
        <v>25.228142014867561</v>
      </c>
      <c r="F27" s="448">
        <f t="shared" si="6"/>
        <v>0</v>
      </c>
      <c r="G27" s="448">
        <f t="shared" si="7"/>
        <v>23748.333204055078</v>
      </c>
      <c r="H27" s="448">
        <f t="shared" si="8"/>
        <v>3104.9883971892586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26920.072390575853</v>
      </c>
    </row>
    <row r="28" spans="1:17" ht="16.5" customHeight="1">
      <c r="A28" s="443" t="s">
        <v>526</v>
      </c>
      <c r="B28" s="444">
        <f t="shared" ca="1" si="2"/>
        <v>2.0282977015203305</v>
      </c>
      <c r="C28" s="444">
        <f t="shared" ca="1" si="3"/>
        <v>0</v>
      </c>
      <c r="D28" s="444">
        <f t="shared" si="4"/>
        <v>0</v>
      </c>
      <c r="E28" s="444">
        <f t="shared" si="5"/>
        <v>0</v>
      </c>
      <c r="F28" s="444">
        <f t="shared" si="6"/>
        <v>0</v>
      </c>
      <c r="G28" s="444">
        <f t="shared" si="7"/>
        <v>187.41134360141186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189.43964130293219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297.24269248683879</v>
      </c>
      <c r="C32" s="444">
        <f t="shared" ca="1" si="3"/>
        <v>0</v>
      </c>
      <c r="D32" s="444">
        <f t="shared" si="4"/>
        <v>1453.4628517040001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1750.7055441908387</v>
      </c>
    </row>
    <row r="33" spans="1:17" s="455" customFormat="1">
      <c r="A33" s="453" t="s">
        <v>530</v>
      </c>
      <c r="B33" s="454">
        <f ca="1">SUM(B22:B32)</f>
        <v>27728.647201097268</v>
      </c>
      <c r="C33" s="454">
        <f t="shared" ref="C33:Q33" ca="1" si="19">SUM(C22:C32)</f>
        <v>237.35109890109894</v>
      </c>
      <c r="D33" s="454">
        <f t="shared" ca="1" si="19"/>
        <v>48939.948654014413</v>
      </c>
      <c r="E33" s="454">
        <f t="shared" si="19"/>
        <v>768.92221421882959</v>
      </c>
      <c r="F33" s="454">
        <f t="shared" ca="1" si="19"/>
        <v>14433.272361579868</v>
      </c>
      <c r="G33" s="454">
        <f t="shared" si="19"/>
        <v>23935.74454765649</v>
      </c>
      <c r="H33" s="454">
        <f t="shared" si="19"/>
        <v>3104.9883971892586</v>
      </c>
      <c r="I33" s="454">
        <f t="shared" si="19"/>
        <v>0</v>
      </c>
      <c r="J33" s="454">
        <f t="shared" si="19"/>
        <v>135.20499235841419</v>
      </c>
      <c r="K33" s="454">
        <f t="shared" si="19"/>
        <v>0</v>
      </c>
      <c r="L33" s="454">
        <f t="shared" ca="1" si="19"/>
        <v>0</v>
      </c>
      <c r="M33" s="454">
        <f t="shared" si="19"/>
        <v>0</v>
      </c>
      <c r="N33" s="454">
        <f t="shared" ca="1" si="19"/>
        <v>0</v>
      </c>
      <c r="O33" s="454">
        <f t="shared" si="19"/>
        <v>0</v>
      </c>
      <c r="P33" s="454">
        <f t="shared" si="19"/>
        <v>0</v>
      </c>
      <c r="Q33" s="454">
        <f t="shared" ca="1" si="19"/>
        <v>119284.07946701563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7026.7866770469482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688.49999999999989</v>
      </c>
      <c r="D8" s="979">
        <f>'SEAP template'!D76</f>
        <v>809.2802741812643</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163.47461538461539</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7026.7866770469482</v>
      </c>
      <c r="C10" s="981">
        <f>SUM(C4:C9)</f>
        <v>688.49999999999989</v>
      </c>
      <c r="D10" s="981">
        <f t="shared" ref="D10:H10" si="0">SUM(D8:D9)</f>
        <v>809.2802741812643</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163.47461538461539</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0.20936038586493744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999.642857142857</v>
      </c>
      <c r="D17" s="980">
        <f>'SEAP template'!D87</f>
        <v>1175.0054401044501</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237.35109890109894</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999.642857142857</v>
      </c>
      <c r="D20" s="981">
        <f t="shared" ref="D20:H20" si="2">SUM(D17:D19)</f>
        <v>1175.0054401044501</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237.35109890109894</v>
      </c>
    </row>
    <row r="21" spans="1:16">
      <c r="B21" s="840"/>
    </row>
    <row r="22" spans="1:16">
      <c r="A22" s="456" t="s">
        <v>754</v>
      </c>
      <c r="B22" s="736" t="s">
        <v>752</v>
      </c>
      <c r="C22" s="736">
        <f ca="1">'EF ele_warmte'!B22</f>
        <v>0.23743589743589752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0.20936038586493744</v>
      </c>
      <c r="C17" s="492">
        <f ca="1">'EF ele_warmte'!B22</f>
        <v>0.23743589743589752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3</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14.691782297523464</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2022-07-26T10:23:49Z</dcterms:modified>
</cp:coreProperties>
</file>