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48ECD121-D6AD-49F0-8F66-4890BEA4876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I9" i="18"/>
  <c r="I77" i="14"/>
  <c r="I9" i="59"/>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<sst xmlns="http://schemas.openxmlformats.org/spreadsheetml/2006/main" count="2415" uniqueCount="886">
  <si>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</si>
  <si>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</si>
  <si>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</si>
  <si>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</si>
  <si>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</si>
  <si>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</si>
  <si>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</si>
  <si>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</si>
  <si>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</si>
  <si>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</si>
  <si>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</si>
  <si>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</si>
  <si>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</si>
  <si>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</si>
  <si>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</si>
  <si>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</si>
  <si>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</si>
  <si>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</si>
  <si>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</si>
  <si>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</si>
  <si>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</si>
  <si>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</si>
  <si>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</si>
  <si>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</si>
  <si>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</si>
  <si>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</si>
  <si>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</si>
  <si>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</si>
  <si>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</si>
  <si>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</si>
  <si>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</si>
  <si>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</si>
  <si>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</si>
  <si>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</si>
  <si>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</si>
  <si>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</si>
  <si>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</si>
  <si>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</si>
  <si>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</si>
  <si>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</si>
  <si>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</si>
  <si>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</si>
  <si>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</si>
  <si>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</si>
  <si>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</si>
  <si>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</si>
  <si>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</si>
  <si>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</si>
  <si>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</si>
  <si>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</si>
  <si>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</si>
  <si>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</si>
  <si>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</si>
  <si>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</si>
  <si>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</si>
  <si>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</si>
  <si>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</si>
  <si>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</si>
  <si>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</si>
  <si>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</si>
  <si>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</si>
  <si>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</si>
  <si>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</si>
  <si>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</si>
  <si>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</si>
  <si>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</si>
  <si>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</si>
  <si>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</si>
  <si>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</si>
  <si>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</si>
  <si>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</si>
  <si>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</si>
  <si>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</si>
  <si>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</si>
  <si>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</si>
  <si>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</si>
  <si>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</si>
  <si>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</si>
  <si>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</si>
  <si>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</si>
  <si>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</si>
  <si>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</si>
  <si>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</si>
  <si>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</si>
  <si>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</si>
  <si>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</si>
  <si>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</si>
  <si>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</si>
  <si>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</si>
  <si>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</si>
  <si>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</si>
  <si>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</si>
  <si>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</si>
  <si>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</si>
  <si>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</si>
  <si>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</si>
  <si>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</si>
  <si>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</si>
  <si>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</si>
  <si>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</si>
  <si>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</si>
  <si>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</si>
  <si>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</si>
  <si>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</si>
  <si>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</si>
  <si>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</si>
  <si>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</si>
  <si>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</si>
  <si>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</si>
  <si>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</si>
  <si>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</si>
  <si>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</si>
  <si>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</si>
  <si>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</si>
  <si>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</si>
  <si>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</si>
  <si>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</si>
  <si>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</si>
  <si>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</si>
  <si>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</si>
  <si>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</si>
  <si>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</si>
  <si>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</si>
  <si>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</si>
  <si>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</si>
  <si>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</si>
  <si>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</si>
  <si>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</si>
  <si>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</si>
  <si>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</si>
  <si>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</si>
  <si>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</si>
  <si>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</si>
  <si>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</si>
  <si>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</si>
  <si>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</si>
  <si>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</si>
  <si>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</si>
  <si>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</si>
  <si>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</si>
  <si>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</si>
  <si>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</si>
  <si>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</si>
  <si>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</si>
  <si>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</si>
  <si>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</si>
  <si>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</si>
  <si>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</si>
  <si>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</si>
  <si>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</si>
  <si>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</si>
  <si>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</si>
  <si>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</si>
  <si>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</si>
  <si>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</si>
  <si>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</si>
  <si>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</si>
  <si>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</si>
  <si>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</si>
  <si>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</si>
  <si>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</si>
  <si>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</si>
  <si>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</si>
  <si>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</si>
  <si>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</si>
  <si>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</si>
  <si>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</si>
  <si>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</si>
  <si>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</si>
  <si>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</si>
  <si>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</si>
  <si>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</si>
  <si>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</si>
  <si>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</si>
  <si>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</si>
  <si>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</si>
  <si>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</si>
  <si>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</si>
  <si>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</si>
  <si>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</si>
  <si>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</si>
  <si>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</si>
  <si>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</si>
  <si>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</si>
  <si>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</si>
  <si>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</si>
  <si>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</si>
  <si>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</si>
  <si>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</si>
  <si>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</si>
  <si>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</si>
  <si>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</si>
  <si>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</si>
  <si>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</si>
  <si>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</si>
  <si>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</si>
  <si>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</si>
  <si>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</si>
  <si>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</si>
  <si>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</si>
  <si>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</si>
  <si>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</si>
  <si>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</si>
  <si>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</si>
  <si>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</si>
  <si>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</si>
  <si>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</si>
  <si>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</si>
  <si>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</si>
  <si>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</si>
  <si>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</si>
  <si>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</si>
  <si>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</si>
  <si>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</si>
  <si>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</si>
  <si>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</si>
  <si>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</si>
  <si>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</si>
  <si>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</si>
  <si>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</si>
  <si>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</si>
  <si>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</si>
  <si>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</si>
  <si>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</si>
  <si>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</si>
  <si>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</si>
  <si>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</si>
  <si>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</si>
  <si>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</si>
  <si>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</si>
  <si>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</si>
  <si>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</si>
  <si>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</si>
  <si>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</si>
  <si>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</si>
  <si>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</si>
  <si>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</si>
  <si>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</si>
  <si>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</si>
  <si>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</si>
  <si>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</si>
  <si>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</si>
  <si>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</si>
  <si>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</si>
  <si>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</si>
  <si>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</si>
  <si>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</si>
  <si>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</si>
  <si>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</si>
  <si>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</si>
  <si>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</si>
  <si>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</si>
  <si>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</si>
  <si>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</si>
  <si>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</si>
  <si>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</si>
  <si>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</si>
  <si>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</si>
  <si>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</si>
  <si>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</si>
  <si>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</si>
  <si>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</si>
  <si>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</si>
  <si>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</si>
  <si>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</si>
  <si>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</si>
  <si>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</si>
  <si>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</si>
  <si>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</si>
  <si>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</si>
  <si>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</si>
  <si>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</si>
  <si>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</si>
  <si>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</si>
  <si>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</si>
  <si>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</si>
  <si>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</si>
  <si>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</si>
  <si>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</si>
  <si>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</si>
  <si>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</si>
  <si>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</si>
  <si>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</si>
  <si>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</si>
  <si>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</si>
  <si>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</si>
  <si>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</si>
  <si>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</si>
  <si>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</si>
  <si>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</si>
  <si>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</si>
  <si>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</si>
  <si>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</si>
  <si>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</si>
  <si>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</si>
  <si>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</si>
  <si>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</si>
  <si>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</si>
  <si>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</si>
  <si>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</si>
  <si>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</si>
  <si>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</si>
  <si>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</si>
  <si>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</si>
  <si>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</si>
  <si>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</si>
  <si>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</si>
  <si>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</si>
  <si>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</si>
  <si>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</si>
  <si>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</si>
  <si>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</si>
  <si>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</si>
  <si>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</si>
  <si>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</si>
  <si>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</si>
  <si>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</si>
  <si>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</si>
  <si>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</si>
  <si>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</si>
  <si>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</si>
  <si>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</si>
  <si>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</si>
  <si>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</si>
  <si>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</si>
  <si>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</si>
  <si>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</si>
  <si>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</si>
  <si>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</si>
  <si>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</si>
  <si>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</si>
  <si>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</si>
  <si>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</si>
  <si>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</si>
  <si>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</si>
  <si>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</si>
  <si>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</si>
  <si>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</si>
  <si>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</si>
  <si>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</si>
  <si>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</si>
  <si>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</si>
  <si>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</si>
  <si>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</si>
  <si>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</si>
  <si>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</si>
  <si>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</si>
  <si>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</si>
  <si>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</si>
  <si>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</si>
  <si>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</si>
  <si>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</si>
  <si>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</si>
  <si>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</si>
  <si>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</si>
  <si>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</si>
  <si>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</si>
  <si>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</si>
  <si>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</si>
  <si>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</si>
  <si>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</si>
  <si>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</si>
  <si>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</si>
  <si>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</si>
  <si>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</si>
  <si>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</si>
  <si>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</si>
  <si>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</si>
  <si>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</si>
  <si>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</si>
  <si>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</si>
  <si>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</si>
  <si>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</si>
  <si>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</si>
  <si>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</si>
  <si>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</si>
  <si>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</si>
  <si>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</si>
  <si>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</si>
  <si>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</si>
  <si>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</si>
  <si>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</si>
  <si>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</si>
  <si>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</si>
  <si>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</si>
  <si>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</si>
  <si>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</si>
  <si>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</si>
  <si>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</si>
  <si>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</si>
  <si>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</si>
  <si>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</si>
  <si>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</si>
  <si>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</si>
  <si>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</si>
  <si>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</si>
  <si>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</si>
  <si>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</si>
  <si>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</si>
  <si>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</si>
  <si>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</si>
  <si>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</si>
  <si>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</si>
  <si>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</si>
  <si>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</si>
  <si>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</si>
  <si>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</si>
  <si>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</si>
  <si>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</si>
  <si>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</si>
  <si>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</si>
  <si>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</si>
  <si>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</si>
  <si>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</si>
  <si>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</si>
  <si>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</si>
  <si>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</si>
  <si>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</si>
  <si>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</si>
  <si>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</si>
  <si>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</si>
  <si>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</si>
  <si>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</si>
  <si>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</si>
  <si>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</si>
  <si>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</si>
  <si>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</si>
  <si>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</si>
  <si>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</si>
  <si>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</si>
  <si>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</si>
  <si>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</si>
  <si>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</si>
  <si>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</si>
  <si>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</si>
  <si>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</si>
  <si>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</si>
  <si>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</si>
  <si>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</si>
  <si>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</si>
  <si>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</si>
  <si>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</si>
  <si>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</si>
  <si>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</si>
  <si>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</si>
  <si>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</si>
  <si>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</si>
  <si>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</si>
  <si>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</si>
  <si>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</si>
  <si>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</si>
  <si>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</si>
  <si>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</si>
  <si>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</si>
  <si>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</si>
  <si>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</si>
  <si>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</si>
  <si>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</si>
  <si>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</si>
  <si>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</si>
  <si>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</si>
  <si>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</si>
  <si>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</si>
  <si>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</si>
  <si>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</si>
  <si>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</si>
  <si>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</si>
  <si>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</si>
  <si>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</si>
  <si>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</si>
  <si>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</si>
  <si>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</si>
  <si>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</si>
  <si>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</si>
  <si>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</si>
  <si>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</si>
  <si>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</si>
  <si>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</si>
  <si>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</si>
  <si>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</si>
  <si>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</si>
  <si>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</si>
  <si>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</si>
  <si>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</si>
  <si>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</si>
  <si>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</si>
  <si>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</si>
  <si>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</si>
  <si>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</si>
  <si>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</si>
  <si>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</si>
  <si>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</si>
  <si>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</si>
  <si>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</si>
  <si>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</si>
  <si>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</si>
  <si>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</si>
  <si>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</si>
  <si>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</si>
  <si>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</si>
  <si>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</si>
  <si>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</si>
  <si>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</si>
  <si>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</si>
  <si>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</si>
  <si>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</si>
  <si>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</si>
  <si>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</si>
  <si>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</si>
  <si>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</si>
  <si>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</si>
  <si>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</si>
  <si>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</si>
  <si>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</si>
  <si>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</si>
  <si>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</si>
  <si>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</si>
  <si>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</si>
  <si>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</si>
  <si>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</si>
  <si>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</si>
  <si>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</si>
  <si>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</si>
  <si>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</si>
  <si>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</si>
  <si>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</si>
  <si>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</si>
  <si>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</si>
  <si>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</si>
  <si>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</si>
  <si>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</si>
  <si>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</si>
  <si>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</si>
  <si>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</si>
  <si>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</si>
  <si>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</si>
  <si>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</si>
  <si>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</si>
  <si>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</si>
  <si>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</si>
  <si>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</si>
  <si>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</si>
  <si>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</si>
  <si>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</si>
  <si>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</si>
  <si>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</si>
  <si>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</si>
  <si>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</si>
  <si>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</si>
  <si>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</si>
  <si>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</si>
  <si>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</si>
  <si>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</si>
  <si>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</si>
  <si>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</si>
  <si>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</si>
  <si>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</si>
  <si>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</si>
  <si>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</si>
  <si>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</si>
  <si>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</si>
  <si>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</si>
  <si>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</si>
  <si>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</si>
  <si>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</si>
  <si>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</si>
  <si>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</si>
  <si>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</si>
  <si>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</si>
  <si>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</si>
  <si>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</si>
  <si>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</si>
  <si>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</si>
  <si>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</si>
  <si>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</si>
  <si>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</si>
  <si>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</si>
  <si>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</si>
  <si>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</si>
  <si>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</si>
  <si>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</si>
  <si>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</si>
  <si>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</si>
  <si>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</si>
  <si>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</si>
  <si>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</si>
  <si>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</si>
  <si>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</si>
  <si>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</si>
  <si>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</si>
  <si>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</si>
  <si>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</si>
  <si>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</si>
  <si>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</si>
  <si>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</si>
  <si>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</si>
  <si>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</si>
  <si>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</si>
  <si>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</si>
  <si>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</si>
  <si>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</si>
  <si>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</si>
  <si>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</si>
  <si>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</si>
  <si>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</si>
  <si>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</si>
  <si>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</si>
  <si>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</si>
  <si>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</si>
  <si>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</si>
  <si>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</si>
  <si>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</si>
  <si>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</si>
  <si>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</si>
  <si>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</si>
  <si>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</si>
  <si>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</si>
  <si>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</si>
  <si>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</si>
  <si>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</si>
  <si>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</si>
  <si>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</si>
  <si>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</si>
  <si>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</si>
  <si>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</si>
  <si>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</si>
  <si>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</si>
  <si>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</si>
  <si>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</si>
  <si>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</si>
  <si>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</si>
  <si>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</si>
  <si>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</si>
  <si>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</si>
  <si>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</si>
  <si>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</si>
  <si>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</si>
  <si>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</si>
  <si>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</si>
  <si>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</si>
  <si>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</si>
  <si>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</si>
  <si>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</si>
  <si>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</si>
  <si>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</si>
  <si>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</si>
  <si>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</si>
  <si>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</si>
  <si>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</si>
  <si>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</si>
  <si>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</si>
  <si>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</si>
  <si>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</si>
  <si>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</si>
  <si>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</si>
  <si>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</si>
  <si>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</si>
  <si>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</si>
  <si>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</si>
  <si>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</si>
  <si>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</si>
  <si>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</si>
  <si>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</si>
  <si>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</si>
  <si>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</si>
  <si>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</si>
  <si>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</si>
  <si>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</si>
  <si>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</si>
  <si>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</si>
  <si>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</si>
  <si>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</si>
  <si>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</si>
  <si>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</si>
  <si>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</si>
  <si>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</si>
  <si>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</si>
  <si>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</si>
  <si>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</si>
  <si>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</si>
  <si>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</si>
  <si>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</si>
  <si>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</si>
  <si>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</si>
  <si>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</si>
  <si>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</si>
  <si>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</si>
  <si>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</si>
  <si>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</si>
  <si>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</si>
  <si>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</si>
  <si>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</si>
  <si>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</si>
  <si>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</si>
  <si>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</si>
  <si>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</si>
  <si>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</si>
  <si>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</si>
  <si>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</si>
  <si>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</si>
  <si>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</si>
  <si>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</si>
  <si>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</si>
  <si>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</si>
  <si>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</si>
  <si>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</si>
  <si>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</si>
  <si>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</si>
  <si>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</si>
  <si>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</si>
  <si>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</si>
  <si>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</si>
  <si>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</si>
  <si>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</si>
  <si>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</si>
  <si>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</si>
  <si>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</si>
  <si>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</si>
  <si>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</si>
  <si>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</si>
  <si>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</si>
  <si>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</si>
  <si>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</si>
  <si>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</si>
  <si>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</si>
  <si>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</si>
  <si>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</si>
  <si>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</si>
  <si>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</si>
  <si>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</si>
  <si>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</si>
  <si>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</si>
  <si>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</si>
  <si>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</si>
  <si>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</si>
  <si>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</si>
  <si>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</si>
  <si>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</si>
  <si>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</si>
  <si>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</si>
  <si>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</si>
  <si>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</si>
  <si>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</si>
  <si>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</si>
  <si>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</si>
  <si>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</si>
  <si>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</si>
  <si>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</si>
  <si>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</si>
  <si>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</si>
  <si>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</si>
  <si>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</si>
  <si>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</si>
  <si>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</si>
  <si>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</si>
  <si>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</si>
  <si>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</si>
  <si>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</si>
  <si>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</si>
  <si>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</si>
  <si>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</si>
  <si>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</si>
  <si>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</si>
  <si>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</si>
  <si>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</si>
  <si>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</si>
  <si>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</si>
  <si>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</si>
  <si>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</si>
  <si>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</si>
  <si>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</si>
  <si>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</si>
  <si>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</si>
  <si>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</si>
  <si>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</si>
  <si>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</si>
  <si>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</si>
  <si>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</si>
  <si>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</si>
  <si>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</si>
  <si>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</si>
  <si>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</si>
  <si>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</si>
  <si>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</si>
  <si>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</si>
  <si>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</si>
  <si>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</si>
  <si>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</si>
  <si>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</si>
  <si>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</si>
  <si>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</si>
  <si>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</si>
  <si>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</si>
  <si>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</si>
  <si>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</si>
  <si>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</si>
  <si>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</si>
  <si>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</si>
  <si>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</si>
  <si>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</si>
  <si>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</si>
  <si>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</si>
  <si>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</si>
  <si>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</si>
  <si>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</si>
  <si>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</si>
  <si>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</si>
  <si>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</si>
  <si>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</si>
  <si>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</si>
  <si>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</si>
  <si>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</si>
  <si>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</si>
  <si>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</si>
  <si>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</si>
  <si>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</si>
  <si>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</si>
  <si>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</si>
  <si>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</si>
  <si>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</si>
  <si>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</si>
  <si>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</si>
  <si>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</si>
  <si>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</si>
  <si>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</si>
  <si>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</si>
  <si>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</si>
  <si>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</si>
  <si>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</si>
  <si>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</si>
  <si>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</si>
  <si>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</si>
  <si>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</si>
  <si>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</si>
  <si>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</si>
  <si>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</si>
  <si>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</si>
  <si>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</si>
  <si>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</si>
  <si>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</si>
  <si>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</si>
  <si>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</si>
  <si>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</si>
  <si>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</si>
  <si>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</si>
  <si>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</si>
  <si>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</si>
  <si>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</si>
  <si>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</si>
  <si>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</si>
  <si>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</si>
  <si>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</si>
  <si>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</si>
  <si>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</si>
  <si>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</si>
  <si>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</si>
  <si>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</si>
  <si>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</si>
  <si>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</si>
  <si>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</si>
  <si>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</si>
  <si>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</si>
  <si>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</si>
  <si>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</si>
  <si>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</si>
  <si>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</si>
  <si>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</si>
  <si>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</si>
  <si>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</si>
  <si>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</si>
  <si>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</si>
  <si>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</si>
  <si>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</si>
  <si>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</si>
  <si>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</si>
  <si>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</si>
  <si>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</si>
  <si>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</si>
  <si>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</si>
  <si>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</si>
  <si>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44048</t>
  </si>
  <si>
    <t>NAZARETH</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</si>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</sst>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AF861C69-9428-4B54-B646-1C78F0A6DE5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96300.131134267009</c:v>
                </c:pt>
                <c:pt idx="1">
                  <c:v>61377.348048093016</c:v>
                </c:pt>
                <c:pt idx="2">
                  <c:v>994.71100000000001</c:v>
                </c:pt>
                <c:pt idx="3">
                  <c:v>9402.2428706006558</c:v>
                </c:pt>
                <c:pt idx="4">
                  <c:v>121734.38228716989</c:v>
                </c:pt>
                <c:pt idx="5">
                  <c:v>389638.12663039687</c:v>
                </c:pt>
                <c:pt idx="6">
                  <c:v>793.83896728854882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96300.131134267009</c:v>
                </c:pt>
                <c:pt idx="1">
                  <c:v>61377.348048093016</c:v>
                </c:pt>
                <c:pt idx="2">
                  <c:v>994.71100000000001</c:v>
                </c:pt>
                <c:pt idx="3">
                  <c:v>9402.2428706006558</c:v>
                </c:pt>
                <c:pt idx="4">
                  <c:v>121734.38228716989</c:v>
                </c:pt>
                <c:pt idx="5">
                  <c:v>389638.12663039687</c:v>
                </c:pt>
                <c:pt idx="6">
                  <c:v>793.83896728854882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20570.714709237767</c:v>
                </c:pt>
                <c:pt idx="1">
                  <c:v>12669.426306258725</c:v>
                </c:pt>
                <c:pt idx="2">
                  <c:v>206.73964492298578</c:v>
                </c:pt>
                <c:pt idx="3">
                  <c:v>2360.0973599457884</c:v>
                </c:pt>
                <c:pt idx="4">
                  <c:v>25423.500144131547</c:v>
                </c:pt>
                <c:pt idx="5">
                  <c:v>97314.381034236547</c:v>
                </c:pt>
                <c:pt idx="6">
                  <c:v>200.14873191055742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20570.714709237767</c:v>
                </c:pt>
                <c:pt idx="1">
                  <c:v>12669.426306258725</c:v>
                </c:pt>
                <c:pt idx="2">
                  <c:v>206.73964492298578</c:v>
                </c:pt>
                <c:pt idx="3">
                  <c:v>2360.0973599457884</c:v>
                </c:pt>
                <c:pt idx="4">
                  <c:v>25423.500144131547</c:v>
                </c:pt>
                <c:pt idx="5">
                  <c:v>97314.381034236547</c:v>
                </c:pt>
                <c:pt idx="6">
                  <c:v>200.14873191055742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44048</v>
      </c>
      <c r="B6" s="382"/>
      <c r="C6" s="383"/>
    </row>
    <row r="7" spans="1:7" s="380" customFormat="1" ht="15.75" customHeight="1">
      <c r="A7" s="384" t="str">
        <f>txtMunicipality</f>
        <v>NAZARETH</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0.20783890489095402</v>
      </c>
      <c r="C17" s="492">
        <f ca="1">'EF ele_warmte'!B22</f>
        <v>0.23764705882352946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0.20783890489095402</v>
      </c>
      <c r="C29" s="493">
        <f ca="1">'EF ele_warmte'!B22</f>
        <v>0.23764705882352946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4713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2044.88</v>
      </c>
      <c r="C14" s="324"/>
      <c r="D14" s="324"/>
      <c r="E14" s="324"/>
      <c r="F14" s="324"/>
    </row>
    <row r="15" spans="1:6">
      <c r="A15" s="1257" t="s">
        <v>177</v>
      </c>
      <c r="B15" s="1258">
        <v>42</v>
      </c>
      <c r="C15" s="324"/>
      <c r="D15" s="324"/>
      <c r="E15" s="324"/>
      <c r="F15" s="324"/>
    </row>
    <row r="16" spans="1:6">
      <c r="A16" s="1257" t="s">
        <v>6</v>
      </c>
      <c r="B16" s="1258">
        <v>1395</v>
      </c>
      <c r="C16" s="324"/>
      <c r="D16" s="324"/>
      <c r="E16" s="324"/>
      <c r="F16" s="324"/>
    </row>
    <row r="17" spans="1:6">
      <c r="A17" s="1257" t="s">
        <v>7</v>
      </c>
      <c r="B17" s="1258">
        <v>504</v>
      </c>
      <c r="C17" s="324"/>
      <c r="D17" s="324"/>
      <c r="E17" s="324"/>
      <c r="F17" s="324"/>
    </row>
    <row r="18" spans="1:6">
      <c r="A18" s="1257" t="s">
        <v>8</v>
      </c>
      <c r="B18" s="1258">
        <v>1027</v>
      </c>
      <c r="C18" s="324"/>
      <c r="D18" s="324"/>
      <c r="E18" s="324"/>
      <c r="F18" s="324"/>
    </row>
    <row r="19" spans="1:6">
      <c r="A19" s="1257" t="s">
        <v>9</v>
      </c>
      <c r="B19" s="1258">
        <v>1059</v>
      </c>
      <c r="C19" s="324"/>
      <c r="D19" s="324"/>
      <c r="E19" s="324"/>
      <c r="F19" s="324"/>
    </row>
    <row r="20" spans="1:6">
      <c r="A20" s="1257" t="s">
        <v>10</v>
      </c>
      <c r="B20" s="1258">
        <v>694</v>
      </c>
      <c r="C20" s="324"/>
      <c r="D20" s="324"/>
      <c r="E20" s="324"/>
      <c r="F20" s="324"/>
    </row>
    <row r="21" spans="1:6">
      <c r="A21" s="1257" t="s">
        <v>11</v>
      </c>
      <c r="B21" s="1258">
        <v>9070</v>
      </c>
      <c r="C21" s="324"/>
      <c r="D21" s="324"/>
      <c r="E21" s="324"/>
      <c r="F21" s="324"/>
    </row>
    <row r="22" spans="1:6">
      <c r="A22" s="1257" t="s">
        <v>12</v>
      </c>
      <c r="B22" s="1258">
        <v>16512</v>
      </c>
      <c r="C22" s="324"/>
      <c r="D22" s="324"/>
      <c r="E22" s="324"/>
      <c r="F22" s="324"/>
    </row>
    <row r="23" spans="1:6">
      <c r="A23" s="1257" t="s">
        <v>13</v>
      </c>
      <c r="B23" s="1258">
        <v>163</v>
      </c>
      <c r="C23" s="324"/>
      <c r="D23" s="324"/>
      <c r="E23" s="324"/>
      <c r="F23" s="324"/>
    </row>
    <row r="24" spans="1:6">
      <c r="A24" s="1257" t="s">
        <v>14</v>
      </c>
      <c r="B24" s="1258">
        <v>10</v>
      </c>
      <c r="C24" s="324"/>
      <c r="D24" s="324"/>
      <c r="E24" s="324"/>
      <c r="F24" s="324"/>
    </row>
    <row r="25" spans="1:6">
      <c r="A25" s="1257" t="s">
        <v>15</v>
      </c>
      <c r="B25" s="1258">
        <v>977</v>
      </c>
      <c r="C25" s="324"/>
      <c r="D25" s="324"/>
      <c r="E25" s="324"/>
      <c r="F25" s="324"/>
    </row>
    <row r="26" spans="1:6">
      <c r="A26" s="1257" t="s">
        <v>16</v>
      </c>
      <c r="B26" s="1258">
        <v>86</v>
      </c>
      <c r="C26" s="324"/>
      <c r="D26" s="324"/>
      <c r="E26" s="324"/>
      <c r="F26" s="324"/>
    </row>
    <row r="27" spans="1:6">
      <c r="A27" s="1257" t="s">
        <v>17</v>
      </c>
      <c r="B27" s="1258">
        <v>0</v>
      </c>
      <c r="C27" s="324"/>
      <c r="D27" s="324"/>
      <c r="E27" s="324"/>
      <c r="F27" s="324"/>
    </row>
    <row r="28" spans="1:6">
      <c r="A28" s="1257" t="s">
        <v>18</v>
      </c>
      <c r="B28" s="1259">
        <v>60129</v>
      </c>
      <c r="C28" s="324"/>
      <c r="D28" s="324"/>
      <c r="E28" s="324"/>
      <c r="F28" s="324"/>
    </row>
    <row r="29" spans="1:6">
      <c r="A29" s="1257" t="s">
        <v>664</v>
      </c>
      <c r="B29" s="1259">
        <v>106</v>
      </c>
      <c r="C29" s="324"/>
      <c r="D29" s="324"/>
      <c r="E29" s="324"/>
      <c r="F29" s="324"/>
    </row>
    <row r="30" spans="1:6">
      <c r="A30" s="1252" t="s">
        <v>665</v>
      </c>
      <c r="B30" s="1260">
        <v>40</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0</v>
      </c>
      <c r="F36" s="1258">
        <v>0</v>
      </c>
    </row>
    <row r="37" spans="1:6">
      <c r="A37" s="1257" t="s">
        <v>24</v>
      </c>
      <c r="B37" s="1257" t="s">
        <v>27</v>
      </c>
      <c r="C37" s="1258">
        <v>0</v>
      </c>
      <c r="D37" s="1258">
        <v>0</v>
      </c>
      <c r="E37" s="1258">
        <v>0</v>
      </c>
      <c r="F37" s="1258">
        <v>0</v>
      </c>
    </row>
    <row r="38" spans="1:6">
      <c r="A38" s="1257" t="s">
        <v>24</v>
      </c>
      <c r="B38" s="1257" t="s">
        <v>28</v>
      </c>
      <c r="C38" s="1258">
        <v>0</v>
      </c>
      <c r="D38" s="1258">
        <v>0</v>
      </c>
      <c r="E38" s="1258">
        <v>3</v>
      </c>
      <c r="F38" s="1258">
        <v>22257.307000000001</v>
      </c>
    </row>
    <row r="39" spans="1:6">
      <c r="A39" s="1257" t="s">
        <v>29</v>
      </c>
      <c r="B39" s="1257" t="s">
        <v>30</v>
      </c>
      <c r="C39" s="1258">
        <v>1750</v>
      </c>
      <c r="D39" s="1258">
        <v>24934903.879999999</v>
      </c>
      <c r="E39" s="1258">
        <v>4440</v>
      </c>
      <c r="F39" s="1258">
        <v>19880640.829999998</v>
      </c>
    </row>
    <row r="40" spans="1:6">
      <c r="A40" s="1257" t="s">
        <v>29</v>
      </c>
      <c r="B40" s="1257" t="s">
        <v>28</v>
      </c>
      <c r="C40" s="1258">
        <v>0</v>
      </c>
      <c r="D40" s="1258">
        <v>0</v>
      </c>
      <c r="E40" s="1258">
        <v>1</v>
      </c>
      <c r="F40" s="1258">
        <v>82.786000000000001</v>
      </c>
    </row>
    <row r="41" spans="1:6">
      <c r="A41" s="1257" t="s">
        <v>31</v>
      </c>
      <c r="B41" s="1257" t="s">
        <v>32</v>
      </c>
      <c r="C41" s="1258">
        <v>25</v>
      </c>
      <c r="D41" s="1258">
        <v>2223028.085</v>
      </c>
      <c r="E41" s="1258">
        <v>191</v>
      </c>
      <c r="F41" s="1258">
        <v>10974126.35</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3</v>
      </c>
      <c r="D44" s="1258">
        <v>1326066.1170000001</v>
      </c>
      <c r="E44" s="1258">
        <v>11</v>
      </c>
      <c r="F44" s="1258">
        <v>1121551.906</v>
      </c>
    </row>
    <row r="45" spans="1:6">
      <c r="A45" s="1257" t="s">
        <v>31</v>
      </c>
      <c r="B45" s="1257" t="s">
        <v>36</v>
      </c>
      <c r="C45" s="1258">
        <v>0</v>
      </c>
      <c r="D45" s="1258">
        <v>0</v>
      </c>
      <c r="E45" s="1258">
        <v>3</v>
      </c>
      <c r="F45" s="1258">
        <v>181134.43299999999</v>
      </c>
    </row>
    <row r="46" spans="1:6">
      <c r="A46" s="1257" t="s">
        <v>31</v>
      </c>
      <c r="B46" s="1257" t="s">
        <v>37</v>
      </c>
      <c r="C46" s="1258">
        <v>0</v>
      </c>
      <c r="D46" s="1258">
        <v>0</v>
      </c>
      <c r="E46" s="1258">
        <v>0</v>
      </c>
      <c r="F46" s="1258">
        <v>0</v>
      </c>
    </row>
    <row r="47" spans="1:6">
      <c r="A47" s="1257" t="s">
        <v>31</v>
      </c>
      <c r="B47" s="1257" t="s">
        <v>38</v>
      </c>
      <c r="C47" s="1258">
        <v>4</v>
      </c>
      <c r="D47" s="1258">
        <v>70531.134999999995</v>
      </c>
      <c r="E47" s="1258">
        <v>9</v>
      </c>
      <c r="F47" s="1258">
        <v>1979262.6710000001</v>
      </c>
    </row>
    <row r="48" spans="1:6">
      <c r="A48" s="1257" t="s">
        <v>31</v>
      </c>
      <c r="B48" s="1257" t="s">
        <v>28</v>
      </c>
      <c r="C48" s="1258">
        <v>29</v>
      </c>
      <c r="D48" s="1258">
        <v>50532528.710000001</v>
      </c>
      <c r="E48" s="1258">
        <v>40</v>
      </c>
      <c r="F48" s="1258">
        <v>38529057.140000001</v>
      </c>
    </row>
    <row r="49" spans="1:6">
      <c r="A49" s="1257" t="s">
        <v>31</v>
      </c>
      <c r="B49" s="1257" t="s">
        <v>39</v>
      </c>
      <c r="C49" s="1258">
        <v>0</v>
      </c>
      <c r="D49" s="1258">
        <v>0</v>
      </c>
      <c r="E49" s="1258">
        <v>0</v>
      </c>
      <c r="F49" s="1258">
        <v>0</v>
      </c>
    </row>
    <row r="50" spans="1:6">
      <c r="A50" s="1257" t="s">
        <v>31</v>
      </c>
      <c r="B50" s="1257" t="s">
        <v>40</v>
      </c>
      <c r="C50" s="1258">
        <v>3</v>
      </c>
      <c r="D50" s="1258">
        <v>1238005.183</v>
      </c>
      <c r="E50" s="1258">
        <v>8</v>
      </c>
      <c r="F50" s="1258">
        <v>1284237.3160000001</v>
      </c>
    </row>
    <row r="51" spans="1:6">
      <c r="A51" s="1257" t="s">
        <v>41</v>
      </c>
      <c r="B51" s="1257" t="s">
        <v>42</v>
      </c>
      <c r="C51" s="1258">
        <v>3</v>
      </c>
      <c r="D51" s="1258">
        <v>45851.481</v>
      </c>
      <c r="E51" s="1258">
        <v>97</v>
      </c>
      <c r="F51" s="1258">
        <v>1544006.5689999999</v>
      </c>
    </row>
    <row r="52" spans="1:6">
      <c r="A52" s="1257" t="s">
        <v>41</v>
      </c>
      <c r="B52" s="1257" t="s">
        <v>28</v>
      </c>
      <c r="C52" s="1258">
        <v>9</v>
      </c>
      <c r="D52" s="1258">
        <v>1505096.648</v>
      </c>
      <c r="E52" s="1258">
        <v>7</v>
      </c>
      <c r="F52" s="1258">
        <v>102050.166</v>
      </c>
    </row>
    <row r="53" spans="1:6">
      <c r="A53" s="1257" t="s">
        <v>43</v>
      </c>
      <c r="B53" s="1257" t="s">
        <v>44</v>
      </c>
      <c r="C53" s="1258">
        <v>34</v>
      </c>
      <c r="D53" s="1258">
        <v>593880.402</v>
      </c>
      <c r="E53" s="1258">
        <v>127</v>
      </c>
      <c r="F53" s="1258">
        <v>522893.06800000003</v>
      </c>
    </row>
    <row r="54" spans="1:6">
      <c r="A54" s="1257" t="s">
        <v>45</v>
      </c>
      <c r="B54" s="1257" t="s">
        <v>46</v>
      </c>
      <c r="C54" s="1258">
        <v>0</v>
      </c>
      <c r="D54" s="1258">
        <v>0</v>
      </c>
      <c r="E54" s="1258">
        <v>1</v>
      </c>
      <c r="F54" s="1258">
        <v>994711</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12</v>
      </c>
      <c r="D57" s="1258">
        <v>377504.837</v>
      </c>
      <c r="E57" s="1258">
        <v>62</v>
      </c>
      <c r="F57" s="1258">
        <v>803105.94499999995</v>
      </c>
    </row>
    <row r="58" spans="1:6">
      <c r="A58" s="1257" t="s">
        <v>48</v>
      </c>
      <c r="B58" s="1257" t="s">
        <v>50</v>
      </c>
      <c r="C58" s="1258">
        <v>3</v>
      </c>
      <c r="D58" s="1258">
        <v>140859.13699999999</v>
      </c>
      <c r="E58" s="1258">
        <v>34</v>
      </c>
      <c r="F58" s="1258">
        <v>1416460.82</v>
      </c>
    </row>
    <row r="59" spans="1:6">
      <c r="A59" s="1257" t="s">
        <v>48</v>
      </c>
      <c r="B59" s="1257" t="s">
        <v>51</v>
      </c>
      <c r="C59" s="1258">
        <v>36</v>
      </c>
      <c r="D59" s="1258">
        <v>3563830.2790000001</v>
      </c>
      <c r="E59" s="1258">
        <v>207</v>
      </c>
      <c r="F59" s="1258">
        <v>6413311.0599999996</v>
      </c>
    </row>
    <row r="60" spans="1:6">
      <c r="A60" s="1257" t="s">
        <v>48</v>
      </c>
      <c r="B60" s="1257" t="s">
        <v>52</v>
      </c>
      <c r="C60" s="1258">
        <v>20</v>
      </c>
      <c r="D60" s="1258">
        <v>781327.49199999997</v>
      </c>
      <c r="E60" s="1258">
        <v>41</v>
      </c>
      <c r="F60" s="1258">
        <v>1458448.713</v>
      </c>
    </row>
    <row r="61" spans="1:6">
      <c r="A61" s="1257" t="s">
        <v>48</v>
      </c>
      <c r="B61" s="1257" t="s">
        <v>53</v>
      </c>
      <c r="C61" s="1258">
        <v>89</v>
      </c>
      <c r="D61" s="1258">
        <v>4337876.8210000005</v>
      </c>
      <c r="E61" s="1258">
        <v>299</v>
      </c>
      <c r="F61" s="1258">
        <v>4892608.8969999999</v>
      </c>
    </row>
    <row r="62" spans="1:6">
      <c r="A62" s="1257" t="s">
        <v>48</v>
      </c>
      <c r="B62" s="1257" t="s">
        <v>54</v>
      </c>
      <c r="C62" s="1258">
        <v>4</v>
      </c>
      <c r="D62" s="1258">
        <v>275832.40899999999</v>
      </c>
      <c r="E62" s="1258">
        <v>9</v>
      </c>
      <c r="F62" s="1258">
        <v>68975.3</v>
      </c>
    </row>
    <row r="63" spans="1:6">
      <c r="A63" s="1257" t="s">
        <v>48</v>
      </c>
      <c r="B63" s="1257" t="s">
        <v>28</v>
      </c>
      <c r="C63" s="1258">
        <v>89</v>
      </c>
      <c r="D63" s="1258">
        <v>11029421.279999999</v>
      </c>
      <c r="E63" s="1258">
        <v>109</v>
      </c>
      <c r="F63" s="1258">
        <v>19490938.66</v>
      </c>
    </row>
    <row r="64" spans="1:6">
      <c r="A64" s="1257" t="s">
        <v>55</v>
      </c>
      <c r="B64" s="1257" t="s">
        <v>56</v>
      </c>
      <c r="C64" s="1258">
        <v>0</v>
      </c>
      <c r="D64" s="1258">
        <v>0</v>
      </c>
      <c r="E64" s="1258">
        <v>0</v>
      </c>
      <c r="F64" s="1258">
        <v>0</v>
      </c>
    </row>
    <row r="65" spans="1:6">
      <c r="A65" s="1257" t="s">
        <v>55</v>
      </c>
      <c r="B65" s="1257" t="s">
        <v>28</v>
      </c>
      <c r="C65" s="1258">
        <v>1</v>
      </c>
      <c r="D65" s="1258">
        <v>3362.2739999999999</v>
      </c>
      <c r="E65" s="1258">
        <v>5</v>
      </c>
      <c r="F65" s="1258">
        <v>27584.415000000001</v>
      </c>
    </row>
    <row r="66" spans="1:6">
      <c r="A66" s="1257" t="s">
        <v>55</v>
      </c>
      <c r="B66" s="1257" t="s">
        <v>57</v>
      </c>
      <c r="C66" s="1258">
        <v>0</v>
      </c>
      <c r="D66" s="1258">
        <v>0</v>
      </c>
      <c r="E66" s="1258">
        <v>5</v>
      </c>
      <c r="F66" s="1258">
        <v>342493.66100000002</v>
      </c>
    </row>
    <row r="67" spans="1:6">
      <c r="A67" s="1257" t="s">
        <v>55</v>
      </c>
      <c r="B67" s="1257" t="s">
        <v>58</v>
      </c>
      <c r="C67" s="1258">
        <v>0</v>
      </c>
      <c r="D67" s="1258">
        <v>0</v>
      </c>
      <c r="E67" s="1258">
        <v>0</v>
      </c>
      <c r="F67" s="1258">
        <v>0</v>
      </c>
    </row>
    <row r="68" spans="1:6">
      <c r="A68" s="1252" t="s">
        <v>55</v>
      </c>
      <c r="B68" s="1252" t="s">
        <v>59</v>
      </c>
      <c r="C68" s="1260">
        <v>4</v>
      </c>
      <c r="D68" s="1260">
        <v>143250.56400000001</v>
      </c>
      <c r="E68" s="1260">
        <v>10</v>
      </c>
      <c r="F68" s="1260">
        <v>2055051</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88920670</v>
      </c>
      <c r="E73" s="442"/>
      <c r="F73" s="324"/>
    </row>
    <row r="74" spans="1:6">
      <c r="A74" s="1257" t="s">
        <v>63</v>
      </c>
      <c r="B74" s="1257" t="s">
        <v>608</v>
      </c>
      <c r="C74" s="1270" t="s">
        <v>610</v>
      </c>
      <c r="D74" s="1258">
        <v>12123953</v>
      </c>
      <c r="E74" s="442"/>
      <c r="F74" s="324"/>
    </row>
    <row r="75" spans="1:6">
      <c r="A75" s="1257" t="s">
        <v>64</v>
      </c>
      <c r="B75" s="1257" t="s">
        <v>607</v>
      </c>
      <c r="C75" s="1270" t="s">
        <v>611</v>
      </c>
      <c r="D75" s="1258">
        <v>21831727</v>
      </c>
      <c r="E75" s="442"/>
      <c r="F75" s="324"/>
    </row>
    <row r="76" spans="1:6">
      <c r="A76" s="1257" t="s">
        <v>64</v>
      </c>
      <c r="B76" s="1257" t="s">
        <v>608</v>
      </c>
      <c r="C76" s="1270" t="s">
        <v>612</v>
      </c>
      <c r="D76" s="1258">
        <v>2228510</v>
      </c>
      <c r="E76" s="442"/>
      <c r="F76" s="324"/>
    </row>
    <row r="77" spans="1:6">
      <c r="A77" s="1257" t="s">
        <v>65</v>
      </c>
      <c r="B77" s="1257" t="s">
        <v>607</v>
      </c>
      <c r="C77" s="1270" t="s">
        <v>613</v>
      </c>
      <c r="D77" s="1258">
        <v>199950109</v>
      </c>
      <c r="E77" s="442"/>
      <c r="F77" s="324"/>
    </row>
    <row r="78" spans="1:6">
      <c r="A78" s="1252" t="s">
        <v>65</v>
      </c>
      <c r="B78" s="1252" t="s">
        <v>608</v>
      </c>
      <c r="C78" s="1252" t="s">
        <v>614</v>
      </c>
      <c r="D78" s="1260">
        <v>52918449</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217528</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3074.6924743281061</v>
      </c>
      <c r="C91" s="324"/>
      <c r="D91" s="324"/>
      <c r="E91" s="324"/>
      <c r="F91" s="324"/>
    </row>
    <row r="92" spans="1:6">
      <c r="A92" s="1252" t="s">
        <v>68</v>
      </c>
      <c r="B92" s="1253">
        <v>3826.9791323357676</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273</v>
      </c>
      <c r="C97" s="324"/>
      <c r="D97" s="324"/>
      <c r="E97" s="324"/>
      <c r="F97" s="324"/>
    </row>
    <row r="98" spans="1:6">
      <c r="A98" s="1257" t="s">
        <v>71</v>
      </c>
      <c r="B98" s="1258">
        <v>0</v>
      </c>
      <c r="C98" s="324"/>
      <c r="D98" s="324"/>
      <c r="E98" s="324"/>
      <c r="F98" s="324"/>
    </row>
    <row r="99" spans="1:6">
      <c r="A99" s="1257" t="s">
        <v>72</v>
      </c>
      <c r="B99" s="1258">
        <v>63</v>
      </c>
      <c r="C99" s="324"/>
      <c r="D99" s="324"/>
      <c r="E99" s="324"/>
      <c r="F99" s="324"/>
    </row>
    <row r="100" spans="1:6">
      <c r="A100" s="1257" t="s">
        <v>73</v>
      </c>
      <c r="B100" s="1258">
        <v>633</v>
      </c>
      <c r="C100" s="324"/>
      <c r="D100" s="324"/>
      <c r="E100" s="324"/>
      <c r="F100" s="324"/>
    </row>
    <row r="101" spans="1:6">
      <c r="A101" s="1257" t="s">
        <v>74</v>
      </c>
      <c r="B101" s="1258">
        <v>90</v>
      </c>
      <c r="C101" s="324"/>
      <c r="D101" s="324"/>
      <c r="E101" s="324"/>
      <c r="F101" s="324"/>
    </row>
    <row r="102" spans="1:6">
      <c r="A102" s="1257" t="s">
        <v>75</v>
      </c>
      <c r="B102" s="1258">
        <v>66</v>
      </c>
      <c r="C102" s="324"/>
      <c r="D102" s="324"/>
      <c r="E102" s="324"/>
      <c r="F102" s="324"/>
    </row>
    <row r="103" spans="1:6">
      <c r="A103" s="1257" t="s">
        <v>76</v>
      </c>
      <c r="B103" s="1258">
        <v>140</v>
      </c>
      <c r="C103" s="324"/>
      <c r="D103" s="324"/>
      <c r="E103" s="324"/>
      <c r="F103" s="324"/>
    </row>
    <row r="104" spans="1:6">
      <c r="A104" s="1257" t="s">
        <v>77</v>
      </c>
      <c r="B104" s="1258">
        <v>2713</v>
      </c>
      <c r="C104" s="324"/>
      <c r="D104" s="324"/>
      <c r="E104" s="324"/>
      <c r="F104" s="324"/>
    </row>
    <row r="105" spans="1:6">
      <c r="A105" s="1252" t="s">
        <v>78</v>
      </c>
      <c r="B105" s="1260">
        <v>11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1</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47</v>
      </c>
      <c r="C123" s="1258">
        <v>18</v>
      </c>
      <c r="D123" s="324"/>
      <c r="E123" s="324"/>
      <c r="F123" s="324"/>
    </row>
    <row r="124" spans="1:6">
      <c r="A124" s="1257" t="s">
        <v>88</v>
      </c>
      <c r="B124" s="1258">
        <v>0</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179</v>
      </c>
      <c r="C129" s="324"/>
      <c r="D129" s="324"/>
      <c r="E129" s="324"/>
      <c r="F129" s="324"/>
    </row>
    <row r="130" spans="1:6">
      <c r="A130" s="1257" t="s">
        <v>283</v>
      </c>
      <c r="B130" s="1258">
        <v>1</v>
      </c>
      <c r="C130" s="324"/>
      <c r="D130" s="324"/>
      <c r="E130" s="324"/>
      <c r="F130" s="324"/>
    </row>
    <row r="131" spans="1:6">
      <c r="A131" s="1257" t="s">
        <v>284</v>
      </c>
      <c r="B131" s="1258">
        <v>2</v>
      </c>
      <c r="C131" s="324"/>
      <c r="D131" s="324"/>
      <c r="E131" s="324"/>
      <c r="F131" s="324"/>
    </row>
    <row r="132" spans="1:6">
      <c r="A132" s="1252" t="s">
        <v>285</v>
      </c>
      <c r="B132" s="1253">
        <v>15</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115436.93524804091</v>
      </c>
      <c r="C3" s="43" t="s">
        <v>163</v>
      </c>
      <c r="D3" s="43"/>
      <c r="E3" s="153"/>
      <c r="F3" s="43"/>
      <c r="G3" s="43"/>
      <c r="H3" s="43"/>
      <c r="I3" s="43"/>
      <c r="J3" s="43"/>
      <c r="K3" s="96"/>
    </row>
    <row r="4" spans="1:11">
      <c r="A4" s="350" t="s">
        <v>164</v>
      </c>
      <c r="B4" s="49">
        <f>IF(ISERROR('SEAP template'!B78+'SEAP template'!C78),0,'SEAP template'!B78+'SEAP template'!C78)</f>
        <v>7261.6716066638737</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85.552941176470597</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0.20783890489095402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122.21848739495802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514.28571428571433</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0.23764705882352946</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994.71100000000001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994.71100000000001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0.20783890489095402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206.73964492298578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19880.723615999996</v>
      </c>
      <c r="C5" s="17">
        <f>IF(ISERROR('Eigen informatie GS &amp; warmtenet'!B59),0,'Eigen informatie GS &amp; warmtenet'!B59)</f>
        <v>0</v>
      </c>
      <c r="D5" s="30">
        <f>(SUM(HH_hh_gas_kWh,HH_rest_gas_kWh)/1000)*0.902</f>
        <v>22491.283299759998</v>
      </c>
      <c r="E5" s="17">
        <f>B32*B41</f>
        <v>2084.4933218408605</v>
      </c>
      <c r="F5" s="17">
        <f>B36*B45</f>
        <v>40114.610926383612</v>
      </c>
      <c r="G5" s="18"/>
      <c r="H5" s="17"/>
      <c r="I5" s="17"/>
      <c r="J5" s="17">
        <f>B35*B44+C35*C44</f>
        <v>205.27073376827803</v>
      </c>
      <c r="K5" s="17"/>
      <c r="L5" s="17"/>
      <c r="M5" s="17"/>
      <c r="N5" s="17">
        <f>B34*B43+C34*C43</f>
        <v>7403.1275576710414</v>
      </c>
      <c r="O5" s="17">
        <f>B52*B53*B54</f>
        <v>392.82372743863232</v>
      </c>
      <c r="P5" s="17">
        <f>B60*B61*B62/1000-B60*B61*B62/1000/B63</f>
        <v>653.1054770764714</v>
      </c>
    </row>
    <row r="6" spans="1:16">
      <c r="A6" s="16" t="s">
        <v>573</v>
      </c>
      <c r="B6" s="738">
        <f>kWh_PV_kleiner_dan_10kW</f>
        <v>3074.6924743281061</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22955.416090328101</v>
      </c>
      <c r="C8" s="21">
        <f>C5</f>
        <v>0</v>
      </c>
      <c r="D8" s="21">
        <f>D5</f>
        <v>22491.283299759998</v>
      </c>
      <c r="E8" s="21">
        <f>E5</f>
        <v>2084.4933218408605</v>
      </c>
      <c r="F8" s="21">
        <f>F5</f>
        <v>40114.610926383612</v>
      </c>
      <c r="G8" s="21"/>
      <c r="H8" s="21"/>
      <c r="I8" s="21"/>
      <c r="J8" s="21">
        <f>J5</f>
        <v>205.27073376827803</v>
      </c>
      <c r="K8" s="21"/>
      <c r="L8" s="21">
        <f>L5</f>
        <v>0</v>
      </c>
      <c r="M8" s="21">
        <f>M5</f>
        <v>0</v>
      </c>
      <c r="N8" s="21">
        <f>N5</f>
        <v>7403.1275576710414</v>
      </c>
      <c r="O8" s="21">
        <f>O5</f>
        <v>392.82372743863232</v>
      </c>
      <c r="P8" s="21">
        <f>P5</f>
        <v>653.1054770764714</v>
      </c>
    </row>
    <row r="9" spans="1:16">
      <c r="B9" s="19"/>
      <c r="C9" s="19"/>
      <c r="D9" s="255"/>
      <c r="E9" s="19"/>
      <c r="F9" s="19"/>
      <c r="G9" s="19"/>
      <c r="H9" s="19"/>
      <c r="I9" s="19"/>
      <c r="J9" s="19"/>
      <c r="K9" s="19"/>
      <c r="L9" s="19"/>
      <c r="M9" s="19"/>
      <c r="N9" s="19"/>
      <c r="O9" s="19"/>
      <c r="P9" s="19"/>
    </row>
    <row r="10" spans="1:16">
      <c r="A10" s="24" t="s">
        <v>207</v>
      </c>
      <c r="B10" s="25">
        <f ca="1">'EF ele_warmte'!B12</f>
        <v>0.20783890489095402</v>
      </c>
      <c r="C10" s="25">
        <f ca="1">'EF ele_warmte'!B22</f>
        <v>0.23764705882352946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4771.0285415299777</v>
      </c>
      <c r="C12" s="23">
        <f ca="1">C10*C8</f>
        <v>0</v>
      </c>
      <c r="D12" s="23">
        <f>D8*D10</f>
        <v>4543.23922655152</v>
      </c>
      <c r="E12" s="23">
        <f>E10*E8</f>
        <v>473.17998405787534</v>
      </c>
      <c r="F12" s="23">
        <f>F10*F8</f>
        <v>10710.601117344424</v>
      </c>
      <c r="G12" s="23"/>
      <c r="H12" s="23"/>
      <c r="I12" s="23"/>
      <c r="J12" s="23">
        <f>J10*J8</f>
        <v>72.665839753970417</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4713</v>
      </c>
      <c r="C26" s="36"/>
      <c r="D26" s="225"/>
    </row>
    <row r="27" spans="1:7" s="15" customFormat="1">
      <c r="A27" s="227" t="s">
        <v>774</v>
      </c>
      <c r="B27" s="37">
        <f>SUM(HH_hh_gas_aantal,HH_rest_gas_aantal)</f>
        <v>1750</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1662.5</v>
      </c>
      <c r="C31" s="165" t="s">
        <v>104</v>
      </c>
      <c r="D31" s="230"/>
      <c r="G31" s="15"/>
    </row>
    <row r="32" spans="1:7">
      <c r="A32" s="168" t="s">
        <v>72</v>
      </c>
      <c r="B32" s="165">
        <f>IF((B21*($B$26-($B$27-0.05*$B$27)-$B$60))&lt;0,0,B21*($B$26-($B$27-0.05*$B$27)-$B$60))</f>
        <v>33.689860566316902</v>
      </c>
      <c r="C32" s="165" t="s">
        <v>104</v>
      </c>
      <c r="D32" s="230"/>
      <c r="G32" s="15"/>
    </row>
    <row r="33" spans="1:7">
      <c r="A33" s="168" t="s">
        <v>73</v>
      </c>
      <c r="B33" s="165">
        <f>IF((B22*($B$26-($B$27-0.05*$B$27)-$B$60))&lt;0,0,B22*($B$26-($B$27-0.05*$B$27)-$B$60))</f>
        <v>700.44049288379415</v>
      </c>
      <c r="C33" s="165" t="s">
        <v>104</v>
      </c>
      <c r="D33" s="230"/>
      <c r="G33" s="15"/>
    </row>
    <row r="34" spans="1:7">
      <c r="A34" s="168" t="s">
        <v>74</v>
      </c>
      <c r="B34" s="165">
        <f>IF((B24*($B$26-($B$27-0.05*$B$27)-$B$60))&lt;0,0,B24*($B$26-($B$27-0.05*$B$27)-$B$60))</f>
        <v>295.75687340895109</v>
      </c>
      <c r="C34" s="165">
        <f>B26*C24</f>
        <v>813.28686376521784</v>
      </c>
      <c r="D34" s="230"/>
      <c r="G34" s="15"/>
    </row>
    <row r="35" spans="1:7">
      <c r="A35" s="168" t="s">
        <v>76</v>
      </c>
      <c r="B35" s="165">
        <f>IF((B19*($B$26-($B$27-0.05*$B$27)-$B$60))&lt;0,0,B19*($B$26-($B$27-0.05*$B$27)-$B$60))</f>
        <v>25.499591648212629</v>
      </c>
      <c r="C35" s="165">
        <f>B35/2</f>
        <v>12.749795824106315</v>
      </c>
      <c r="D35" s="231"/>
      <c r="G35" s="15"/>
    </row>
    <row r="36" spans="1:7">
      <c r="A36" s="168" t="s">
        <v>77</v>
      </c>
      <c r="B36" s="165">
        <f>IF((B18*($B$26-($B$27-0.05*$B$27)-$B$60))&lt;0,0,B18*($B$26-($B$27-0.05*$B$27)-$B$60))</f>
        <v>1933.1131814927253</v>
      </c>
      <c r="C36" s="165" t="s">
        <v>104</v>
      </c>
      <c r="D36" s="231"/>
      <c r="G36" s="15"/>
    </row>
    <row r="37" spans="1:7">
      <c r="A37" s="168" t="s">
        <v>78</v>
      </c>
      <c r="B37" s="165">
        <f>B60</f>
        <v>62</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198</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62</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34543.849394999997</v>
      </c>
      <c r="C5" s="17">
        <f>IF(ISERROR('Eigen informatie GS &amp; warmtenet'!B60),0,'Eigen informatie GS &amp; warmtenet'!B60)</f>
        <v>0</v>
      </c>
      <c r="D5" s="30">
        <f>SUM(D6:D12)</f>
        <v>18497.000334010001</v>
      </c>
      <c r="E5" s="17">
        <f>SUM(E6:E12)</f>
        <v>89.739866375735545</v>
      </c>
      <c r="F5" s="17">
        <f>SUM(F6:F12)</f>
        <v>6531.1600948825517</v>
      </c>
      <c r="G5" s="18"/>
      <c r="H5" s="17"/>
      <c r="I5" s="17"/>
      <c r="J5" s="17">
        <f>SUM(J6:J12)</f>
        <v>4.7034544217653615E-2</v>
      </c>
      <c r="K5" s="17"/>
      <c r="L5" s="17"/>
      <c r="M5" s="17"/>
      <c r="N5" s="17">
        <f>SUM(N6:N12)</f>
        <v>1759.8615001873914</v>
      </c>
      <c r="O5" s="17">
        <f>B38*B39*B40</f>
        <v>4.8972607658411542</v>
      </c>
      <c r="P5" s="17">
        <f>B46*B47*B48/1000-B46*B47*B48/1000/B49</f>
        <v>105.07827661299004</v>
      </c>
      <c r="R5" s="32"/>
    </row>
    <row r="6" spans="1:18">
      <c r="A6" s="32" t="s">
        <v>53</v>
      </c>
      <c r="B6" s="37">
        <f>B26</f>
        <v>4892.6088970000001</v>
      </c>
      <c r="C6" s="33"/>
      <c r="D6" s="37">
        <f>IF(ISERROR(TER_kantoor_gas_kWh/1000),0,TER_kantoor_gas_kWh/1000)*0.902</f>
        <v>3912.7648925420008</v>
      </c>
      <c r="E6" s="33">
        <f>$C$26*'E Balans VL '!I12/100/3.6*1000000</f>
        <v>1.2776004724728516</v>
      </c>
      <c r="F6" s="33">
        <f>$C$26*('E Balans VL '!L12+'E Balans VL '!N12)/100/3.6*1000000</f>
        <v>488.8508842852433</v>
      </c>
      <c r="G6" s="34"/>
      <c r="H6" s="33"/>
      <c r="I6" s="33"/>
      <c r="J6" s="33">
        <f>$C$26*('E Balans VL '!D12+'E Balans VL '!E12)/100/3.6*1000000</f>
        <v>0</v>
      </c>
      <c r="K6" s="33"/>
      <c r="L6" s="33"/>
      <c r="M6" s="33"/>
      <c r="N6" s="33">
        <f>$C$26*'E Balans VL '!Y12/100/3.6*1000000</f>
        <v>3.468834190668884</v>
      </c>
      <c r="O6" s="33"/>
      <c r="P6" s="33"/>
      <c r="R6" s="32"/>
    </row>
    <row r="7" spans="1:18">
      <c r="A7" s="32" t="s">
        <v>52</v>
      </c>
      <c r="B7" s="37">
        <f t="shared" ref="B7:B12" si="0">B27</f>
        <v>1458.448713</v>
      </c>
      <c r="C7" s="33"/>
      <c r="D7" s="37">
        <f>IF(ISERROR(TER_horeca_gas_kWh/1000),0,TER_horeca_gas_kWh/1000)*0.902</f>
        <v>704.75739778399998</v>
      </c>
      <c r="E7" s="33">
        <f>$C$27*'E Balans VL '!I9/100/3.6*1000000</f>
        <v>0</v>
      </c>
      <c r="F7" s="33">
        <f>$C$27*('E Balans VL '!L9+'E Balans VL '!N9)/100/3.6*1000000</f>
        <v>119.77724735996443</v>
      </c>
      <c r="G7" s="34"/>
      <c r="H7" s="33"/>
      <c r="I7" s="33"/>
      <c r="J7" s="33">
        <f>$C$27*('E Balans VL '!D9+'E Balans VL '!E9)/100/3.6*1000000</f>
        <v>0</v>
      </c>
      <c r="K7" s="33"/>
      <c r="L7" s="33"/>
      <c r="M7" s="33"/>
      <c r="N7" s="33">
        <f>$C$27*'E Balans VL '!Y9/100/3.6*1000000</f>
        <v>18.430521960119275</v>
      </c>
      <c r="O7" s="33"/>
      <c r="P7" s="33"/>
      <c r="R7" s="32"/>
    </row>
    <row r="8" spans="1:18">
      <c r="A8" s="6" t="s">
        <v>51</v>
      </c>
      <c r="B8" s="37">
        <f t="shared" si="0"/>
        <v>6413.31106</v>
      </c>
      <c r="C8" s="33"/>
      <c r="D8" s="37">
        <f>IF(ISERROR(TER_handel_gas_kWh/1000),0,TER_handel_gas_kWh/1000)*0.902</f>
        <v>3214.5749116580005</v>
      </c>
      <c r="E8" s="33">
        <f>$C$28*'E Balans VL '!I13/100/3.6*1000000</f>
        <v>23.570601059747222</v>
      </c>
      <c r="F8" s="33">
        <f>$C$28*('E Balans VL '!L13+'E Balans VL '!N13)/100/3.6*1000000</f>
        <v>612.57927362935504</v>
      </c>
      <c r="G8" s="34"/>
      <c r="H8" s="33"/>
      <c r="I8" s="33"/>
      <c r="J8" s="33">
        <f>$C$28*('E Balans VL '!D13+'E Balans VL '!E13)/100/3.6*1000000</f>
        <v>0</v>
      </c>
      <c r="K8" s="33"/>
      <c r="L8" s="33"/>
      <c r="M8" s="33"/>
      <c r="N8" s="33">
        <f>$C$28*'E Balans VL '!Y13/100/3.6*1000000</f>
        <v>2.5375964895426333</v>
      </c>
      <c r="O8" s="33"/>
      <c r="P8" s="33"/>
      <c r="R8" s="32"/>
    </row>
    <row r="9" spans="1:18">
      <c r="A9" s="32" t="s">
        <v>50</v>
      </c>
      <c r="B9" s="37">
        <f t="shared" si="0"/>
        <v>1416.46082</v>
      </c>
      <c r="C9" s="33"/>
      <c r="D9" s="37">
        <f>IF(ISERROR(TER_gezond_gas_kWh/1000),0,TER_gezond_gas_kWh/1000)*0.902</f>
        <v>127.05494157399998</v>
      </c>
      <c r="E9" s="33">
        <f>$C$29*'E Balans VL '!I10/100/3.6*1000000</f>
        <v>0</v>
      </c>
      <c r="F9" s="33">
        <f>$C$29*('E Balans VL '!L10+'E Balans VL '!N10)/100/3.6*1000000</f>
        <v>95.68852482451004</v>
      </c>
      <c r="G9" s="34"/>
      <c r="H9" s="33"/>
      <c r="I9" s="33"/>
      <c r="J9" s="33">
        <f>$C$29*('E Balans VL '!D10+'E Balans VL '!E10)/100/3.6*1000000</f>
        <v>0</v>
      </c>
      <c r="K9" s="33"/>
      <c r="L9" s="33"/>
      <c r="M9" s="33"/>
      <c r="N9" s="33">
        <f>$C$29*'E Balans VL '!Y10/100/3.6*1000000</f>
        <v>11.021122011224637</v>
      </c>
      <c r="O9" s="33"/>
      <c r="P9" s="33"/>
      <c r="R9" s="32"/>
    </row>
    <row r="10" spans="1:18">
      <c r="A10" s="32" t="s">
        <v>49</v>
      </c>
      <c r="B10" s="37">
        <f t="shared" si="0"/>
        <v>803.10594499999991</v>
      </c>
      <c r="C10" s="33"/>
      <c r="D10" s="37">
        <f>IF(ISERROR(TER_ander_gas_kWh/1000),0,TER_ander_gas_kWh/1000)*0.902</f>
        <v>340.509362974</v>
      </c>
      <c r="E10" s="33">
        <f>$C$30*'E Balans VL '!I14/100/3.6*1000000</f>
        <v>7.2824083369549086</v>
      </c>
      <c r="F10" s="33">
        <f>$C$30*('E Balans VL '!L14+'E Balans VL '!N14)/100/3.6*1000000</f>
        <v>634.812741166509</v>
      </c>
      <c r="G10" s="34"/>
      <c r="H10" s="33"/>
      <c r="I10" s="33"/>
      <c r="J10" s="33">
        <f>$C$30*('E Balans VL '!D14+'E Balans VL '!E14)/100/3.6*1000000</f>
        <v>7.9487599409478662E-3</v>
      </c>
      <c r="K10" s="33"/>
      <c r="L10" s="33"/>
      <c r="M10" s="33"/>
      <c r="N10" s="33">
        <f>$C$30*'E Balans VL '!Y14/100/3.6*1000000</f>
        <v>283.45545924999169</v>
      </c>
      <c r="O10" s="33"/>
      <c r="P10" s="33"/>
      <c r="R10" s="32"/>
    </row>
    <row r="11" spans="1:18">
      <c r="A11" s="32" t="s">
        <v>54</v>
      </c>
      <c r="B11" s="37">
        <f t="shared" si="0"/>
        <v>68.975300000000004</v>
      </c>
      <c r="C11" s="33"/>
      <c r="D11" s="37">
        <f>IF(ISERROR(TER_onderwijs_gas_kWh/1000),0,TER_onderwijs_gas_kWh/1000)*0.902</f>
        <v>248.800832918</v>
      </c>
      <c r="E11" s="33">
        <f>$C$31*'E Balans VL '!I11/100/3.6*1000000</f>
        <v>0</v>
      </c>
      <c r="F11" s="33">
        <f>$C$31*('E Balans VL '!L11+'E Balans VL '!N11)/100/3.6*1000000</f>
        <v>8.2089880904396892</v>
      </c>
      <c r="G11" s="34"/>
      <c r="H11" s="33"/>
      <c r="I11" s="33"/>
      <c r="J11" s="33">
        <f>$C$31*('E Balans VL '!D11+'E Balans VL '!E11)/100/3.6*1000000</f>
        <v>0</v>
      </c>
      <c r="K11" s="33"/>
      <c r="L11" s="33"/>
      <c r="M11" s="33"/>
      <c r="N11" s="33">
        <f>$C$31*'E Balans VL '!Y11/100/3.6*1000000</f>
        <v>0.15339938418817806</v>
      </c>
      <c r="O11" s="33"/>
      <c r="P11" s="33"/>
      <c r="R11" s="32"/>
    </row>
    <row r="12" spans="1:18">
      <c r="A12" s="32" t="s">
        <v>248</v>
      </c>
      <c r="B12" s="37">
        <f t="shared" si="0"/>
        <v>19490.93866</v>
      </c>
      <c r="C12" s="33"/>
      <c r="D12" s="37">
        <f>IF(ISERROR(TER_rest_gas_kWh/1000),0,TER_rest_gas_kWh/1000)*0.902</f>
        <v>9948.5379945599998</v>
      </c>
      <c r="E12" s="33">
        <f>$C$32*'E Balans VL '!I8/100/3.6*1000000</f>
        <v>57.609256506560556</v>
      </c>
      <c r="F12" s="33">
        <f>$C$32*('E Balans VL '!L8+'E Balans VL '!N8)/100/3.6*1000000</f>
        <v>4571.2424355265302</v>
      </c>
      <c r="G12" s="34"/>
      <c r="H12" s="33"/>
      <c r="I12" s="33"/>
      <c r="J12" s="33">
        <f>$C$32*('E Balans VL '!D8+'E Balans VL '!E8)/100/3.6*1000000</f>
        <v>3.9085784276705747E-2</v>
      </c>
      <c r="K12" s="33"/>
      <c r="L12" s="33"/>
      <c r="M12" s="33"/>
      <c r="N12" s="33">
        <f>$C$32*'E Balans VL '!Y8/100/3.6*1000000</f>
        <v>1440.794566901656</v>
      </c>
      <c r="O12" s="33"/>
      <c r="P12" s="33"/>
      <c r="R12" s="32"/>
    </row>
    <row r="13" spans="1:18">
      <c r="A13" s="16" t="s">
        <v>464</v>
      </c>
      <c r="B13" s="244">
        <f ca="1">'lokale energieproductie'!N39+'lokale energieproductie'!N32</f>
        <v>360</v>
      </c>
      <c r="C13" s="244">
        <f ca="1">'lokale energieproductie'!O39+'lokale energieproductie'!O32</f>
        <v>514.28571428571433</v>
      </c>
      <c r="D13" s="302">
        <f ca="1">('lokale energieproductie'!P32+'lokale energieproductie'!P39)*(-1)</f>
        <v>-1028.5714285714287</v>
      </c>
      <c r="E13" s="245"/>
      <c r="F13" s="302">
        <f ca="1">('lokale energieproductie'!S32+'lokale energieproductie'!S39)*(-1)</f>
        <v>0</v>
      </c>
      <c r="G13" s="246"/>
      <c r="H13" s="245"/>
      <c r="I13" s="245"/>
      <c r="J13" s="245"/>
      <c r="K13" s="245"/>
      <c r="L13" s="302">
        <f ca="1">('lokale energieproductie'!U32+'lokale energieproductie'!T32+'lokale energieproductie'!U39+'lokale energieproductie'!T39)*(-1)</f>
        <v>0</v>
      </c>
      <c r="M13" s="245"/>
      <c r="N13" s="302">
        <f ca="1">('lokale energieproductie'!Q32+'lokale energieproductie'!R32+'lokale energieproductie'!V32+'lokale energieproductie'!Q39+'lokale energieproductie'!R39+'lokale energieproductie'!V39)*(-1)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34903.849394999997</v>
      </c>
      <c r="C16" s="21">
        <f t="shared" ca="1" si="1"/>
        <v>514.28571428571433</v>
      </c>
      <c r="D16" s="21">
        <f t="shared" ca="1" si="1"/>
        <v>17468.428905438574</v>
      </c>
      <c r="E16" s="21">
        <f t="shared" si="1"/>
        <v>89.739866375735545</v>
      </c>
      <c r="F16" s="21">
        <f t="shared" ca="1" si="1"/>
        <v>6531.1600948825517</v>
      </c>
      <c r="G16" s="21">
        <f t="shared" si="1"/>
        <v>0</v>
      </c>
      <c r="H16" s="21">
        <f t="shared" si="1"/>
        <v>0</v>
      </c>
      <c r="I16" s="21">
        <f t="shared" si="1"/>
        <v>0</v>
      </c>
      <c r="J16" s="21">
        <f t="shared" si="1"/>
        <v>4.7034544217653615E-2</v>
      </c>
      <c r="K16" s="21">
        <f t="shared" si="1"/>
        <v>0</v>
      </c>
      <c r="L16" s="21">
        <f t="shared" ca="1" si="1"/>
        <v>0</v>
      </c>
      <c r="M16" s="21">
        <f t="shared" si="1"/>
        <v>0</v>
      </c>
      <c r="N16" s="21">
        <f t="shared" ca="1" si="1"/>
        <v>1759.8615001873914</v>
      </c>
      <c r="O16" s="21">
        <f>O5</f>
        <v>4.8972607658411542</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0.20783890489095402</v>
      </c>
      <c r="C18" s="25">
        <f ca="1">'EF ele_warmte'!B22</f>
        <v>0.23764705882352946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7254.3778347355874</v>
      </c>
      <c r="C20" s="23">
        <f t="shared" ref="C20:P20" ca="1" si="2">C16*C18</f>
        <v>122.21848739495802</v>
      </c>
      <c r="D20" s="23">
        <f t="shared" ca="1" si="2"/>
        <v>3528.622638898592</v>
      </c>
      <c r="E20" s="23">
        <f t="shared" si="2"/>
        <v>20.370949667291971</v>
      </c>
      <c r="F20" s="23">
        <f t="shared" ca="1" si="2"/>
        <v>1743.8197453336413</v>
      </c>
      <c r="G20" s="23">
        <f t="shared" si="2"/>
        <v>0</v>
      </c>
      <c r="H20" s="23">
        <f t="shared" si="2"/>
        <v>0</v>
      </c>
      <c r="I20" s="23">
        <f t="shared" si="2"/>
        <v>0</v>
      </c>
      <c r="J20" s="23">
        <f t="shared" si="2"/>
        <v>1.6650228653049378E-2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4892.6088970000001</v>
      </c>
      <c r="C26" s="39">
        <f>IF(ISERROR(B26*3.6/1000000/'E Balans VL '!Z12*100),0,B26*3.6/1000000/'E Balans VL '!Z12*100)</f>
        <v>0.13692071879406736</v>
      </c>
      <c r="D26" s="234" t="s">
        <v>667</v>
      </c>
      <c r="F26" s="6"/>
    </row>
    <row r="27" spans="1:18">
      <c r="A27" s="228" t="s">
        <v>52</v>
      </c>
      <c r="B27" s="33">
        <f>IF(ISERROR(TER_horeca_ele_kWh/1000),0,TER_horeca_ele_kWh/1000)</f>
        <v>1458.448713</v>
      </c>
      <c r="C27" s="39">
        <f>IF(ISERROR(B27*3.6/1000000/'E Balans VL '!Z9*100),0,B27*3.6/1000000/'E Balans VL '!Z9*100)</f>
        <v>0.10870173928035833</v>
      </c>
      <c r="D27" s="234" t="s">
        <v>667</v>
      </c>
      <c r="F27" s="6"/>
    </row>
    <row r="28" spans="1:18">
      <c r="A28" s="168" t="s">
        <v>51</v>
      </c>
      <c r="B28" s="33">
        <f>IF(ISERROR(TER_handel_ele_kWh/1000),0,TER_handel_ele_kWh/1000)</f>
        <v>6413.31106</v>
      </c>
      <c r="C28" s="39">
        <f>IF(ISERROR(B28*3.6/1000000/'E Balans VL '!Z13*100),0,B28*3.6/1000000/'E Balans VL '!Z13*100)</f>
        <v>0.1858106002708956</v>
      </c>
      <c r="D28" s="234" t="s">
        <v>667</v>
      </c>
      <c r="F28" s="6"/>
    </row>
    <row r="29" spans="1:18">
      <c r="A29" s="228" t="s">
        <v>50</v>
      </c>
      <c r="B29" s="33">
        <f>IF(ISERROR(TER_gezond_ele_kWh/1000),0,TER_gezond_ele_kWh/1000)</f>
        <v>1416.46082</v>
      </c>
      <c r="C29" s="39">
        <f>IF(ISERROR(B29*3.6/1000000/'E Balans VL '!Z10*100),0,B29*3.6/1000000/'E Balans VL '!Z10*100)</f>
        <v>0.14285176289532742</v>
      </c>
      <c r="D29" s="234" t="s">
        <v>667</v>
      </c>
      <c r="F29" s="6"/>
    </row>
    <row r="30" spans="1:18">
      <c r="A30" s="228" t="s">
        <v>49</v>
      </c>
      <c r="B30" s="33">
        <f>IF(ISERROR(TER_ander_ele_kWh/1000),0,TER_ander_ele_kWh/1000)</f>
        <v>803.10594499999991</v>
      </c>
      <c r="C30" s="39">
        <f>IF(ISERROR(B30*3.6/1000000/'E Balans VL '!Z14*100),0,B30*3.6/1000000/'E Balans VL '!Z14*100)</f>
        <v>3.2554648222312077E-2</v>
      </c>
      <c r="D30" s="234" t="s">
        <v>667</v>
      </c>
      <c r="F30" s="6"/>
    </row>
    <row r="31" spans="1:18">
      <c r="A31" s="228" t="s">
        <v>54</v>
      </c>
      <c r="B31" s="33">
        <f>IF(ISERROR(TER_onderwijs_ele_kWh/1000),0,TER_onderwijs_ele_kWh/1000)</f>
        <v>68.975300000000004</v>
      </c>
      <c r="C31" s="39">
        <f>IF(ISERROR(B31*3.6/1000000/'E Balans VL '!Z11*100),0,B31*3.6/1000000/'E Balans VL '!Z11*100)</f>
        <v>1.9660769305004148E-2</v>
      </c>
      <c r="D31" s="234" t="s">
        <v>667</v>
      </c>
    </row>
    <row r="32" spans="1:18">
      <c r="A32" s="228" t="s">
        <v>248</v>
      </c>
      <c r="B32" s="33">
        <f>IF(ISERROR(TER_rest_ele_kWh/1000),0,TER_rest_ele_kWh/1000)</f>
        <v>19490.93866</v>
      </c>
      <c r="C32" s="39">
        <f>IF(ISERROR(B32*3.6/1000000/'E Balans VL '!Z8*100),0,B32*3.6/1000000/'E Balans VL '!Z8*100)</f>
        <v>0.16007829737899965</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1</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2</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54069.369815999999</v>
      </c>
      <c r="C5" s="17">
        <f>IF(ISERROR('Eigen informatie GS &amp; warmtenet'!B61),0,'Eigen informatie GS &amp; warmtenet'!B61)</f>
        <v>0</v>
      </c>
      <c r="D5" s="30">
        <f>SUM(D6:D15)</f>
        <v>49961.923625459996</v>
      </c>
      <c r="E5" s="17">
        <f>SUM(E6:E15)</f>
        <v>1886.6858753670579</v>
      </c>
      <c r="F5" s="17">
        <f>SUM(F6:F15)</f>
        <v>13529.385930409328</v>
      </c>
      <c r="G5" s="18"/>
      <c r="H5" s="17"/>
      <c r="I5" s="17"/>
      <c r="J5" s="17">
        <f>SUM(J6:J15)</f>
        <v>149.29159310613989</v>
      </c>
      <c r="K5" s="17"/>
      <c r="L5" s="17"/>
      <c r="M5" s="17"/>
      <c r="N5" s="17">
        <f>SUM(N6:N15)</f>
        <v>2137.7254468273622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1121.5519059999999</v>
      </c>
      <c r="C8" s="33"/>
      <c r="D8" s="37">
        <f>IF( ISERROR(IND_metaal_Gas_kWH/1000),0,IND_metaal_Gas_kWH/1000)*0.902</f>
        <v>1196.111637534</v>
      </c>
      <c r="E8" s="33">
        <f>C30*'E Balans VL '!I18/100/3.6*1000000</f>
        <v>8.0485242813616686</v>
      </c>
      <c r="F8" s="33">
        <f>C30*'E Balans VL '!L18/100/3.6*1000000+C30*'E Balans VL '!N18/100/3.6*1000000</f>
        <v>74.649691936964189</v>
      </c>
      <c r="G8" s="34"/>
      <c r="H8" s="33"/>
      <c r="I8" s="33"/>
      <c r="J8" s="40">
        <f>C30*'E Balans VL '!D18/100/3.6*1000000+C30*'E Balans VL '!E18/100/3.6*1000000</f>
        <v>1.0812239962158416</v>
      </c>
      <c r="K8" s="33"/>
      <c r="L8" s="33"/>
      <c r="M8" s="33"/>
      <c r="N8" s="33">
        <f>C30*'E Balans VL '!Y18/100/3.6*1000000</f>
        <v>13.590627332087683</v>
      </c>
      <c r="O8" s="33"/>
      <c r="P8" s="33"/>
      <c r="R8" s="32"/>
    </row>
    <row r="9" spans="1:18">
      <c r="A9" s="6" t="s">
        <v>32</v>
      </c>
      <c r="B9" s="37">
        <f t="shared" si="0"/>
        <v>10974.12635</v>
      </c>
      <c r="C9" s="33"/>
      <c r="D9" s="37">
        <f>IF( ISERROR(IND_andere_gas_kWh/1000),0,IND_andere_gas_kWh/1000)*0.902</f>
        <v>2005.1713326700001</v>
      </c>
      <c r="E9" s="33">
        <f>C31*'E Balans VL '!I19/100/3.6*1000000</f>
        <v>28.852914210248745</v>
      </c>
      <c r="F9" s="33">
        <f>C31*'E Balans VL '!L19/100/3.6*1000000+C31*'E Balans VL '!N19/100/3.6*1000000</f>
        <v>7247.3642834270213</v>
      </c>
      <c r="G9" s="34"/>
      <c r="H9" s="33"/>
      <c r="I9" s="33"/>
      <c r="J9" s="40">
        <f>C31*'E Balans VL '!D19/100/3.6*1000000+C31*'E Balans VL '!E19/100/3.6*1000000</f>
        <v>0</v>
      </c>
      <c r="K9" s="33"/>
      <c r="L9" s="33"/>
      <c r="M9" s="33"/>
      <c r="N9" s="33">
        <f>C31*'E Balans VL '!Y19/100/3.6*1000000</f>
        <v>585.8911442768499</v>
      </c>
      <c r="O9" s="33"/>
      <c r="P9" s="33"/>
      <c r="R9" s="32"/>
    </row>
    <row r="10" spans="1:18">
      <c r="A10" s="6" t="s">
        <v>40</v>
      </c>
      <c r="B10" s="37">
        <f t="shared" si="0"/>
        <v>1284.2373160000002</v>
      </c>
      <c r="C10" s="33"/>
      <c r="D10" s="37">
        <f>IF( ISERROR(IND_voed_gas_kWh/1000),0,IND_voed_gas_kWh/1000)*0.902</f>
        <v>1116.680675066</v>
      </c>
      <c r="E10" s="33">
        <f>C32*'E Balans VL '!I20/100/3.6*1000000</f>
        <v>2.1680861673926919</v>
      </c>
      <c r="F10" s="33">
        <f>C32*'E Balans VL '!L20/100/3.6*1000000+C32*'E Balans VL '!N20/100/3.6*1000000</f>
        <v>75.379125557669809</v>
      </c>
      <c r="G10" s="34"/>
      <c r="H10" s="33"/>
      <c r="I10" s="33"/>
      <c r="J10" s="40">
        <f>C32*'E Balans VL '!D20/100/3.6*1000000+C32*'E Balans VL '!E20/100/3.6*1000000</f>
        <v>0</v>
      </c>
      <c r="K10" s="33"/>
      <c r="L10" s="33"/>
      <c r="M10" s="33"/>
      <c r="N10" s="33">
        <f>C32*'E Balans VL '!Y20/100/3.6*1000000</f>
        <v>69.920292963218316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181.134433</v>
      </c>
      <c r="C12" s="33"/>
      <c r="D12" s="37">
        <f>IF( ISERROR(IND_min_gas_kWh/1000),0,IND_min_gas_kWh/1000)*0.902</f>
        <v>0</v>
      </c>
      <c r="E12" s="33">
        <f>C34*'E Balans VL '!I22/100/3.6*1000000</f>
        <v>2.6076796690011785</v>
      </c>
      <c r="F12" s="33">
        <f>C34*'E Balans VL '!L22/100/3.6*1000000+C34*'E Balans VL '!N22/100/3.6*1000000</f>
        <v>21.777530603943859</v>
      </c>
      <c r="G12" s="34"/>
      <c r="H12" s="33"/>
      <c r="I12" s="33"/>
      <c r="J12" s="40">
        <f>C34*'E Balans VL '!D22/100/3.6*1000000+C34*'E Balans VL '!E22/100/3.6*1000000</f>
        <v>0.13225088614110991</v>
      </c>
      <c r="K12" s="33"/>
      <c r="L12" s="33"/>
      <c r="M12" s="33"/>
      <c r="N12" s="33">
        <f>C34*'E Balans VL '!Y22/100/3.6*1000000</f>
        <v>107.74384906591118</v>
      </c>
      <c r="O12" s="33"/>
      <c r="P12" s="33"/>
      <c r="R12" s="32"/>
    </row>
    <row r="13" spans="1:18">
      <c r="A13" s="6" t="s">
        <v>38</v>
      </c>
      <c r="B13" s="37">
        <f t="shared" si="0"/>
        <v>1979.2626710000002</v>
      </c>
      <c r="C13" s="33"/>
      <c r="D13" s="37">
        <f>IF( ISERROR(IND_papier_gas_kWh/1000),0,IND_papier_gas_kWh/1000)*0.902</f>
        <v>63.619083769999996</v>
      </c>
      <c r="E13" s="33">
        <f>C35*'E Balans VL '!I23/100/3.6*1000000</f>
        <v>7.002650484778723</v>
      </c>
      <c r="F13" s="33">
        <f>C35*'E Balans VL '!L23/100/3.6*1000000+C35*'E Balans VL '!N23/100/3.6*1000000</f>
        <v>18.349287991910575</v>
      </c>
      <c r="G13" s="34"/>
      <c r="H13" s="33"/>
      <c r="I13" s="33"/>
      <c r="J13" s="40">
        <f>C35*'E Balans VL '!D23/100/3.6*1000000+C35*'E Balans VL '!E23/100/3.6*1000000</f>
        <v>0</v>
      </c>
      <c r="K13" s="33"/>
      <c r="L13" s="33"/>
      <c r="M13" s="33"/>
      <c r="N13" s="33">
        <f>C35*'E Balans VL '!Y23/100/3.6*1000000</f>
        <v>-43.11570901934369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38529.057139999997</v>
      </c>
      <c r="C15" s="33"/>
      <c r="D15" s="37">
        <f>IF( ISERROR(IND_rest_gas_kWh/1000),0,IND_rest_gas_kWh/1000)*0.902</f>
        <v>45580.340896419999</v>
      </c>
      <c r="E15" s="33">
        <f>C37*'E Balans VL '!I15/100/3.6*1000000</f>
        <v>1838.0060205542748</v>
      </c>
      <c r="F15" s="33">
        <f>C37*'E Balans VL '!L15/100/3.6*1000000+C37*'E Balans VL '!N15/100/3.6*1000000</f>
        <v>6091.8660108918175</v>
      </c>
      <c r="G15" s="34"/>
      <c r="H15" s="33"/>
      <c r="I15" s="33"/>
      <c r="J15" s="40">
        <f>C37*'E Balans VL '!D15/100/3.6*1000000+C37*'E Balans VL '!E15/100/3.6*1000000</f>
        <v>148.07811822378292</v>
      </c>
      <c r="K15" s="33"/>
      <c r="L15" s="33"/>
      <c r="M15" s="33"/>
      <c r="N15" s="33">
        <f>C37*'E Balans VL '!Y15/100/3.6*1000000</f>
        <v>1403.6952422086388</v>
      </c>
      <c r="O15" s="33"/>
      <c r="P15" s="33"/>
      <c r="R15" s="32"/>
    </row>
    <row r="16" spans="1:18">
      <c r="A16" s="16" t="s">
        <v>464</v>
      </c>
      <c r="B16" s="244">
        <f>'lokale energieproductie'!N38+'lokale energieproductie'!N31</f>
        <v>0</v>
      </c>
      <c r="C16" s="244">
        <f>'lokale energieproductie'!O38+'lokale energieproductie'!O31</f>
        <v>0</v>
      </c>
      <c r="D16" s="302">
        <f>('lokale energieproductie'!P31+'lokale energieproductie'!P38)*(-1)</f>
        <v>0</v>
      </c>
      <c r="E16" s="245"/>
      <c r="F16" s="302">
        <f>('lokale energieproductie'!S31+'lokale energieproductie'!S38)*(-1)</f>
        <v>0</v>
      </c>
      <c r="G16" s="246"/>
      <c r="H16" s="245"/>
      <c r="I16" s="245"/>
      <c r="J16" s="245"/>
      <c r="K16" s="245"/>
      <c r="L16" s="302">
        <f>('lokale energieproductie'!T31+'lokale energieproductie'!U31+'lokale energieproductie'!T38+'lokale energieproductie'!U38)*(-1)</f>
        <v>0</v>
      </c>
      <c r="M16" s="245"/>
      <c r="N16" s="302">
        <f>('lokale energieproductie'!Q31+'lokale energieproductie'!R31+'lokale energieproductie'!V31+'lokale energieproductie'!Q38+'lokale energieproductie'!R38+'lokale energieproductie'!V38)*(-1)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54069.369815999999</v>
      </c>
      <c r="C18" s="21">
        <f>C5+C16</f>
        <v>0</v>
      </c>
      <c r="D18" s="21">
        <f>MAX((D5+D16),0)</f>
        <v>49961.923625459996</v>
      </c>
      <c r="E18" s="21">
        <f>MAX((E5+E16),0)</f>
        <v>1886.6858753670579</v>
      </c>
      <c r="F18" s="21">
        <f>MAX((F5+F16),0)</f>
        <v>13529.385930409328</v>
      </c>
      <c r="G18" s="21"/>
      <c r="H18" s="21"/>
      <c r="I18" s="21"/>
      <c r="J18" s="21">
        <f>MAX((J5+J16),0)</f>
        <v>149.29159310613989</v>
      </c>
      <c r="K18" s="21"/>
      <c r="L18" s="21">
        <f>MAX((L5+L16),0)</f>
        <v>0</v>
      </c>
      <c r="M18" s="21"/>
      <c r="N18" s="21">
        <f>MAX((N5+N16),0)</f>
        <v>2137.7254468273622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0.20783890489095402</v>
      </c>
      <c r="C20" s="25">
        <f ca="1">'EF ele_warmte'!B22</f>
        <v>0.23764705882352946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11237.718610701444</v>
      </c>
      <c r="C22" s="23">
        <f ca="1">C18*C20</f>
        <v>0</v>
      </c>
      <c r="D22" s="23">
        <f>D18*D20</f>
        <v>10092.308572342919</v>
      </c>
      <c r="E22" s="23">
        <f>E18*E20</f>
        <v>428.27769370832215</v>
      </c>
      <c r="F22" s="23">
        <f>F18*F20</f>
        <v>3612.3460434192907</v>
      </c>
      <c r="G22" s="23"/>
      <c r="H22" s="23"/>
      <c r="I22" s="23"/>
      <c r="J22" s="23">
        <f>J18*J20</f>
        <v>52.849223959573514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1121.5519059999999</v>
      </c>
      <c r="C30" s="39">
        <f>IF(ISERROR(B30*3.6/1000000/'E Balans VL '!Z18*100),0,B30*3.6/1000000/'E Balans VL '!Z18*100)</f>
        <v>6.2057082511631161E-2</v>
      </c>
      <c r="D30" s="234" t="s">
        <v>667</v>
      </c>
    </row>
    <row r="31" spans="1:18">
      <c r="A31" s="6" t="s">
        <v>32</v>
      </c>
      <c r="B31" s="37">
        <f>IF( ISERROR(IND_ander_ele_kWh/1000),0,IND_ander_ele_kWh/1000)</f>
        <v>10974.12635</v>
      </c>
      <c r="C31" s="39">
        <f>IF(ISERROR(B31*3.6/1000000/'E Balans VL '!Z19*100),0,B31*3.6/1000000/'E Balans VL '!Z19*100)</f>
        <v>0.4787256808733007</v>
      </c>
      <c r="D31" s="234" t="s">
        <v>667</v>
      </c>
    </row>
    <row r="32" spans="1:18">
      <c r="A32" s="168" t="s">
        <v>40</v>
      </c>
      <c r="B32" s="37">
        <f>IF( ISERROR(IND_voed_ele_kWh/1000),0,IND_voed_ele_kWh/1000)</f>
        <v>1284.2373160000002</v>
      </c>
      <c r="C32" s="39">
        <f>IF(ISERROR(B32*3.6/1000000/'E Balans VL '!Z20*100),0,B32*3.6/1000000/'E Balans VL '!Z20*100)</f>
        <v>4.0311298282572933E-2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181.134433</v>
      </c>
      <c r="C34" s="39">
        <f>IF(ISERROR(B34*3.6/1000000/'E Balans VL '!Z22*100),0,B34*3.6/1000000/'E Balans VL '!Z22*100)</f>
        <v>8.1246278175421599E-2</v>
      </c>
      <c r="D34" s="234" t="s">
        <v>667</v>
      </c>
    </row>
    <row r="35" spans="1:5">
      <c r="A35" s="168" t="s">
        <v>38</v>
      </c>
      <c r="B35" s="37">
        <f>IF( ISERROR(IND_papier_ele_kWh/1000),0,IND_papier_ele_kWh/1000)</f>
        <v>1979.2626710000002</v>
      </c>
      <c r="C35" s="39">
        <f>IF(ISERROR(B35*3.6/1000000/'E Balans VL '!Z22*100),0,B35*3.6/1000000/'E Balans VL '!Z22*100)</f>
        <v>0.88778109654222381</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38529.057139999997</v>
      </c>
      <c r="C37" s="39">
        <f>IF(ISERROR(B37*3.6/1000000/'E Balans VL '!Z15*100),0,B37*3.6/1000000/'E Balans VL '!Z15*100)</f>
        <v>0.31356557116155009</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1646.0567349999999</v>
      </c>
      <c r="C5" s="17">
        <f>'Eigen informatie GS &amp; warmtenet'!B62</f>
        <v>0</v>
      </c>
      <c r="D5" s="30">
        <f>IF(ISERROR(SUM(LB_lb_gas_kWh,LB_rest_gas_kWh)/1000),0,SUM(LB_lb_gas_kWh,LB_rest_gas_kWh)/1000)*0.902</f>
        <v>1398.9552123579999</v>
      </c>
      <c r="E5" s="17">
        <f>B17*'E Balans VL '!I25/3.6*1000000/100</f>
        <v>66.873441489214443</v>
      </c>
      <c r="F5" s="17">
        <f>B17*('E Balans VL '!L25/3.6*1000000+'E Balans VL '!N25/3.6*1000000)/100</f>
        <v>5822.6786425296204</v>
      </c>
      <c r="G5" s="18"/>
      <c r="H5" s="17"/>
      <c r="I5" s="17"/>
      <c r="J5" s="17">
        <f>('E Balans VL '!D25+'E Balans VL '!E25)/3.6*1000000*landbouw!B17/100</f>
        <v>467.67883922382134</v>
      </c>
      <c r="K5" s="17"/>
      <c r="L5" s="17">
        <f>L6*(-1)</f>
        <v>0</v>
      </c>
      <c r="M5" s="17"/>
      <c r="N5" s="17">
        <f>N6*(-1)</f>
        <v>0</v>
      </c>
      <c r="O5" s="17"/>
      <c r="P5" s="17"/>
      <c r="R5" s="32"/>
    </row>
    <row r="6" spans="1:18">
      <c r="A6" s="16" t="s">
        <v>464</v>
      </c>
      <c r="B6" s="17" t="s">
        <v>204</v>
      </c>
      <c r="C6" s="17">
        <f>'lokale energieproductie'!O40+'lokale energieproductie'!O33</f>
        <v>0</v>
      </c>
      <c r="D6" s="302">
        <f>('lokale energieproductie'!P33+'lokale energieproductie'!P40)*(-1)</f>
        <v>0</v>
      </c>
      <c r="E6" s="245"/>
      <c r="F6" s="302">
        <f>('lokale energieproductie'!S33+'lokale energieproductie'!S40)*(-1)</f>
        <v>0</v>
      </c>
      <c r="G6" s="246"/>
      <c r="H6" s="245"/>
      <c r="I6" s="245"/>
      <c r="J6" s="245"/>
      <c r="K6" s="245"/>
      <c r="L6" s="302">
        <f>('lokale energieproductie'!T33+'lokale energieproductie'!U33+'lokale energieproductie'!T40+'lokale energieproductie'!U40)*(-1)</f>
        <v>0</v>
      </c>
      <c r="M6" s="245"/>
      <c r="N6" s="302">
        <f>('lokale energieproductie'!V33+'lokale energieproductie'!R33+'lokale energieproductie'!Q33+'lokale energieproductie'!Q40+'lokale energieproductie'!R40+'lokale energieproductie'!V40)*(-1)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1646.0567349999999</v>
      </c>
      <c r="C8" s="21">
        <f>C5+C6</f>
        <v>0</v>
      </c>
      <c r="D8" s="21">
        <f>MAX((D5+D6),0)</f>
        <v>1398.9552123579999</v>
      </c>
      <c r="E8" s="21">
        <f>MAX((E5+E6),0)</f>
        <v>66.873441489214443</v>
      </c>
      <c r="F8" s="21">
        <f>MAX((F5+F6),0)</f>
        <v>5822.6786425296204</v>
      </c>
      <c r="G8" s="21"/>
      <c r="H8" s="21"/>
      <c r="I8" s="21"/>
      <c r="J8" s="21">
        <f>MAX((J5+J6),0)</f>
        <v>467.67883922382134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0.20783890489095402</v>
      </c>
      <c r="C10" s="31">
        <f ca="1">'EF ele_warmte'!B22</f>
        <v>0.23764705882352946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342.11462919077928</v>
      </c>
      <c r="C12" s="23">
        <f ca="1">C8*C10</f>
        <v>0</v>
      </c>
      <c r="D12" s="23">
        <f>D8*D10</f>
        <v>282.58895289631602</v>
      </c>
      <c r="E12" s="23">
        <f>E8*E10</f>
        <v>15.180271218051679</v>
      </c>
      <c r="F12" s="23">
        <f>F8*F10</f>
        <v>1554.6551975554087</v>
      </c>
      <c r="G12" s="23"/>
      <c r="H12" s="23"/>
      <c r="I12" s="23"/>
      <c r="J12" s="23">
        <f>J8*J10</f>
        <v>165.55830908523274</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0.24469813371015312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372.35340014320036</v>
      </c>
      <c r="C26" s="244">
        <f>B26*'GWP N2O_CH4'!B5</f>
        <v>7819.4214030072071</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164.30059491040427</v>
      </c>
      <c r="C27" s="244">
        <f>B27*'GWP N2O_CH4'!B5</f>
        <v>3450.3124931184898</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5.1783919910372367</v>
      </c>
      <c r="C28" s="244">
        <f>B28*'GWP N2O_CH4'!B4</f>
        <v>1605.3015172215435</v>
      </c>
      <c r="D28" s="50"/>
    </row>
    <row r="29" spans="1:4">
      <c r="A29" s="41" t="s">
        <v>265</v>
      </c>
      <c r="B29" s="244">
        <f>B34*'ha_N2O bodem landbouw'!B4</f>
        <v>13.806740675875186</v>
      </c>
      <c r="C29" s="244">
        <f>B29*'GWP N2O_CH4'!B4</f>
        <v>4280.0896095213075</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3.0275696454429421E-3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1.203849392512762E-3</v>
      </c>
      <c r="C5" s="429" t="s">
        <v>204</v>
      </c>
      <c r="D5" s="414">
        <f>SUM(D6:D11)</f>
        <v>1.7976033427114107E-3</v>
      </c>
      <c r="E5" s="414">
        <f>SUM(E6:E11)</f>
        <v>1.7694169370266574E-3</v>
      </c>
      <c r="F5" s="427" t="s">
        <v>204</v>
      </c>
      <c r="G5" s="414">
        <f>SUM(G6:G11)</f>
        <v>1.1423712855514536</v>
      </c>
      <c r="H5" s="414">
        <f>SUM(H6:H11)</f>
        <v>0.17792633823970747</v>
      </c>
      <c r="I5" s="429" t="s">
        <v>204</v>
      </c>
      <c r="J5" s="429" t="s">
        <v>204</v>
      </c>
      <c r="K5" s="429" t="s">
        <v>204</v>
      </c>
      <c r="L5" s="429" t="s">
        <v>204</v>
      </c>
      <c r="M5" s="414">
        <f>SUM(M6:M11)</f>
        <v>7.7628762406016544E-2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2.8848802276073334E-4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4.8943518483850754E-4</v>
      </c>
      <c r="E6" s="843">
        <f>vkm_GW_PW*SUMIFS(TableVerdeelsleutelVkm[LPG],TableVerdeelsleutelVkm[Voertuigtype],"Lichte voertuigen")*SUMIFS(TableECFTransport[EnergieConsumptieFactor (PJ per km)],TableECFTransport[Index],CONCATENATE($A6,"_LPG_LPG"))</f>
        <v>4.2375757377229603E-4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0.13536593656005474</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4.70921163364557E-2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1.0920741573548439E-2</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3.0142171615521729E-6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0.11504386661287763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1.8335096244349485E-6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6.6314177831714415E-3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9.42903575544321E-5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2.039446503242671E-4</v>
      </c>
      <c r="E8" s="417">
        <f>vkm_NGW_PW*SUMIFS(TableVerdeelsleutelVkm[LPG],TableVerdeelsleutelVkm[Voertuigtype],"Lichte voertuigen")*SUMIFS(TableECFTransport[EnergieConsumptieFactor (PJ per km)],TableECFTransport[Index],CONCATENATE($A8,"_LPG_LPG"))</f>
        <v>1.6864955091488204E-4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4.9986451375120797E-2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1.9281607088500796E-2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4.1579609562084436E-3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5.5404479765721889E-7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2.7185167144225218E-2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4.0678973316061422E-7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1.5670196464337171E-3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8.0434634018479141E-4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1.104223507548636E-3</v>
      </c>
      <c r="E10" s="417">
        <f>vkm_SW_PW*SUMIFS(TableVerdeelsleutelVkm[LPG],TableVerdeelsleutelVkm[Voertuigtype],"Lichte voertuigen")*SUMIFS(TableECFTransport[EnergieConsumptieFactor (PJ per km)],TableECFTransport[Index],CONCATENATE($A10,"_LPG_LPG"))</f>
        <v>1.1770098123394792E-3</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0.33853202426117929</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0.11154213737446954</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2.6898880056862813E-2</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1.3156410053595838E-5</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0.47625783959799589</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8.2371409238088578E-6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2.7452742389791687E-2</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334.40260903132275</v>
      </c>
      <c r="C14" s="21"/>
      <c r="D14" s="21">
        <f t="shared" ref="D14:M14" si="0">((D5)*10^9/3600)+D12</f>
        <v>499.33426186428073</v>
      </c>
      <c r="E14" s="21">
        <f t="shared" si="0"/>
        <v>491.50470472962706</v>
      </c>
      <c r="F14" s="21"/>
      <c r="G14" s="21">
        <f t="shared" si="0"/>
        <v>317325.35709762602</v>
      </c>
      <c r="H14" s="21">
        <f t="shared" si="0"/>
        <v>49423.982844363185</v>
      </c>
      <c r="I14" s="21"/>
      <c r="J14" s="21"/>
      <c r="K14" s="21"/>
      <c r="L14" s="21"/>
      <c r="M14" s="21">
        <f t="shared" si="0"/>
        <v>21563.545112782373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0.20783890489095402</v>
      </c>
      <c r="C16" s="56">
        <f ca="1">'EF ele_warmte'!B22</f>
        <v>0.23764705882352946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69.501872053747974</v>
      </c>
      <c r="C18" s="23"/>
      <c r="D18" s="23">
        <f t="shared" ref="D18:M18" si="1">D14*D16</f>
        <v>100.86552089658471</v>
      </c>
      <c r="E18" s="23">
        <f t="shared" si="1"/>
        <v>111.57156797362535</v>
      </c>
      <c r="F18" s="23"/>
      <c r="G18" s="23">
        <f t="shared" si="1"/>
        <v>84725.870345066156</v>
      </c>
      <c r="H18" s="23">
        <f t="shared" si="1"/>
        <v>12306.571728246434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3.6851524853367273E-5</v>
      </c>
      <c r="C50" s="313">
        <f t="shared" ref="C50:P50" si="2">SUM(C51:C52)</f>
        <v>0</v>
      </c>
      <c r="D50" s="313">
        <f t="shared" si="2"/>
        <v>0</v>
      </c>
      <c r="E50" s="313">
        <f t="shared" si="2"/>
        <v>0</v>
      </c>
      <c r="F50" s="313">
        <f t="shared" si="2"/>
        <v>0</v>
      </c>
      <c r="G50" s="313">
        <f t="shared" si="2"/>
        <v>2.6699485180109398E-3</v>
      </c>
      <c r="H50" s="313">
        <f t="shared" si="2"/>
        <v>0</v>
      </c>
      <c r="I50" s="313">
        <f t="shared" si="2"/>
        <v>0</v>
      </c>
      <c r="J50" s="313">
        <f t="shared" si="2"/>
        <v>0</v>
      </c>
      <c r="K50" s="313">
        <f t="shared" si="2"/>
        <v>0</v>
      </c>
      <c r="L50" s="313">
        <f t="shared" si="2"/>
        <v>0</v>
      </c>
      <c r="M50" s="313">
        <f t="shared" si="2"/>
        <v>1.5102023937446844E-4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3.6851524853367273E-5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2.6699485180109398E-3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1.5102023937446844E-4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10.236534681490909</v>
      </c>
      <c r="C54" s="21">
        <f t="shared" ref="C54:P54" si="3">(C50)*10^9/3600</f>
        <v>0</v>
      </c>
      <c r="D54" s="21">
        <f t="shared" si="3"/>
        <v>0</v>
      </c>
      <c r="E54" s="21">
        <f t="shared" si="3"/>
        <v>0</v>
      </c>
      <c r="F54" s="21">
        <f t="shared" si="3"/>
        <v>0</v>
      </c>
      <c r="G54" s="21">
        <f t="shared" si="3"/>
        <v>741.65236611415003</v>
      </c>
      <c r="H54" s="21">
        <f t="shared" si="3"/>
        <v>0</v>
      </c>
      <c r="I54" s="21">
        <f t="shared" si="3"/>
        <v>0</v>
      </c>
      <c r="J54" s="21">
        <f t="shared" si="3"/>
        <v>0</v>
      </c>
      <c r="K54" s="21">
        <f t="shared" si="3"/>
        <v>0</v>
      </c>
      <c r="L54" s="21">
        <f t="shared" si="3"/>
        <v>0</v>
      </c>
      <c r="M54" s="21">
        <f t="shared" si="3"/>
        <v>41.950066492907894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0.20783890489095402</v>
      </c>
      <c r="C56" s="56">
        <f ca="1">'EF ele_warmte'!B22</f>
        <v>0.23764705882352946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2.1275501580793414</v>
      </c>
      <c r="C58" s="23">
        <f t="shared" ref="C58:P58" ca="1" si="4">C54*C56</f>
        <v>0</v>
      </c>
      <c r="D58" s="23">
        <f t="shared" si="4"/>
        <v>0</v>
      </c>
      <c r="E58" s="23">
        <f t="shared" si="4"/>
        <v>0</v>
      </c>
      <c r="F58" s="23">
        <f t="shared" si="4"/>
        <v>0</v>
      </c>
      <c r="G58" s="23">
        <f t="shared" si="4"/>
        <v>198.02118175247807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6901.6716066638737</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N30</f>
        <v>360</v>
      </c>
      <c r="C8" s="539">
        <f>B49</f>
        <v>423.52941176470591</v>
      </c>
      <c r="D8" s="540"/>
      <c r="E8" s="540">
        <f>E49</f>
        <v>0</v>
      </c>
      <c r="F8" s="541"/>
      <c r="G8" s="542"/>
      <c r="H8" s="540">
        <f>I49</f>
        <v>0</v>
      </c>
      <c r="I8" s="540">
        <f>G49+F49</f>
        <v>0</v>
      </c>
      <c r="J8" s="540">
        <f>H49+D49+C49</f>
        <v>0</v>
      </c>
      <c r="K8" s="540"/>
      <c r="L8" s="540"/>
      <c r="M8" s="540"/>
      <c r="N8" s="543"/>
      <c r="O8" s="544">
        <f>C8*$C$12+D8*$D$12+E8*$E$12+F8*$F$12+G8*$G$12+H8*$H$12+I8*$I$12+J8*$J$12</f>
        <v>85.552941176470597</v>
      </c>
      <c r="P8" s="1230"/>
      <c r="Q8" s="1231"/>
      <c r="S8" s="534"/>
      <c r="T8" s="1227"/>
      <c r="U8" s="1227"/>
    </row>
    <row r="9" spans="1:21" s="525" customFormat="1" ht="17.45" customHeight="1" thickBot="1">
      <c r="A9" s="545" t="s">
        <v>236</v>
      </c>
      <c r="B9" s="546">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7261.6716066638737</v>
      </c>
      <c r="C10" s="554">
        <f t="shared" ref="C10:L10" si="0">SUM(C8:C9)</f>
        <v>423.52941176470591</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85.552941176470597</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O30</f>
        <v>514.28571428571433</v>
      </c>
      <c r="C17" s="570">
        <f>B50</f>
        <v>605.04201680672281</v>
      </c>
      <c r="D17" s="571"/>
      <c r="E17" s="571">
        <f>E50</f>
        <v>0</v>
      </c>
      <c r="F17" s="572"/>
      <c r="G17" s="573"/>
      <c r="H17" s="570">
        <f>I50</f>
        <v>0</v>
      </c>
      <c r="I17" s="571">
        <f>G50+F50</f>
        <v>0</v>
      </c>
      <c r="J17" s="571">
        <f>H50+D50+C50</f>
        <v>0</v>
      </c>
      <c r="K17" s="571"/>
      <c r="L17" s="571"/>
      <c r="M17" s="571"/>
      <c r="N17" s="924"/>
      <c r="O17" s="574">
        <f>C17*$C$22+E17*$E$22+H17*$H$22+I17*$I$22+J17*$J$22+D17*$D$22+F17*$F$22+G17*$G$22+K17*$K$22+L17*$L$22</f>
        <v>122.21848739495802</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514.28571428571433</v>
      </c>
      <c r="C20" s="553">
        <f>SUM(C17:C19)</f>
        <v>605.04201680672281</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122.21848739495802</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44048</v>
      </c>
      <c r="C28" s="745">
        <v>9810</v>
      </c>
      <c r="D28" s="631"/>
      <c r="E28" s="630"/>
      <c r="F28" s="630"/>
      <c r="G28" s="630" t="s">
        <v>883</v>
      </c>
      <c r="H28" s="630" t="s">
        <v>884</v>
      </c>
      <c r="I28" s="630"/>
      <c r="J28" s="744"/>
      <c r="K28" s="744"/>
      <c r="L28" s="630" t="s">
        <v>885</v>
      </c>
      <c r="M28" s="630">
        <v>120</v>
      </c>
      <c r="N28" s="630">
        <v>0</v>
      </c>
      <c r="O28" s="630">
        <v>0</v>
      </c>
      <c r="P28" s="630">
        <v>0</v>
      </c>
      <c r="Q28" s="630">
        <v>0</v>
      </c>
      <c r="R28" s="630">
        <v>0</v>
      </c>
      <c r="S28" s="630">
        <v>0</v>
      </c>
      <c r="T28" s="630">
        <v>0</v>
      </c>
      <c r="U28" s="630">
        <v>0</v>
      </c>
      <c r="V28" s="630">
        <v>0</v>
      </c>
      <c r="W28" s="630">
        <v>0</v>
      </c>
      <c r="X28" s="630"/>
      <c r="Y28" s="630">
        <v>1100</v>
      </c>
      <c r="Z28" s="630" t="s">
        <v>51</v>
      </c>
      <c r="AA28" s="632" t="s">
        <v>149</v>
      </c>
    </row>
    <row r="29" spans="1:27" s="584" customFormat="1" ht="51" hidden="1">
      <c r="A29" s="583"/>
      <c r="B29" s="745">
        <v>44048</v>
      </c>
      <c r="C29" s="745">
        <v>9810</v>
      </c>
      <c r="D29" s="631"/>
      <c r="E29" s="630"/>
      <c r="F29" s="630"/>
      <c r="G29" s="630" t="s">
        <v>883</v>
      </c>
      <c r="H29" s="630" t="s">
        <v>884</v>
      </c>
      <c r="I29" s="630"/>
      <c r="J29" s="744"/>
      <c r="K29" s="744"/>
      <c r="L29" s="630" t="s">
        <v>885</v>
      </c>
      <c r="M29" s="630">
        <v>80</v>
      </c>
      <c r="N29" s="630">
        <v>360</v>
      </c>
      <c r="O29" s="630">
        <v>514.28571428571433</v>
      </c>
      <c r="P29" s="630">
        <v>1028.5714285714287</v>
      </c>
      <c r="Q29" s="630">
        <v>0</v>
      </c>
      <c r="R29" s="630">
        <v>0</v>
      </c>
      <c r="S29" s="630">
        <v>0</v>
      </c>
      <c r="T29" s="630">
        <v>0</v>
      </c>
      <c r="U29" s="630">
        <v>0</v>
      </c>
      <c r="V29" s="630">
        <v>0</v>
      </c>
      <c r="W29" s="630">
        <v>0</v>
      </c>
      <c r="X29" s="630"/>
      <c r="Y29" s="630">
        <v>1500</v>
      </c>
      <c r="Z29" s="630" t="s">
        <v>50</v>
      </c>
      <c r="AA29" s="632" t="s">
        <v>149</v>
      </c>
    </row>
    <row r="30" spans="1:27" s="564" customFormat="1" hidden="1">
      <c r="A30" s="586" t="s">
        <v>268</v>
      </c>
      <c r="B30" s="587"/>
      <c r="C30" s="587"/>
      <c r="D30" s="587"/>
      <c r="E30" s="587"/>
      <c r="F30" s="587"/>
      <c r="G30" s="587"/>
      <c r="H30" s="587"/>
      <c r="I30" s="587"/>
      <c r="J30" s="587"/>
      <c r="K30" s="587"/>
      <c r="L30" s="588"/>
      <c r="M30" s="588">
        <f>SUM(M28:M29)</f>
        <v>200</v>
      </c>
      <c r="N30" s="588">
        <f>SUM(N28:N29)</f>
        <v>360</v>
      </c>
      <c r="O30" s="588">
        <f>SUM(O28:O29)</f>
        <v>514.28571428571433</v>
      </c>
      <c r="P30" s="588">
        <f>SUM(P28:P29)</f>
        <v>1028.5714285714287</v>
      </c>
      <c r="Q30" s="588">
        <f>SUM(Q28:Q29)</f>
        <v>0</v>
      </c>
      <c r="R30" s="588">
        <f>SUM(R28:R29)</f>
        <v>0</v>
      </c>
      <c r="S30" s="588">
        <f>SUM(S28:S29)</f>
        <v>0</v>
      </c>
      <c r="T30" s="588">
        <f>SUM(T28:T29)</f>
        <v>0</v>
      </c>
      <c r="U30" s="588">
        <f>SUM(U28:U29)</f>
        <v>0</v>
      </c>
      <c r="V30" s="588">
        <f>SUM(V28:V29)</f>
        <v>0</v>
      </c>
      <c r="W30" s="588">
        <f>SUM(W28:W29)</f>
        <v>0</v>
      </c>
      <c r="X30" s="588"/>
      <c r="Y30" s="589"/>
      <c r="Z30" s="589"/>
      <c r="AA30" s="590"/>
    </row>
    <row r="31" spans="1:27" s="564" customFormat="1">
      <c r="A31" s="586" t="s">
        <v>275</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c r="Y31" s="589"/>
      <c r="Z31" s="589"/>
      <c r="AA31" s="590"/>
    </row>
    <row r="32" spans="1:27" s="564" customFormat="1">
      <c r="A32" s="586" t="s">
        <v>276</v>
      </c>
      <c r="B32" s="587"/>
      <c r="C32" s="587"/>
      <c r="D32" s="587"/>
      <c r="E32" s="587"/>
      <c r="F32" s="587"/>
      <c r="G32" s="587"/>
      <c r="H32" s="587"/>
      <c r="I32" s="587"/>
      <c r="J32" s="587"/>
      <c r="K32" s="587"/>
      <c r="L32" s="588"/>
      <c r="M32" s="588">
        <f ca="1">SUMIF($AA$28:AD29,"tertiair",M28:M29)</f>
        <v>200</v>
      </c>
      <c r="N32" s="588">
        <f ca="1">SUMIF($AA$28:AE29,"tertiair",N28:N29)</f>
        <v>360</v>
      </c>
      <c r="O32" s="588">
        <f ca="1">SUMIF($AA$28:AF29,"tertiair",O28:O29)</f>
        <v>514.28571428571433</v>
      </c>
      <c r="P32" s="588">
        <f ca="1">SUMIF($AA$28:AG29,"tertiair",P28:P29)</f>
        <v>1028.5714285714287</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c r="Y32" s="589"/>
      <c r="Z32" s="589"/>
      <c r="AA32" s="590"/>
    </row>
    <row r="33" spans="1:28" s="564" customFormat="1" ht="15.75" thickBot="1">
      <c r="A33" s="591" t="s">
        <v>277</v>
      </c>
      <c r="B33" s="592"/>
      <c r="C33" s="592"/>
      <c r="D33" s="592"/>
      <c r="E33" s="592"/>
      <c r="F33" s="592"/>
      <c r="G33" s="592"/>
      <c r="H33" s="592"/>
      <c r="I33" s="592"/>
      <c r="J33" s="592"/>
      <c r="K33" s="592"/>
      <c r="L33" s="593"/>
      <c r="M33" s="593">
        <f>SUMIF($AA$28:$AA$29,"landbouw",M28:M29)</f>
        <v>0</v>
      </c>
      <c r="N33" s="593">
        <f>SUMIF($AA$28:$AA$29,"landbouw",N28:N29)</f>
        <v>0</v>
      </c>
      <c r="O33" s="593">
        <f>SUMIF($AA$28:$AA$29,"landbouw",O28:O29)</f>
        <v>0</v>
      </c>
      <c r="P33" s="593">
        <f>SUMIF($AA$28:$AA$29,"landbouw",P28:P29)</f>
        <v>0</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98" t="s">
        <v>269</v>
      </c>
      <c r="B35" s="627" t="s">
        <v>89</v>
      </c>
      <c r="C35" s="627" t="s">
        <v>90</v>
      </c>
      <c r="D35" s="627"/>
      <c r="E35" s="627"/>
      <c r="F35" s="627"/>
      <c r="G35" s="627" t="s">
        <v>91</v>
      </c>
      <c r="H35" s="627" t="s">
        <v>92</v>
      </c>
      <c r="I35" s="627"/>
      <c r="J35" s="627"/>
      <c r="K35" s="627"/>
      <c r="L35" s="627" t="s">
        <v>93</v>
      </c>
      <c r="M35" s="628" t="s">
        <v>286</v>
      </c>
      <c r="N35" s="628" t="s">
        <v>94</v>
      </c>
      <c r="O35" s="628" t="s">
        <v>95</v>
      </c>
      <c r="P35" s="628" t="s">
        <v>509</v>
      </c>
      <c r="Q35" s="628" t="s">
        <v>96</v>
      </c>
      <c r="R35" s="628" t="s">
        <v>97</v>
      </c>
      <c r="S35" s="628" t="s">
        <v>98</v>
      </c>
      <c r="T35" s="628" t="s">
        <v>99</v>
      </c>
      <c r="U35" s="628" t="s">
        <v>100</v>
      </c>
      <c r="V35" s="628" t="s">
        <v>101</v>
      </c>
      <c r="W35" s="627" t="s">
        <v>102</v>
      </c>
      <c r="X35" s="627" t="s">
        <v>882</v>
      </c>
      <c r="Y35" s="627" t="s">
        <v>287</v>
      </c>
      <c r="Z35" s="627" t="s">
        <v>103</v>
      </c>
      <c r="AA35" s="629" t="s">
        <v>288</v>
      </c>
    </row>
    <row r="36" spans="1:28" s="599" customFormat="1" ht="12.75" hidden="1">
      <c r="A36" s="585"/>
      <c r="B36" s="745"/>
      <c r="C36" s="745"/>
      <c r="D36" s="633"/>
      <c r="E36" s="633"/>
      <c r="F36" s="633"/>
      <c r="G36" s="633"/>
      <c r="H36" s="633"/>
      <c r="I36" s="633"/>
      <c r="J36" s="744"/>
      <c r="K36" s="744"/>
      <c r="L36" s="633"/>
      <c r="M36" s="633"/>
      <c r="N36" s="633"/>
      <c r="O36" s="633"/>
      <c r="P36" s="633"/>
      <c r="Q36" s="633"/>
      <c r="R36" s="633"/>
      <c r="S36" s="633"/>
      <c r="T36" s="633"/>
      <c r="U36" s="633"/>
      <c r="V36" s="633"/>
      <c r="W36" s="633"/>
      <c r="X36" s="633"/>
      <c r="Y36" s="633"/>
      <c r="Z36" s="633"/>
      <c r="AA36" s="634"/>
    </row>
    <row r="37" spans="1:28" s="564" customFormat="1" hidden="1">
      <c r="A37" s="586" t="s">
        <v>268</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c r="Y37" s="589"/>
      <c r="Z37" s="589"/>
      <c r="AA37" s="590"/>
    </row>
    <row r="38" spans="1:28" s="564" customFormat="1">
      <c r="A38" s="586" t="s">
        <v>275</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c r="Y38" s="589"/>
      <c r="Z38" s="589"/>
      <c r="AA38" s="590"/>
    </row>
    <row r="39" spans="1:28" s="564" customFormat="1">
      <c r="A39" s="586" t="s">
        <v>276</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c r="Y39" s="589"/>
      <c r="Z39" s="589"/>
      <c r="AA39" s="590"/>
    </row>
    <row r="40" spans="1:28" s="564" customFormat="1" ht="15.75" thickBot="1">
      <c r="A40" s="591" t="s">
        <v>277</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c r="Y40" s="594"/>
      <c r="Z40" s="594"/>
      <c r="AA40" s="595"/>
    </row>
    <row r="41" spans="1:28" s="600"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600"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1" t="s">
        <v>270</v>
      </c>
      <c r="B43" s="602"/>
      <c r="C43" s="602"/>
      <c r="D43" s="602"/>
      <c r="E43" s="602"/>
      <c r="F43" s="602"/>
      <c r="G43" s="602"/>
      <c r="H43" s="602"/>
      <c r="I43" s="603"/>
      <c r="J43" s="604"/>
      <c r="K43" s="604"/>
      <c r="L43" s="605"/>
      <c r="M43" s="605"/>
      <c r="N43" s="605"/>
      <c r="O43" s="605"/>
      <c r="P43" s="605"/>
    </row>
    <row r="44" spans="1:28">
      <c r="A44" s="607"/>
      <c r="B44" s="597"/>
      <c r="C44" s="597"/>
      <c r="D44" s="597"/>
      <c r="E44" s="597"/>
      <c r="F44" s="597"/>
      <c r="G44" s="597"/>
      <c r="H44" s="597"/>
      <c r="I44" s="608"/>
      <c r="J44" s="597"/>
      <c r="K44" s="597"/>
      <c r="L44" s="605"/>
      <c r="M44" s="605"/>
      <c r="N44" s="605"/>
      <c r="O44" s="605"/>
      <c r="P44" s="605"/>
    </row>
    <row r="45" spans="1:28">
      <c r="A45" s="609"/>
      <c r="B45" s="610" t="s">
        <v>271</v>
      </c>
      <c r="C45" s="610" t="s">
        <v>272</v>
      </c>
      <c r="D45" s="610"/>
      <c r="E45" s="610"/>
      <c r="F45" s="610"/>
      <c r="G45" s="610"/>
      <c r="H45" s="610"/>
      <c r="I45" s="611"/>
      <c r="J45" s="610"/>
      <c r="K45" s="610"/>
      <c r="L45" s="610"/>
      <c r="M45" s="610"/>
      <c r="N45" s="610"/>
      <c r="O45" s="610"/>
      <c r="P45" s="605"/>
    </row>
    <row r="46" spans="1:28">
      <c r="A46" s="607" t="s">
        <v>268</v>
      </c>
      <c r="B46" s="612">
        <f>IF(ISERROR(O30/(O30+N30)),0,O30/(O30+N30))</f>
        <v>0.58823529411764708</v>
      </c>
      <c r="C46" s="613">
        <f>IF(ISERROR(N30/(O30+N30)),0,N30/(N30+O30))</f>
        <v>0.41176470588235292</v>
      </c>
      <c r="D46" s="580"/>
      <c r="E46" s="580"/>
      <c r="F46" s="580"/>
      <c r="G46" s="580"/>
      <c r="H46" s="580"/>
      <c r="I46" s="614"/>
      <c r="J46" s="580"/>
      <c r="K46" s="580"/>
      <c r="L46" s="615"/>
      <c r="M46" s="615"/>
      <c r="N46" s="615"/>
      <c r="O46" s="615"/>
      <c r="P46" s="605"/>
    </row>
    <row r="47" spans="1:28">
      <c r="A47" s="607"/>
      <c r="B47" s="616"/>
      <c r="C47" s="616"/>
      <c r="D47" s="616"/>
      <c r="E47" s="616"/>
      <c r="F47" s="616"/>
      <c r="G47" s="616"/>
      <c r="H47" s="616"/>
      <c r="I47" s="617"/>
      <c r="J47" s="616"/>
      <c r="K47" s="616"/>
      <c r="L47" s="618"/>
      <c r="M47" s="618"/>
      <c r="N47" s="618"/>
      <c r="O47" s="618"/>
      <c r="P47" s="605"/>
    </row>
    <row r="48" spans="1:28" ht="30">
      <c r="A48" s="619"/>
      <c r="B48" s="620" t="s">
        <v>509</v>
      </c>
      <c r="C48" s="620" t="s">
        <v>96</v>
      </c>
      <c r="D48" s="620" t="s">
        <v>97</v>
      </c>
      <c r="E48" s="620" t="s">
        <v>98</v>
      </c>
      <c r="F48" s="620" t="s">
        <v>99</v>
      </c>
      <c r="G48" s="620" t="s">
        <v>100</v>
      </c>
      <c r="H48" s="620" t="s">
        <v>101</v>
      </c>
      <c r="I48" s="621" t="s">
        <v>102</v>
      </c>
      <c r="J48" s="610"/>
      <c r="K48" s="610"/>
      <c r="L48" s="618"/>
      <c r="M48" s="618"/>
      <c r="N48" s="618"/>
      <c r="O48" s="605"/>
      <c r="P48" s="605"/>
    </row>
    <row r="49" spans="1:16">
      <c r="A49" s="609" t="s">
        <v>273</v>
      </c>
      <c r="B49" s="622">
        <f t="shared" ref="B49:I49" si="2">$C$46*P30</f>
        <v>423.52941176470591</v>
      </c>
      <c r="C49" s="622">
        <f t="shared" si="2"/>
        <v>0</v>
      </c>
      <c r="D49" s="622">
        <f t="shared" si="2"/>
        <v>0</v>
      </c>
      <c r="E49" s="622">
        <f t="shared" si="2"/>
        <v>0</v>
      </c>
      <c r="F49" s="622">
        <f t="shared" si="2"/>
        <v>0</v>
      </c>
      <c r="G49" s="622">
        <f t="shared" si="2"/>
        <v>0</v>
      </c>
      <c r="H49" s="622">
        <f t="shared" si="2"/>
        <v>0</v>
      </c>
      <c r="I49" s="623">
        <f t="shared" si="2"/>
        <v>0</v>
      </c>
      <c r="J49" s="580"/>
      <c r="K49" s="580"/>
      <c r="L49" s="618"/>
      <c r="M49" s="618"/>
      <c r="N49" s="618"/>
      <c r="O49" s="605"/>
      <c r="P49" s="605"/>
    </row>
    <row r="50" spans="1:16" ht="15.75" thickBot="1">
      <c r="A50" s="624" t="s">
        <v>274</v>
      </c>
      <c r="B50" s="625">
        <f t="shared" ref="B50:I50" si="3">$B$46*P30</f>
        <v>605.04201680672281</v>
      </c>
      <c r="C50" s="625">
        <f t="shared" si="3"/>
        <v>0</v>
      </c>
      <c r="D50" s="625">
        <f t="shared" si="3"/>
        <v>0</v>
      </c>
      <c r="E50" s="625">
        <f t="shared" si="3"/>
        <v>0</v>
      </c>
      <c r="F50" s="625">
        <f t="shared" si="3"/>
        <v>0</v>
      </c>
      <c r="G50" s="625">
        <f t="shared" si="3"/>
        <v>0</v>
      </c>
      <c r="H50" s="625">
        <f t="shared" si="3"/>
        <v>0</v>
      </c>
      <c r="I50" s="626">
        <f t="shared" si="3"/>
        <v>0</v>
      </c>
      <c r="J50" s="580"/>
      <c r="K50" s="580"/>
      <c r="L50" s="618"/>
      <c r="M50" s="618"/>
      <c r="N50" s="618"/>
      <c r="O50" s="605"/>
      <c r="P50" s="605"/>
    </row>
    <row r="51" spans="1:16">
      <c r="J51" s="560"/>
      <c r="K51" s="560"/>
      <c r="L51" s="560"/>
      <c r="M51" s="560"/>
      <c r="N51" s="560"/>
    </row>
    <row r="52" spans="1:16">
      <c r="J52" s="560"/>
      <c r="K52" s="560"/>
      <c r="L52" s="560"/>
      <c r="M52" s="560"/>
      <c r="N52"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35898.560395</v>
      </c>
      <c r="D10" s="641">
        <f ca="1">tertiair!C16</f>
        <v>514.28571428571433</v>
      </c>
      <c r="E10" s="641">
        <f ca="1">tertiair!D16</f>
        <v>17468.428905438574</v>
      </c>
      <c r="F10" s="641">
        <f>tertiair!E16</f>
        <v>89.739866375735545</v>
      </c>
      <c r="G10" s="641">
        <f ca="1">tertiair!F16</f>
        <v>6531.1600948825517</v>
      </c>
      <c r="H10" s="641">
        <f>tertiair!G16</f>
        <v>0</v>
      </c>
      <c r="I10" s="641">
        <f>tertiair!H16</f>
        <v>0</v>
      </c>
      <c r="J10" s="641">
        <f>tertiair!I16</f>
        <v>0</v>
      </c>
      <c r="K10" s="641">
        <f>tertiair!J16</f>
        <v>4.7034544217653615E-2</v>
      </c>
      <c r="L10" s="641">
        <f>tertiair!K16</f>
        <v>0</v>
      </c>
      <c r="M10" s="641">
        <f ca="1">tertiair!L16</f>
        <v>0</v>
      </c>
      <c r="N10" s="641">
        <f>tertiair!M16</f>
        <v>0</v>
      </c>
      <c r="O10" s="641">
        <f ca="1">tertiair!N16</f>
        <v>1759.8615001873914</v>
      </c>
      <c r="P10" s="641">
        <f>tertiair!O16</f>
        <v>4.8972607658411542</v>
      </c>
      <c r="Q10" s="642">
        <f>tertiair!P16</f>
        <v>105.07827661299004</v>
      </c>
      <c r="R10" s="644">
        <f ca="1">SUM(C10:Q10)</f>
        <v>62372.059048093019</v>
      </c>
      <c r="S10" s="67"/>
    </row>
    <row r="11" spans="1:19" s="440" customFormat="1">
      <c r="A11" s="761" t="s">
        <v>213</v>
      </c>
      <c r="B11" s="766"/>
      <c r="C11" s="641">
        <f>huishoudens!B8</f>
        <v>22955.416090328101</v>
      </c>
      <c r="D11" s="641">
        <f>huishoudens!C8</f>
        <v>0</v>
      </c>
      <c r="E11" s="641">
        <f>huishoudens!D8</f>
        <v>22491.283299759998</v>
      </c>
      <c r="F11" s="641">
        <f>huishoudens!E8</f>
        <v>2084.4933218408605</v>
      </c>
      <c r="G11" s="641">
        <f>huishoudens!F8</f>
        <v>40114.610926383612</v>
      </c>
      <c r="H11" s="641">
        <f>huishoudens!G8</f>
        <v>0</v>
      </c>
      <c r="I11" s="641">
        <f>huishoudens!H8</f>
        <v>0</v>
      </c>
      <c r="J11" s="641">
        <f>huishoudens!I8</f>
        <v>0</v>
      </c>
      <c r="K11" s="641">
        <f>huishoudens!J8</f>
        <v>205.27073376827803</v>
      </c>
      <c r="L11" s="641">
        <f>huishoudens!K8</f>
        <v>0</v>
      </c>
      <c r="M11" s="641">
        <f>huishoudens!L8</f>
        <v>0</v>
      </c>
      <c r="N11" s="641">
        <f>huishoudens!M8</f>
        <v>0</v>
      </c>
      <c r="O11" s="641">
        <f>huishoudens!N8</f>
        <v>7403.1275576710414</v>
      </c>
      <c r="P11" s="641">
        <f>huishoudens!O8</f>
        <v>392.82372743863232</v>
      </c>
      <c r="Q11" s="642">
        <f>huishoudens!P8</f>
        <v>653.1054770764714</v>
      </c>
      <c r="R11" s="644">
        <f>SUM(C11:Q11)</f>
        <v>96300.131134267009</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54069.369815999999</v>
      </c>
      <c r="D13" s="641">
        <f>industrie!C18</f>
        <v>0</v>
      </c>
      <c r="E13" s="641">
        <f>industrie!D18</f>
        <v>49961.923625459996</v>
      </c>
      <c r="F13" s="641">
        <f>industrie!E18</f>
        <v>1886.6858753670579</v>
      </c>
      <c r="G13" s="641">
        <f>industrie!F18</f>
        <v>13529.385930409328</v>
      </c>
      <c r="H13" s="641">
        <f>industrie!G18</f>
        <v>0</v>
      </c>
      <c r="I13" s="641">
        <f>industrie!H18</f>
        <v>0</v>
      </c>
      <c r="J13" s="641">
        <f>industrie!I18</f>
        <v>0</v>
      </c>
      <c r="K13" s="641">
        <f>industrie!J18</f>
        <v>149.29159310613989</v>
      </c>
      <c r="L13" s="641">
        <f>industrie!K18</f>
        <v>0</v>
      </c>
      <c r="M13" s="641">
        <f>industrie!L18</f>
        <v>0</v>
      </c>
      <c r="N13" s="641">
        <f>industrie!M18</f>
        <v>0</v>
      </c>
      <c r="O13" s="641">
        <f>industrie!N18</f>
        <v>2137.7254468273622</v>
      </c>
      <c r="P13" s="641">
        <f>industrie!O18</f>
        <v>0</v>
      </c>
      <c r="Q13" s="642">
        <f>industrie!P18</f>
        <v>0</v>
      </c>
      <c r="R13" s="644">
        <f>SUM(C13:Q13)</f>
        <v>121734.38228716989</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112923.3463013281</v>
      </c>
      <c r="D16" s="677">
        <f t="shared" ref="D16:R16" ca="1" si="0">SUM(D9:D15)</f>
        <v>514.28571428571433</v>
      </c>
      <c r="E16" s="677">
        <f t="shared" ca="1" si="0"/>
        <v>89921.635830658575</v>
      </c>
      <c r="F16" s="677">
        <f t="shared" si="0"/>
        <v>4060.919063583654</v>
      </c>
      <c r="G16" s="677">
        <f t="shared" ca="1" si="0"/>
        <v>60175.15695167549</v>
      </c>
      <c r="H16" s="677">
        <f t="shared" si="0"/>
        <v>0</v>
      </c>
      <c r="I16" s="677">
        <f t="shared" si="0"/>
        <v>0</v>
      </c>
      <c r="J16" s="677">
        <f t="shared" si="0"/>
        <v>0</v>
      </c>
      <c r="K16" s="677">
        <f t="shared" si="0"/>
        <v>354.60936141863556</v>
      </c>
      <c r="L16" s="677">
        <f t="shared" si="0"/>
        <v>0</v>
      </c>
      <c r="M16" s="677">
        <f t="shared" ca="1" si="0"/>
        <v>0</v>
      </c>
      <c r="N16" s="677">
        <f t="shared" si="0"/>
        <v>0</v>
      </c>
      <c r="O16" s="677">
        <f t="shared" ca="1" si="0"/>
        <v>11300.714504685795</v>
      </c>
      <c r="P16" s="677">
        <f t="shared" si="0"/>
        <v>397.72098820447349</v>
      </c>
      <c r="Q16" s="677">
        <f t="shared" si="0"/>
        <v>758.18375368946147</v>
      </c>
      <c r="R16" s="677">
        <f t="shared" ca="1" si="0"/>
        <v>280406.57246952993</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10.236534681490909</v>
      </c>
      <c r="D19" s="641">
        <f>transport!C54</f>
        <v>0</v>
      </c>
      <c r="E19" s="641">
        <f>transport!D54</f>
        <v>0</v>
      </c>
      <c r="F19" s="641">
        <f>transport!E54</f>
        <v>0</v>
      </c>
      <c r="G19" s="641">
        <f>transport!F54</f>
        <v>0</v>
      </c>
      <c r="H19" s="641">
        <f>transport!G54</f>
        <v>741.65236611415003</v>
      </c>
      <c r="I19" s="641">
        <f>transport!H54</f>
        <v>0</v>
      </c>
      <c r="J19" s="641">
        <f>transport!I54</f>
        <v>0</v>
      </c>
      <c r="K19" s="641">
        <f>transport!J54</f>
        <v>0</v>
      </c>
      <c r="L19" s="641">
        <f>transport!K54</f>
        <v>0</v>
      </c>
      <c r="M19" s="641">
        <f>transport!L54</f>
        <v>0</v>
      </c>
      <c r="N19" s="641">
        <f>transport!M54</f>
        <v>41.950066492907894</v>
      </c>
      <c r="O19" s="641">
        <f>transport!N54</f>
        <v>0</v>
      </c>
      <c r="P19" s="641">
        <f>transport!O54</f>
        <v>0</v>
      </c>
      <c r="Q19" s="642">
        <f>transport!P54</f>
        <v>0</v>
      </c>
      <c r="R19" s="644">
        <f>SUM(C19:Q19)</f>
        <v>793.83896728854882</v>
      </c>
      <c r="S19" s="67"/>
    </row>
    <row r="20" spans="1:19" s="440" customFormat="1">
      <c r="A20" s="761" t="s">
        <v>295</v>
      </c>
      <c r="B20" s="766"/>
      <c r="C20" s="641">
        <f>transport!B14</f>
        <v>334.40260903132275</v>
      </c>
      <c r="D20" s="641">
        <f>transport!C14</f>
        <v>0</v>
      </c>
      <c r="E20" s="641">
        <f>transport!D14</f>
        <v>499.33426186428073</v>
      </c>
      <c r="F20" s="641">
        <f>transport!E14</f>
        <v>491.50470472962706</v>
      </c>
      <c r="G20" s="641">
        <f>transport!F14</f>
        <v>0</v>
      </c>
      <c r="H20" s="641">
        <f>transport!G14</f>
        <v>317325.35709762602</v>
      </c>
      <c r="I20" s="641">
        <f>transport!H14</f>
        <v>49423.982844363185</v>
      </c>
      <c r="J20" s="641">
        <f>transport!I14</f>
        <v>0</v>
      </c>
      <c r="K20" s="641">
        <f>transport!J14</f>
        <v>0</v>
      </c>
      <c r="L20" s="641">
        <f>transport!K14</f>
        <v>0</v>
      </c>
      <c r="M20" s="641">
        <f>transport!L14</f>
        <v>0</v>
      </c>
      <c r="N20" s="641">
        <f>transport!M14</f>
        <v>21563.545112782373</v>
      </c>
      <c r="O20" s="641">
        <f>transport!N14</f>
        <v>0</v>
      </c>
      <c r="P20" s="641">
        <f>transport!O14</f>
        <v>0</v>
      </c>
      <c r="Q20" s="642">
        <f>transport!P14</f>
        <v>0</v>
      </c>
      <c r="R20" s="644">
        <f>SUM(C20:Q20)</f>
        <v>389638.12663039687</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344.63914371281368</v>
      </c>
      <c r="D22" s="764">
        <f t="shared" ref="D22:R22" si="1">SUM(D18:D21)</f>
        <v>0</v>
      </c>
      <c r="E22" s="764">
        <f t="shared" si="1"/>
        <v>499.33426186428073</v>
      </c>
      <c r="F22" s="764">
        <f t="shared" si="1"/>
        <v>491.50470472962706</v>
      </c>
      <c r="G22" s="764">
        <f t="shared" si="1"/>
        <v>0</v>
      </c>
      <c r="H22" s="764">
        <f t="shared" si="1"/>
        <v>318067.00946374016</v>
      </c>
      <c r="I22" s="764">
        <f t="shared" si="1"/>
        <v>49423.982844363185</v>
      </c>
      <c r="J22" s="764">
        <f t="shared" si="1"/>
        <v>0</v>
      </c>
      <c r="K22" s="764">
        <f t="shared" si="1"/>
        <v>0</v>
      </c>
      <c r="L22" s="764">
        <f t="shared" si="1"/>
        <v>0</v>
      </c>
      <c r="M22" s="764">
        <f t="shared" si="1"/>
        <v>0</v>
      </c>
      <c r="N22" s="764">
        <f t="shared" si="1"/>
        <v>21605.49517927528</v>
      </c>
      <c r="O22" s="764">
        <f t="shared" si="1"/>
        <v>0</v>
      </c>
      <c r="P22" s="764">
        <f t="shared" si="1"/>
        <v>0</v>
      </c>
      <c r="Q22" s="764">
        <f t="shared" si="1"/>
        <v>0</v>
      </c>
      <c r="R22" s="764">
        <f t="shared" si="1"/>
        <v>390431.96559768543</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1646.0567349999999</v>
      </c>
      <c r="D24" s="641">
        <f>+landbouw!C8</f>
        <v>0</v>
      </c>
      <c r="E24" s="641">
        <f>+landbouw!D8</f>
        <v>1398.9552123579999</v>
      </c>
      <c r="F24" s="641">
        <f>+landbouw!E8</f>
        <v>66.873441489214443</v>
      </c>
      <c r="G24" s="641">
        <f>+landbouw!F8</f>
        <v>5822.6786425296204</v>
      </c>
      <c r="H24" s="641">
        <f>+landbouw!G8</f>
        <v>0</v>
      </c>
      <c r="I24" s="641">
        <f>+landbouw!H8</f>
        <v>0</v>
      </c>
      <c r="J24" s="641">
        <f>+landbouw!I8</f>
        <v>0</v>
      </c>
      <c r="K24" s="641">
        <f>+landbouw!J8</f>
        <v>467.67883922382134</v>
      </c>
      <c r="L24" s="641">
        <f>+landbouw!K8</f>
        <v>0</v>
      </c>
      <c r="M24" s="641">
        <f>+landbouw!L8</f>
        <v>0</v>
      </c>
      <c r="N24" s="641">
        <f>+landbouw!M8</f>
        <v>0</v>
      </c>
      <c r="O24" s="641">
        <f>+landbouw!N8</f>
        <v>0</v>
      </c>
      <c r="P24" s="641">
        <f>+landbouw!O8</f>
        <v>0</v>
      </c>
      <c r="Q24" s="642">
        <f>+landbouw!P8</f>
        <v>0</v>
      </c>
      <c r="R24" s="644">
        <f>SUM(C24:Q24)</f>
        <v>9402.2428706006558</v>
      </c>
      <c r="S24" s="67"/>
    </row>
    <row r="25" spans="1:19" s="440" customFormat="1" ht="15" thickBot="1">
      <c r="A25" s="783" t="s">
        <v>683</v>
      </c>
      <c r="B25" s="901"/>
      <c r="C25" s="902">
        <f>IF(Onbekend_ele_kWh="---",0,Onbekend_ele_kWh)/1000+IF(REST_rest_ele_kWh="---",0,REST_rest_ele_kWh)/1000</f>
        <v>522.89306800000008</v>
      </c>
      <c r="D25" s="902"/>
      <c r="E25" s="902">
        <f>IF(onbekend_gas_kWh="---",0,onbekend_gas_kWh)/1000+IF(REST_rest_gas_kWh="---",0,REST_rest_gas_kWh)/1000</f>
        <v>593.880402</v>
      </c>
      <c r="F25" s="902"/>
      <c r="G25" s="902"/>
      <c r="H25" s="902"/>
      <c r="I25" s="902"/>
      <c r="J25" s="902"/>
      <c r="K25" s="902"/>
      <c r="L25" s="902"/>
      <c r="M25" s="902"/>
      <c r="N25" s="902"/>
      <c r="O25" s="902"/>
      <c r="P25" s="902"/>
      <c r="Q25" s="903"/>
      <c r="R25" s="644">
        <f>SUM(C25:Q25)</f>
        <v>1116.7734700000001</v>
      </c>
      <c r="S25" s="67"/>
    </row>
    <row r="26" spans="1:19" s="440" customFormat="1" ht="15.75" thickBot="1">
      <c r="A26" s="649" t="s">
        <v>684</v>
      </c>
      <c r="B26" s="769"/>
      <c r="C26" s="764">
        <f>SUM(C24:C25)</f>
        <v>2168.949803</v>
      </c>
      <c r="D26" s="764">
        <f t="shared" ref="D26:R26" si="2">SUM(D24:D25)</f>
        <v>0</v>
      </c>
      <c r="E26" s="764">
        <f t="shared" si="2"/>
        <v>1992.8356143579999</v>
      </c>
      <c r="F26" s="764">
        <f t="shared" si="2"/>
        <v>66.873441489214443</v>
      </c>
      <c r="G26" s="764">
        <f t="shared" si="2"/>
        <v>5822.6786425296204</v>
      </c>
      <c r="H26" s="764">
        <f t="shared" si="2"/>
        <v>0</v>
      </c>
      <c r="I26" s="764">
        <f t="shared" si="2"/>
        <v>0</v>
      </c>
      <c r="J26" s="764">
        <f t="shared" si="2"/>
        <v>0</v>
      </c>
      <c r="K26" s="764">
        <f t="shared" si="2"/>
        <v>467.67883922382134</v>
      </c>
      <c r="L26" s="764">
        <f t="shared" si="2"/>
        <v>0</v>
      </c>
      <c r="M26" s="764">
        <f t="shared" si="2"/>
        <v>0</v>
      </c>
      <c r="N26" s="764">
        <f t="shared" si="2"/>
        <v>0</v>
      </c>
      <c r="O26" s="764">
        <f t="shared" si="2"/>
        <v>0</v>
      </c>
      <c r="P26" s="764">
        <f t="shared" si="2"/>
        <v>0</v>
      </c>
      <c r="Q26" s="764">
        <f t="shared" si="2"/>
        <v>0</v>
      </c>
      <c r="R26" s="764">
        <f t="shared" si="2"/>
        <v>10519.016340600656</v>
      </c>
      <c r="S26" s="67"/>
    </row>
    <row r="27" spans="1:19" s="440" customFormat="1" ht="17.25" thickTop="1" thickBot="1">
      <c r="A27" s="650" t="s">
        <v>109</v>
      </c>
      <c r="B27" s="756"/>
      <c r="C27" s="651">
        <f ca="1">C22+C16+C26</f>
        <v>115436.93524804091</v>
      </c>
      <c r="D27" s="651">
        <f t="shared" ref="D27:R27" ca="1" si="3">D22+D16+D26</f>
        <v>514.28571428571433</v>
      </c>
      <c r="E27" s="651">
        <f t="shared" ca="1" si="3"/>
        <v>92413.805706880856</v>
      </c>
      <c r="F27" s="651">
        <f t="shared" si="3"/>
        <v>4619.2972098024957</v>
      </c>
      <c r="G27" s="651">
        <f t="shared" ca="1" si="3"/>
        <v>65997.835594205113</v>
      </c>
      <c r="H27" s="651">
        <f t="shared" si="3"/>
        <v>318067.00946374016</v>
      </c>
      <c r="I27" s="651">
        <f t="shared" si="3"/>
        <v>49423.982844363185</v>
      </c>
      <c r="J27" s="651">
        <f t="shared" si="3"/>
        <v>0</v>
      </c>
      <c r="K27" s="651">
        <f t="shared" si="3"/>
        <v>822.2882006424569</v>
      </c>
      <c r="L27" s="651">
        <f t="shared" si="3"/>
        <v>0</v>
      </c>
      <c r="M27" s="651">
        <f t="shared" ca="1" si="3"/>
        <v>0</v>
      </c>
      <c r="N27" s="651">
        <f t="shared" si="3"/>
        <v>21605.49517927528</v>
      </c>
      <c r="O27" s="651">
        <f t="shared" ca="1" si="3"/>
        <v>11300.714504685795</v>
      </c>
      <c r="P27" s="651">
        <f t="shared" si="3"/>
        <v>397.72098820447349</v>
      </c>
      <c r="Q27" s="651">
        <f t="shared" si="3"/>
        <v>758.18375368946147</v>
      </c>
      <c r="R27" s="651">
        <f t="shared" ca="1" si="3"/>
        <v>681357.55440781603</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7461.1174796585728</v>
      </c>
      <c r="D40" s="641">
        <f ca="1">tertiair!C20</f>
        <v>122.21848739495802</v>
      </c>
      <c r="E40" s="641">
        <f ca="1">tertiair!D20</f>
        <v>3528.622638898592</v>
      </c>
      <c r="F40" s="641">
        <f>tertiair!E20</f>
        <v>20.370949667291971</v>
      </c>
      <c r="G40" s="641">
        <f ca="1">tertiair!F20</f>
        <v>1743.8197453336413</v>
      </c>
      <c r="H40" s="641">
        <f>tertiair!G20</f>
        <v>0</v>
      </c>
      <c r="I40" s="641">
        <f>tertiair!H20</f>
        <v>0</v>
      </c>
      <c r="J40" s="641">
        <f>tertiair!I20</f>
        <v>0</v>
      </c>
      <c r="K40" s="641">
        <f>tertiair!J20</f>
        <v>1.6650228653049378E-2</v>
      </c>
      <c r="L40" s="641">
        <f>tertiair!K20</f>
        <v>0</v>
      </c>
      <c r="M40" s="641">
        <f ca="1">tertiair!L20</f>
        <v>0</v>
      </c>
      <c r="N40" s="641">
        <f>tertiair!M20</f>
        <v>0</v>
      </c>
      <c r="O40" s="641">
        <f ca="1">tertiair!N20</f>
        <v>0</v>
      </c>
      <c r="P40" s="641">
        <f>tertiair!O20</f>
        <v>0</v>
      </c>
      <c r="Q40" s="724">
        <f>tertiair!P20</f>
        <v>0</v>
      </c>
      <c r="R40" s="802">
        <f t="shared" ca="1" si="4"/>
        <v>12876.165951181711</v>
      </c>
    </row>
    <row r="41" spans="1:18">
      <c r="A41" s="774" t="s">
        <v>213</v>
      </c>
      <c r="B41" s="781"/>
      <c r="C41" s="641">
        <f ca="1">huishoudens!B12</f>
        <v>4771.0285415299777</v>
      </c>
      <c r="D41" s="641">
        <f ca="1">huishoudens!C12</f>
        <v>0</v>
      </c>
      <c r="E41" s="641">
        <f>huishoudens!D12</f>
        <v>4543.23922655152</v>
      </c>
      <c r="F41" s="641">
        <f>huishoudens!E12</f>
        <v>473.17998405787534</v>
      </c>
      <c r="G41" s="641">
        <f>huishoudens!F12</f>
        <v>10710.601117344424</v>
      </c>
      <c r="H41" s="641">
        <f>huishoudens!G12</f>
        <v>0</v>
      </c>
      <c r="I41" s="641">
        <f>huishoudens!H12</f>
        <v>0</v>
      </c>
      <c r="J41" s="641">
        <f>huishoudens!I12</f>
        <v>0</v>
      </c>
      <c r="K41" s="641">
        <f>huishoudens!J12</f>
        <v>72.665839753970417</v>
      </c>
      <c r="L41" s="641">
        <f>huishoudens!K12</f>
        <v>0</v>
      </c>
      <c r="M41" s="641">
        <f>huishoudens!L12</f>
        <v>0</v>
      </c>
      <c r="N41" s="641">
        <f>huishoudens!M12</f>
        <v>0</v>
      </c>
      <c r="O41" s="641">
        <f>huishoudens!N12</f>
        <v>0</v>
      </c>
      <c r="P41" s="641">
        <f>huishoudens!O12</f>
        <v>0</v>
      </c>
      <c r="Q41" s="724">
        <f>huishoudens!P12</f>
        <v>0</v>
      </c>
      <c r="R41" s="802">
        <f t="shared" ca="1" si="4"/>
        <v>20570.714709237767</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11237.718610701444</v>
      </c>
      <c r="D43" s="641">
        <f ca="1">industrie!C22</f>
        <v>0</v>
      </c>
      <c r="E43" s="641">
        <f>industrie!D22</f>
        <v>10092.308572342919</v>
      </c>
      <c r="F43" s="641">
        <f>industrie!E22</f>
        <v>428.27769370832215</v>
      </c>
      <c r="G43" s="641">
        <f>industrie!F22</f>
        <v>3612.3460434192907</v>
      </c>
      <c r="H43" s="641">
        <f>industrie!G22</f>
        <v>0</v>
      </c>
      <c r="I43" s="641">
        <f>industrie!H22</f>
        <v>0</v>
      </c>
      <c r="J43" s="641">
        <f>industrie!I22</f>
        <v>0</v>
      </c>
      <c r="K43" s="641">
        <f>industrie!J22</f>
        <v>52.849223959573514</v>
      </c>
      <c r="L43" s="641">
        <f>industrie!K22</f>
        <v>0</v>
      </c>
      <c r="M43" s="641">
        <f>industrie!L22</f>
        <v>0</v>
      </c>
      <c r="N43" s="641">
        <f>industrie!M22</f>
        <v>0</v>
      </c>
      <c r="O43" s="641">
        <f>industrie!N22</f>
        <v>0</v>
      </c>
      <c r="P43" s="641">
        <f>industrie!O22</f>
        <v>0</v>
      </c>
      <c r="Q43" s="724">
        <f>industrie!P22</f>
        <v>0</v>
      </c>
      <c r="R43" s="801">
        <f t="shared" ca="1" si="4"/>
        <v>25423.500144131547</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23469.864631889992</v>
      </c>
      <c r="D46" s="677">
        <f t="shared" ref="D46:Q46" ca="1" si="5">SUM(D39:D45)</f>
        <v>122.21848739495802</v>
      </c>
      <c r="E46" s="677">
        <f t="shared" ca="1" si="5"/>
        <v>18164.170437793029</v>
      </c>
      <c r="F46" s="677">
        <f t="shared" si="5"/>
        <v>921.82862743348949</v>
      </c>
      <c r="G46" s="677">
        <f t="shared" ca="1" si="5"/>
        <v>16066.766906097357</v>
      </c>
      <c r="H46" s="677">
        <f t="shared" si="5"/>
        <v>0</v>
      </c>
      <c r="I46" s="677">
        <f t="shared" si="5"/>
        <v>0</v>
      </c>
      <c r="J46" s="677">
        <f t="shared" si="5"/>
        <v>0</v>
      </c>
      <c r="K46" s="677">
        <f t="shared" si="5"/>
        <v>125.53171394219697</v>
      </c>
      <c r="L46" s="677">
        <f t="shared" si="5"/>
        <v>0</v>
      </c>
      <c r="M46" s="677">
        <f t="shared" ca="1" si="5"/>
        <v>0</v>
      </c>
      <c r="N46" s="677">
        <f t="shared" si="5"/>
        <v>0</v>
      </c>
      <c r="O46" s="677">
        <f t="shared" ca="1" si="5"/>
        <v>0</v>
      </c>
      <c r="P46" s="677">
        <f t="shared" si="5"/>
        <v>0</v>
      </c>
      <c r="Q46" s="677">
        <f t="shared" si="5"/>
        <v>0</v>
      </c>
      <c r="R46" s="677">
        <f ca="1">SUM(R39:R45)</f>
        <v>58870.380804551023</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2.1275501580793414</v>
      </c>
      <c r="D49" s="641">
        <f ca="1">transport!C58</f>
        <v>0</v>
      </c>
      <c r="E49" s="641">
        <f>transport!D58</f>
        <v>0</v>
      </c>
      <c r="F49" s="641">
        <f>transport!E58</f>
        <v>0</v>
      </c>
      <c r="G49" s="641">
        <f>transport!F58</f>
        <v>0</v>
      </c>
      <c r="H49" s="641">
        <f>transport!G58</f>
        <v>198.02118175247807</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200.14873191055742</v>
      </c>
    </row>
    <row r="50" spans="1:18">
      <c r="A50" s="777" t="s">
        <v>295</v>
      </c>
      <c r="B50" s="787"/>
      <c r="C50" s="647">
        <f ca="1">transport!B18</f>
        <v>69.501872053747974</v>
      </c>
      <c r="D50" s="647">
        <f>transport!C18</f>
        <v>0</v>
      </c>
      <c r="E50" s="647">
        <f>transport!D18</f>
        <v>100.86552089658471</v>
      </c>
      <c r="F50" s="647">
        <f>transport!E18</f>
        <v>111.57156797362535</v>
      </c>
      <c r="G50" s="647">
        <f>transport!F18</f>
        <v>0</v>
      </c>
      <c r="H50" s="647">
        <f>transport!G18</f>
        <v>84725.870345066156</v>
      </c>
      <c r="I50" s="647">
        <f>transport!H18</f>
        <v>12306.571728246434</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97314.381034236547</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71.629422211827318</v>
      </c>
      <c r="D52" s="677">
        <f t="shared" ref="D52:Q52" ca="1" si="6">SUM(D48:D51)</f>
        <v>0</v>
      </c>
      <c r="E52" s="677">
        <f t="shared" si="6"/>
        <v>100.86552089658471</v>
      </c>
      <c r="F52" s="677">
        <f t="shared" si="6"/>
        <v>111.57156797362535</v>
      </c>
      <c r="G52" s="677">
        <f t="shared" si="6"/>
        <v>0</v>
      </c>
      <c r="H52" s="677">
        <f t="shared" si="6"/>
        <v>84923.891526818639</v>
      </c>
      <c r="I52" s="677">
        <f t="shared" si="6"/>
        <v>12306.571728246434</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97514.529766147098</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342.11462919077928</v>
      </c>
      <c r="D54" s="647">
        <f ca="1">+landbouw!C12</f>
        <v>0</v>
      </c>
      <c r="E54" s="647">
        <f>+landbouw!D12</f>
        <v>282.58895289631602</v>
      </c>
      <c r="F54" s="647">
        <f>+landbouw!E12</f>
        <v>15.180271218051679</v>
      </c>
      <c r="G54" s="647">
        <f>+landbouw!F12</f>
        <v>1554.6551975554087</v>
      </c>
      <c r="H54" s="647">
        <f>+landbouw!G12</f>
        <v>0</v>
      </c>
      <c r="I54" s="647">
        <f>+landbouw!H12</f>
        <v>0</v>
      </c>
      <c r="J54" s="647">
        <f>+landbouw!I12</f>
        <v>0</v>
      </c>
      <c r="K54" s="647">
        <f>+landbouw!J12</f>
        <v>165.55830908523274</v>
      </c>
      <c r="L54" s="647">
        <f>+landbouw!K12</f>
        <v>0</v>
      </c>
      <c r="M54" s="647">
        <f>+landbouw!L12</f>
        <v>0</v>
      </c>
      <c r="N54" s="647">
        <f>+landbouw!M12</f>
        <v>0</v>
      </c>
      <c r="O54" s="647">
        <f>+landbouw!N12</f>
        <v>0</v>
      </c>
      <c r="P54" s="647">
        <f>+landbouw!O12</f>
        <v>0</v>
      </c>
      <c r="Q54" s="648">
        <f>+landbouw!P12</f>
        <v>0</v>
      </c>
      <c r="R54" s="676">
        <f ca="1">SUM(C54:Q54)</f>
        <v>2360.0973599457884</v>
      </c>
    </row>
    <row r="55" spans="1:18" ht="15" thickBot="1">
      <c r="A55" s="777" t="s">
        <v>683</v>
      </c>
      <c r="B55" s="787"/>
      <c r="C55" s="647">
        <f ca="1">C25*'EF ele_warmte'!B12</f>
        <v>108.67752262819117</v>
      </c>
      <c r="D55" s="647"/>
      <c r="E55" s="647">
        <f>E25*EF_CO2_aardgas</f>
        <v>119.963841204</v>
      </c>
      <c r="F55" s="647"/>
      <c r="G55" s="647"/>
      <c r="H55" s="647"/>
      <c r="I55" s="647"/>
      <c r="J55" s="647"/>
      <c r="K55" s="647"/>
      <c r="L55" s="647"/>
      <c r="M55" s="647"/>
      <c r="N55" s="647"/>
      <c r="O55" s="647"/>
      <c r="P55" s="647"/>
      <c r="Q55" s="648"/>
      <c r="R55" s="676">
        <f ca="1">SUM(C55:Q55)</f>
        <v>228.64136383219119</v>
      </c>
    </row>
    <row r="56" spans="1:18" ht="15.75" thickBot="1">
      <c r="A56" s="775" t="s">
        <v>684</v>
      </c>
      <c r="B56" s="788"/>
      <c r="C56" s="677">
        <f ca="1">SUM(C54:C55)</f>
        <v>450.79215181897047</v>
      </c>
      <c r="D56" s="677">
        <f t="shared" ref="D56:Q56" ca="1" si="7">SUM(D54:D55)</f>
        <v>0</v>
      </c>
      <c r="E56" s="677">
        <f t="shared" si="7"/>
        <v>402.55279410031602</v>
      </c>
      <c r="F56" s="677">
        <f t="shared" si="7"/>
        <v>15.180271218051679</v>
      </c>
      <c r="G56" s="677">
        <f t="shared" si="7"/>
        <v>1554.6551975554087</v>
      </c>
      <c r="H56" s="677">
        <f t="shared" si="7"/>
        <v>0</v>
      </c>
      <c r="I56" s="677">
        <f t="shared" si="7"/>
        <v>0</v>
      </c>
      <c r="J56" s="677">
        <f t="shared" si="7"/>
        <v>0</v>
      </c>
      <c r="K56" s="677">
        <f t="shared" si="7"/>
        <v>165.55830908523274</v>
      </c>
      <c r="L56" s="677">
        <f t="shared" si="7"/>
        <v>0</v>
      </c>
      <c r="M56" s="677">
        <f t="shared" si="7"/>
        <v>0</v>
      </c>
      <c r="N56" s="677">
        <f t="shared" si="7"/>
        <v>0</v>
      </c>
      <c r="O56" s="677">
        <f t="shared" si="7"/>
        <v>0</v>
      </c>
      <c r="P56" s="677">
        <f t="shared" si="7"/>
        <v>0</v>
      </c>
      <c r="Q56" s="678">
        <f t="shared" si="7"/>
        <v>0</v>
      </c>
      <c r="R56" s="679">
        <f ca="1">SUM(R54:R55)</f>
        <v>2588.7387237779794</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23992.286205920787</v>
      </c>
      <c r="D61" s="685">
        <f t="shared" ref="D61:Q61" ca="1" si="8">D46+D52+D56</f>
        <v>122.21848739495802</v>
      </c>
      <c r="E61" s="685">
        <f t="shared" ca="1" si="8"/>
        <v>18667.588752789932</v>
      </c>
      <c r="F61" s="685">
        <f t="shared" si="8"/>
        <v>1048.5804666251665</v>
      </c>
      <c r="G61" s="685">
        <f t="shared" ca="1" si="8"/>
        <v>17621.422103652767</v>
      </c>
      <c r="H61" s="685">
        <f t="shared" si="8"/>
        <v>84923.891526818639</v>
      </c>
      <c r="I61" s="685">
        <f t="shared" si="8"/>
        <v>12306.571728246434</v>
      </c>
      <c r="J61" s="685">
        <f t="shared" si="8"/>
        <v>0</v>
      </c>
      <c r="K61" s="685">
        <f t="shared" si="8"/>
        <v>291.09002302742971</v>
      </c>
      <c r="L61" s="685">
        <f t="shared" si="8"/>
        <v>0</v>
      </c>
      <c r="M61" s="685">
        <f t="shared" ca="1" si="8"/>
        <v>0</v>
      </c>
      <c r="N61" s="685">
        <f t="shared" si="8"/>
        <v>0</v>
      </c>
      <c r="O61" s="685">
        <f t="shared" ca="1" si="8"/>
        <v>0</v>
      </c>
      <c r="P61" s="685">
        <f t="shared" si="8"/>
        <v>0</v>
      </c>
      <c r="Q61" s="685">
        <f t="shared" si="8"/>
        <v>0</v>
      </c>
      <c r="R61" s="685">
        <f ca="1">R46+R52+R56</f>
        <v>158973.64929447611</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0.20783890489095397</v>
      </c>
      <c r="D63" s="731">
        <f t="shared" ca="1" si="9"/>
        <v>0.23764705882352946</v>
      </c>
      <c r="E63" s="927">
        <f t="shared" ca="1" si="9"/>
        <v>0.20199999999999999</v>
      </c>
      <c r="F63" s="731">
        <f t="shared" si="9"/>
        <v>0.22700000000000001</v>
      </c>
      <c r="G63" s="731">
        <f t="shared" ca="1" si="9"/>
        <v>0.26700000000000002</v>
      </c>
      <c r="H63" s="731">
        <f t="shared" si="9"/>
        <v>0.26700000000000007</v>
      </c>
      <c r="I63" s="731">
        <f t="shared" si="9"/>
        <v>0.24900000000000003</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6901.6716066638737</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360</v>
      </c>
      <c r="D76" s="910">
        <f>'lokale energieproductie'!C8</f>
        <v>423.52941176470591</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85.552941176470597</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6901.6716066638737</v>
      </c>
      <c r="C78" s="703">
        <f>SUM(C72:C77)</f>
        <v>360</v>
      </c>
      <c r="D78" s="704">
        <f t="shared" ref="D78:H78" si="10">SUM(D76:D77)</f>
        <v>423.52941176470591</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85.552941176470597</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514.28571428571433</v>
      </c>
      <c r="D87" s="727">
        <f>'lokale energieproductie'!C17</f>
        <v>605.04201680672281</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122.21848739495802</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514.28571428571433</v>
      </c>
      <c r="D90" s="703">
        <f t="shared" ref="D90:H90" si="12">SUM(D87:D89)</f>
        <v>605.04201680672281</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122.21848739495802</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22955.416090328101</v>
      </c>
      <c r="C4" s="444">
        <f>huishoudens!C8</f>
        <v>0</v>
      </c>
      <c r="D4" s="444">
        <f>huishoudens!D8</f>
        <v>22491.283299759998</v>
      </c>
      <c r="E4" s="444">
        <f>huishoudens!E8</f>
        <v>2084.4933218408605</v>
      </c>
      <c r="F4" s="444">
        <f>huishoudens!F8</f>
        <v>40114.610926383612</v>
      </c>
      <c r="G4" s="444">
        <f>huishoudens!G8</f>
        <v>0</v>
      </c>
      <c r="H4" s="444">
        <f>huishoudens!H8</f>
        <v>0</v>
      </c>
      <c r="I4" s="444">
        <f>huishoudens!I8</f>
        <v>0</v>
      </c>
      <c r="J4" s="444">
        <f>huishoudens!J8</f>
        <v>205.27073376827803</v>
      </c>
      <c r="K4" s="444">
        <f>huishoudens!K8</f>
        <v>0</v>
      </c>
      <c r="L4" s="444">
        <f>huishoudens!L8</f>
        <v>0</v>
      </c>
      <c r="M4" s="444">
        <f>huishoudens!M8</f>
        <v>0</v>
      </c>
      <c r="N4" s="444">
        <f>huishoudens!N8</f>
        <v>7403.1275576710414</v>
      </c>
      <c r="O4" s="444">
        <f>huishoudens!O8</f>
        <v>392.82372743863232</v>
      </c>
      <c r="P4" s="445">
        <f>huishoudens!P8</f>
        <v>653.1054770764714</v>
      </c>
      <c r="Q4" s="446">
        <f>SUM(B4:P4)</f>
        <v>96300.131134267009</v>
      </c>
    </row>
    <row r="5" spans="1:17">
      <c r="A5" s="443" t="s">
        <v>149</v>
      </c>
      <c r="B5" s="444">
        <f ca="1">tertiair!B16</f>
        <v>34903.849394999997</v>
      </c>
      <c r="C5" s="444">
        <f ca="1">tertiair!C16</f>
        <v>514.28571428571433</v>
      </c>
      <c r="D5" s="444">
        <f ca="1">tertiair!D16</f>
        <v>17468.428905438574</v>
      </c>
      <c r="E5" s="444">
        <f>tertiair!E16</f>
        <v>89.739866375735545</v>
      </c>
      <c r="F5" s="444">
        <f ca="1">tertiair!F16</f>
        <v>6531.1600948825517</v>
      </c>
      <c r="G5" s="444">
        <f>tertiair!G16</f>
        <v>0</v>
      </c>
      <c r="H5" s="444">
        <f>tertiair!H16</f>
        <v>0</v>
      </c>
      <c r="I5" s="444">
        <f>tertiair!I16</f>
        <v>0</v>
      </c>
      <c r="J5" s="444">
        <f>tertiair!J16</f>
        <v>4.7034544217653615E-2</v>
      </c>
      <c r="K5" s="444">
        <f>tertiair!K16</f>
        <v>0</v>
      </c>
      <c r="L5" s="444">
        <f ca="1">tertiair!L16</f>
        <v>0</v>
      </c>
      <c r="M5" s="444">
        <f>tertiair!M16</f>
        <v>0</v>
      </c>
      <c r="N5" s="444">
        <f ca="1">tertiair!N16</f>
        <v>1759.8615001873914</v>
      </c>
      <c r="O5" s="444">
        <f>tertiair!O16</f>
        <v>4.8972607658411542</v>
      </c>
      <c r="P5" s="445">
        <f>tertiair!P16</f>
        <v>105.07827661299004</v>
      </c>
      <c r="Q5" s="443">
        <f t="shared" ref="Q5:Q14" ca="1" si="0">SUM(B5:P5)</f>
        <v>61377.348048093016</v>
      </c>
    </row>
    <row r="6" spans="1:17">
      <c r="A6" s="443" t="s">
        <v>187</v>
      </c>
      <c r="B6" s="444">
        <f>'openbare verlichting'!B8</f>
        <v>994.71100000000001</v>
      </c>
      <c r="C6" s="444"/>
      <c r="D6" s="444"/>
      <c r="E6" s="444"/>
      <c r="F6" s="444"/>
      <c r="G6" s="444"/>
      <c r="H6" s="444"/>
      <c r="I6" s="444"/>
      <c r="J6" s="444"/>
      <c r="K6" s="444"/>
      <c r="L6" s="444"/>
      <c r="M6" s="444"/>
      <c r="N6" s="444"/>
      <c r="O6" s="444"/>
      <c r="P6" s="445"/>
      <c r="Q6" s="443">
        <f t="shared" si="0"/>
        <v>994.71100000000001</v>
      </c>
    </row>
    <row r="7" spans="1:17">
      <c r="A7" s="443" t="s">
        <v>105</v>
      </c>
      <c r="B7" s="444">
        <f>landbouw!B8</f>
        <v>1646.0567349999999</v>
      </c>
      <c r="C7" s="444">
        <f>landbouw!C8</f>
        <v>0</v>
      </c>
      <c r="D7" s="444">
        <f>landbouw!D8</f>
        <v>1398.9552123579999</v>
      </c>
      <c r="E7" s="444">
        <f>landbouw!E8</f>
        <v>66.873441489214443</v>
      </c>
      <c r="F7" s="444">
        <f>landbouw!F8</f>
        <v>5822.6786425296204</v>
      </c>
      <c r="G7" s="444">
        <f>landbouw!G8</f>
        <v>0</v>
      </c>
      <c r="H7" s="444">
        <f>landbouw!H8</f>
        <v>0</v>
      </c>
      <c r="I7" s="444">
        <f>landbouw!I8</f>
        <v>0</v>
      </c>
      <c r="J7" s="444">
        <f>landbouw!J8</f>
        <v>467.67883922382134</v>
      </c>
      <c r="K7" s="444">
        <f>landbouw!K8</f>
        <v>0</v>
      </c>
      <c r="L7" s="444">
        <f>landbouw!L8</f>
        <v>0</v>
      </c>
      <c r="M7" s="444">
        <f>landbouw!M8</f>
        <v>0</v>
      </c>
      <c r="N7" s="444">
        <f>landbouw!N8</f>
        <v>0</v>
      </c>
      <c r="O7" s="444">
        <f>landbouw!O8</f>
        <v>0</v>
      </c>
      <c r="P7" s="445">
        <f>landbouw!P8</f>
        <v>0</v>
      </c>
      <c r="Q7" s="443">
        <f t="shared" si="0"/>
        <v>9402.2428706006558</v>
      </c>
    </row>
    <row r="8" spans="1:17">
      <c r="A8" s="443" t="s">
        <v>587</v>
      </c>
      <c r="B8" s="444">
        <f>industrie!B18</f>
        <v>54069.369815999999</v>
      </c>
      <c r="C8" s="444">
        <f>industrie!C18</f>
        <v>0</v>
      </c>
      <c r="D8" s="444">
        <f>industrie!D18</f>
        <v>49961.923625459996</v>
      </c>
      <c r="E8" s="444">
        <f>industrie!E18</f>
        <v>1886.6858753670579</v>
      </c>
      <c r="F8" s="444">
        <f>industrie!F18</f>
        <v>13529.385930409328</v>
      </c>
      <c r="G8" s="444">
        <f>industrie!G18</f>
        <v>0</v>
      </c>
      <c r="H8" s="444">
        <f>industrie!H18</f>
        <v>0</v>
      </c>
      <c r="I8" s="444">
        <f>industrie!I18</f>
        <v>0</v>
      </c>
      <c r="J8" s="444">
        <f>industrie!J18</f>
        <v>149.29159310613989</v>
      </c>
      <c r="K8" s="444">
        <f>industrie!K18</f>
        <v>0</v>
      </c>
      <c r="L8" s="444">
        <f>industrie!L18</f>
        <v>0</v>
      </c>
      <c r="M8" s="444">
        <f>industrie!M18</f>
        <v>0</v>
      </c>
      <c r="N8" s="444">
        <f>industrie!N18</f>
        <v>2137.7254468273622</v>
      </c>
      <c r="O8" s="444">
        <f>industrie!O18</f>
        <v>0</v>
      </c>
      <c r="P8" s="445">
        <f>industrie!P18</f>
        <v>0</v>
      </c>
      <c r="Q8" s="443">
        <f t="shared" si="0"/>
        <v>121734.38228716989</v>
      </c>
    </row>
    <row r="9" spans="1:17" s="449" customFormat="1">
      <c r="A9" s="447" t="s">
        <v>536</v>
      </c>
      <c r="B9" s="448">
        <f>transport!B14</f>
        <v>334.40260903132275</v>
      </c>
      <c r="C9" s="448">
        <f>transport!C14</f>
        <v>0</v>
      </c>
      <c r="D9" s="448">
        <f>transport!D14</f>
        <v>499.33426186428073</v>
      </c>
      <c r="E9" s="448">
        <f>transport!E14</f>
        <v>491.50470472962706</v>
      </c>
      <c r="F9" s="448">
        <f>transport!F14</f>
        <v>0</v>
      </c>
      <c r="G9" s="448">
        <f>transport!G14</f>
        <v>317325.35709762602</v>
      </c>
      <c r="H9" s="448">
        <f>transport!H14</f>
        <v>49423.982844363185</v>
      </c>
      <c r="I9" s="448">
        <f>transport!I14</f>
        <v>0</v>
      </c>
      <c r="J9" s="448">
        <f>transport!J14</f>
        <v>0</v>
      </c>
      <c r="K9" s="448">
        <f>transport!K14</f>
        <v>0</v>
      </c>
      <c r="L9" s="448">
        <f>transport!L14</f>
        <v>0</v>
      </c>
      <c r="M9" s="448">
        <f>transport!M14</f>
        <v>21563.545112782373</v>
      </c>
      <c r="N9" s="448">
        <f>transport!N14</f>
        <v>0</v>
      </c>
      <c r="O9" s="448">
        <f>transport!O14</f>
        <v>0</v>
      </c>
      <c r="P9" s="448">
        <f>transport!P14</f>
        <v>0</v>
      </c>
      <c r="Q9" s="447">
        <f>SUM(B9:P9)</f>
        <v>389638.12663039687</v>
      </c>
    </row>
    <row r="10" spans="1:17">
      <c r="A10" s="443" t="s">
        <v>526</v>
      </c>
      <c r="B10" s="444">
        <f>transport!B54</f>
        <v>10.236534681490909</v>
      </c>
      <c r="C10" s="444">
        <f>transport!C54</f>
        <v>0</v>
      </c>
      <c r="D10" s="444">
        <f>transport!D54</f>
        <v>0</v>
      </c>
      <c r="E10" s="444">
        <f>transport!E54</f>
        <v>0</v>
      </c>
      <c r="F10" s="444">
        <f>transport!F54</f>
        <v>0</v>
      </c>
      <c r="G10" s="444">
        <f>transport!G54</f>
        <v>741.65236611415003</v>
      </c>
      <c r="H10" s="444">
        <f>transport!H54</f>
        <v>0</v>
      </c>
      <c r="I10" s="444">
        <f>transport!I54</f>
        <v>0</v>
      </c>
      <c r="J10" s="444">
        <f>transport!J54</f>
        <v>0</v>
      </c>
      <c r="K10" s="444">
        <f>transport!K54</f>
        <v>0</v>
      </c>
      <c r="L10" s="444">
        <f>transport!L54</f>
        <v>0</v>
      </c>
      <c r="M10" s="444">
        <f>transport!M54</f>
        <v>41.950066492907894</v>
      </c>
      <c r="N10" s="444">
        <f>transport!N54</f>
        <v>0</v>
      </c>
      <c r="O10" s="444">
        <f>transport!O54</f>
        <v>0</v>
      </c>
      <c r="P10" s="445">
        <f>transport!P54</f>
        <v>0</v>
      </c>
      <c r="Q10" s="443">
        <f t="shared" si="0"/>
        <v>793.83896728854882</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522.89306800000008</v>
      </c>
      <c r="C14" s="451"/>
      <c r="D14" s="451">
        <f>'SEAP template'!E25</f>
        <v>593.880402</v>
      </c>
      <c r="E14" s="451"/>
      <c r="F14" s="451"/>
      <c r="G14" s="451"/>
      <c r="H14" s="451"/>
      <c r="I14" s="451"/>
      <c r="J14" s="451"/>
      <c r="K14" s="451"/>
      <c r="L14" s="451"/>
      <c r="M14" s="451"/>
      <c r="N14" s="451"/>
      <c r="O14" s="451"/>
      <c r="P14" s="452"/>
      <c r="Q14" s="443">
        <f t="shared" si="0"/>
        <v>1116.7734700000001</v>
      </c>
    </row>
    <row r="15" spans="1:17" s="455" customFormat="1">
      <c r="A15" s="453" t="s">
        <v>530</v>
      </c>
      <c r="B15" s="454">
        <f ca="1">SUM(B4:B14)</f>
        <v>115436.93524804091</v>
      </c>
      <c r="C15" s="454">
        <f t="shared" ref="C15:Q15" ca="1" si="1">SUM(C4:C14)</f>
        <v>514.28571428571433</v>
      </c>
      <c r="D15" s="454">
        <f t="shared" ca="1" si="1"/>
        <v>92413.805706880841</v>
      </c>
      <c r="E15" s="454">
        <f t="shared" si="1"/>
        <v>4619.2972098024948</v>
      </c>
      <c r="F15" s="454">
        <f t="shared" ca="1" si="1"/>
        <v>65997.835594205113</v>
      </c>
      <c r="G15" s="454">
        <f t="shared" si="1"/>
        <v>318067.00946374016</v>
      </c>
      <c r="H15" s="454">
        <f t="shared" si="1"/>
        <v>49423.982844363185</v>
      </c>
      <c r="I15" s="454">
        <f t="shared" si="1"/>
        <v>0</v>
      </c>
      <c r="J15" s="454">
        <f t="shared" si="1"/>
        <v>822.2882006424569</v>
      </c>
      <c r="K15" s="454">
        <f t="shared" si="1"/>
        <v>0</v>
      </c>
      <c r="L15" s="454">
        <f t="shared" ca="1" si="1"/>
        <v>0</v>
      </c>
      <c r="M15" s="454">
        <f t="shared" si="1"/>
        <v>21605.49517927528</v>
      </c>
      <c r="N15" s="454">
        <f t="shared" ca="1" si="1"/>
        <v>11300.714504685795</v>
      </c>
      <c r="O15" s="454">
        <f t="shared" si="1"/>
        <v>397.72098820447349</v>
      </c>
      <c r="P15" s="454">
        <f t="shared" si="1"/>
        <v>758.18375368946147</v>
      </c>
      <c r="Q15" s="454">
        <f t="shared" ca="1" si="1"/>
        <v>681357.55440781591</v>
      </c>
    </row>
    <row r="17" spans="1:17">
      <c r="A17" s="456" t="s">
        <v>531</v>
      </c>
      <c r="B17" s="736">
        <f ca="1">huishoudens!B10</f>
        <v>0.20783890489095402</v>
      </c>
      <c r="C17" s="736">
        <f ca="1">huishoudens!C10</f>
        <v>0.23764705882352946</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4771.0285415299777</v>
      </c>
      <c r="C22" s="444">
        <f t="shared" ref="C22:C32" ca="1" si="3">C4*$C$17</f>
        <v>0</v>
      </c>
      <c r="D22" s="444">
        <f t="shared" ref="D22:D32" si="4">D4*$D$17</f>
        <v>4543.23922655152</v>
      </c>
      <c r="E22" s="444">
        <f t="shared" ref="E22:E32" si="5">E4*$E$17</f>
        <v>473.17998405787534</v>
      </c>
      <c r="F22" s="444">
        <f t="shared" ref="F22:F32" si="6">F4*$F$17</f>
        <v>10710.601117344424</v>
      </c>
      <c r="G22" s="444">
        <f t="shared" ref="G22:G32" si="7">G4*$G$17</f>
        <v>0</v>
      </c>
      <c r="H22" s="444">
        <f t="shared" ref="H22:H32" si="8">H4*$H$17</f>
        <v>0</v>
      </c>
      <c r="I22" s="444">
        <f t="shared" ref="I22:I32" si="9">I4*$I$17</f>
        <v>0</v>
      </c>
      <c r="J22" s="444">
        <f t="shared" ref="J22:J32" si="10">J4*$J$17</f>
        <v>72.665839753970417</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20570.714709237767</v>
      </c>
    </row>
    <row r="23" spans="1:17">
      <c r="A23" s="443" t="s">
        <v>149</v>
      </c>
      <c r="B23" s="444">
        <f t="shared" ca="1" si="2"/>
        <v>7254.3778347355874</v>
      </c>
      <c r="C23" s="444">
        <f t="shared" ca="1" si="3"/>
        <v>122.21848739495802</v>
      </c>
      <c r="D23" s="444">
        <f t="shared" ca="1" si="4"/>
        <v>3528.622638898592</v>
      </c>
      <c r="E23" s="444">
        <f t="shared" si="5"/>
        <v>20.370949667291971</v>
      </c>
      <c r="F23" s="444">
        <f t="shared" ca="1" si="6"/>
        <v>1743.8197453336413</v>
      </c>
      <c r="G23" s="444">
        <f t="shared" si="7"/>
        <v>0</v>
      </c>
      <c r="H23" s="444">
        <f t="shared" si="8"/>
        <v>0</v>
      </c>
      <c r="I23" s="444">
        <f t="shared" si="9"/>
        <v>0</v>
      </c>
      <c r="J23" s="444">
        <f t="shared" si="10"/>
        <v>1.6650228653049378E-2</v>
      </c>
      <c r="K23" s="444">
        <f t="shared" si="11"/>
        <v>0</v>
      </c>
      <c r="L23" s="444">
        <f t="shared" ca="1" si="12"/>
        <v>0</v>
      </c>
      <c r="M23" s="444">
        <f t="shared" si="13"/>
        <v>0</v>
      </c>
      <c r="N23" s="444">
        <f t="shared" ca="1" si="14"/>
        <v>0</v>
      </c>
      <c r="O23" s="444">
        <f t="shared" si="15"/>
        <v>0</v>
      </c>
      <c r="P23" s="445">
        <f t="shared" si="16"/>
        <v>0</v>
      </c>
      <c r="Q23" s="443">
        <f t="shared" ref="Q23:Q31" ca="1" si="17">SUM(B23:P23)</f>
        <v>12669.426306258725</v>
      </c>
    </row>
    <row r="24" spans="1:17">
      <c r="A24" s="443" t="s">
        <v>187</v>
      </c>
      <c r="B24" s="444">
        <f t="shared" ca="1" si="2"/>
        <v>206.73964492298578</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206.73964492298578</v>
      </c>
    </row>
    <row r="25" spans="1:17">
      <c r="A25" s="443" t="s">
        <v>105</v>
      </c>
      <c r="B25" s="444">
        <f t="shared" ca="1" si="2"/>
        <v>342.11462919077928</v>
      </c>
      <c r="C25" s="444">
        <f t="shared" ca="1" si="3"/>
        <v>0</v>
      </c>
      <c r="D25" s="444">
        <f t="shared" si="4"/>
        <v>282.58895289631602</v>
      </c>
      <c r="E25" s="444">
        <f t="shared" si="5"/>
        <v>15.180271218051679</v>
      </c>
      <c r="F25" s="444">
        <f t="shared" si="6"/>
        <v>1554.6551975554087</v>
      </c>
      <c r="G25" s="444">
        <f t="shared" si="7"/>
        <v>0</v>
      </c>
      <c r="H25" s="444">
        <f t="shared" si="8"/>
        <v>0</v>
      </c>
      <c r="I25" s="444">
        <f t="shared" si="9"/>
        <v>0</v>
      </c>
      <c r="J25" s="444">
        <f t="shared" si="10"/>
        <v>165.55830908523274</v>
      </c>
      <c r="K25" s="444">
        <f t="shared" si="11"/>
        <v>0</v>
      </c>
      <c r="L25" s="444">
        <f t="shared" si="12"/>
        <v>0</v>
      </c>
      <c r="M25" s="444">
        <f t="shared" si="13"/>
        <v>0</v>
      </c>
      <c r="N25" s="444">
        <f t="shared" si="14"/>
        <v>0</v>
      </c>
      <c r="O25" s="444">
        <f t="shared" si="15"/>
        <v>0</v>
      </c>
      <c r="P25" s="445">
        <f t="shared" si="16"/>
        <v>0</v>
      </c>
      <c r="Q25" s="443">
        <f t="shared" ca="1" si="17"/>
        <v>2360.0973599457884</v>
      </c>
    </row>
    <row r="26" spans="1:17">
      <c r="A26" s="443" t="s">
        <v>587</v>
      </c>
      <c r="B26" s="444">
        <f t="shared" ca="1" si="2"/>
        <v>11237.718610701444</v>
      </c>
      <c r="C26" s="444">
        <f t="shared" ca="1" si="3"/>
        <v>0</v>
      </c>
      <c r="D26" s="444">
        <f t="shared" si="4"/>
        <v>10092.308572342919</v>
      </c>
      <c r="E26" s="444">
        <f t="shared" si="5"/>
        <v>428.27769370832215</v>
      </c>
      <c r="F26" s="444">
        <f t="shared" si="6"/>
        <v>3612.3460434192907</v>
      </c>
      <c r="G26" s="444">
        <f t="shared" si="7"/>
        <v>0</v>
      </c>
      <c r="H26" s="444">
        <f t="shared" si="8"/>
        <v>0</v>
      </c>
      <c r="I26" s="444">
        <f t="shared" si="9"/>
        <v>0</v>
      </c>
      <c r="J26" s="444">
        <f t="shared" si="10"/>
        <v>52.849223959573514</v>
      </c>
      <c r="K26" s="444">
        <f t="shared" si="11"/>
        <v>0</v>
      </c>
      <c r="L26" s="444">
        <f t="shared" si="12"/>
        <v>0</v>
      </c>
      <c r="M26" s="444">
        <f t="shared" si="13"/>
        <v>0</v>
      </c>
      <c r="N26" s="444">
        <f t="shared" si="14"/>
        <v>0</v>
      </c>
      <c r="O26" s="444">
        <f t="shared" si="15"/>
        <v>0</v>
      </c>
      <c r="P26" s="445">
        <f t="shared" si="16"/>
        <v>0</v>
      </c>
      <c r="Q26" s="443">
        <f t="shared" ca="1" si="17"/>
        <v>25423.500144131547</v>
      </c>
    </row>
    <row r="27" spans="1:17" s="449" customFormat="1">
      <c r="A27" s="447" t="s">
        <v>536</v>
      </c>
      <c r="B27" s="730">
        <f t="shared" ca="1" si="2"/>
        <v>69.501872053747974</v>
      </c>
      <c r="C27" s="448">
        <f t="shared" ca="1" si="3"/>
        <v>0</v>
      </c>
      <c r="D27" s="448">
        <f t="shared" si="4"/>
        <v>100.86552089658471</v>
      </c>
      <c r="E27" s="448">
        <f t="shared" si="5"/>
        <v>111.57156797362535</v>
      </c>
      <c r="F27" s="448">
        <f t="shared" si="6"/>
        <v>0</v>
      </c>
      <c r="G27" s="448">
        <f t="shared" si="7"/>
        <v>84725.870345066156</v>
      </c>
      <c r="H27" s="448">
        <f t="shared" si="8"/>
        <v>12306.571728246434</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97314.381034236547</v>
      </c>
    </row>
    <row r="28" spans="1:17" ht="16.5" customHeight="1">
      <c r="A28" s="443" t="s">
        <v>526</v>
      </c>
      <c r="B28" s="444">
        <f t="shared" ca="1" si="2"/>
        <v>2.1275501580793414</v>
      </c>
      <c r="C28" s="444">
        <f t="shared" ca="1" si="3"/>
        <v>0</v>
      </c>
      <c r="D28" s="444">
        <f t="shared" si="4"/>
        <v>0</v>
      </c>
      <c r="E28" s="444">
        <f t="shared" si="5"/>
        <v>0</v>
      </c>
      <c r="F28" s="444">
        <f t="shared" si="6"/>
        <v>0</v>
      </c>
      <c r="G28" s="444">
        <f t="shared" si="7"/>
        <v>198.02118175247807</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200.14873191055742</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108.67752262819117</v>
      </c>
      <c r="C32" s="444">
        <f t="shared" ca="1" si="3"/>
        <v>0</v>
      </c>
      <c r="D32" s="444">
        <f t="shared" si="4"/>
        <v>119.963841204</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228.64136383219119</v>
      </c>
    </row>
    <row r="33" spans="1:17" s="455" customFormat="1">
      <c r="A33" s="453" t="s">
        <v>530</v>
      </c>
      <c r="B33" s="454">
        <f ca="1">SUM(B22:B32)</f>
        <v>23992.286205920787</v>
      </c>
      <c r="C33" s="454">
        <f t="shared" ref="C33:Q33" ca="1" si="19">SUM(C22:C32)</f>
        <v>122.21848739495802</v>
      </c>
      <c r="D33" s="454">
        <f t="shared" ca="1" si="19"/>
        <v>18667.588752789932</v>
      </c>
      <c r="E33" s="454">
        <f t="shared" si="19"/>
        <v>1048.5804666251665</v>
      </c>
      <c r="F33" s="454">
        <f t="shared" ca="1" si="19"/>
        <v>17621.422103652763</v>
      </c>
      <c r="G33" s="454">
        <f t="shared" si="19"/>
        <v>84923.891526818639</v>
      </c>
      <c r="H33" s="454">
        <f t="shared" si="19"/>
        <v>12306.571728246434</v>
      </c>
      <c r="I33" s="454">
        <f t="shared" si="19"/>
        <v>0</v>
      </c>
      <c r="J33" s="454">
        <f t="shared" si="19"/>
        <v>291.09002302742971</v>
      </c>
      <c r="K33" s="454">
        <f t="shared" si="19"/>
        <v>0</v>
      </c>
      <c r="L33" s="454">
        <f t="shared" ca="1" si="19"/>
        <v>0</v>
      </c>
      <c r="M33" s="454">
        <f t="shared" si="19"/>
        <v>0</v>
      </c>
      <c r="N33" s="454">
        <f t="shared" ca="1" si="19"/>
        <v>0</v>
      </c>
      <c r="O33" s="454">
        <f t="shared" si="19"/>
        <v>0</v>
      </c>
      <c r="P33" s="454">
        <f t="shared" si="19"/>
        <v>0</v>
      </c>
      <c r="Q33" s="454">
        <f t="shared" ca="1" si="19"/>
        <v>158973.64929447611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6901.6716066638737</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360</v>
      </c>
      <c r="D8" s="979">
        <f>'SEAP template'!D76</f>
        <v>423.52941176470591</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85.552941176470597</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6901.6716066638737</v>
      </c>
      <c r="C10" s="981">
        <f>SUM(C4:C9)</f>
        <v>360</v>
      </c>
      <c r="D10" s="981">
        <f t="shared" ref="D10:H10" si="0">SUM(D8:D9)</f>
        <v>423.52941176470591</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85.552941176470597</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0.20783890489095402</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514.28571428571433</v>
      </c>
      <c r="D17" s="980">
        <f>'SEAP template'!D87</f>
        <v>605.04201680672281</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122.21848739495802</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514.28571428571433</v>
      </c>
      <c r="D20" s="981">
        <f t="shared" ref="D20:H20" si="2">SUM(D17:D19)</f>
        <v>605.04201680672281</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122.21848739495802</v>
      </c>
    </row>
    <row r="21" spans="1:16">
      <c r="B21" s="840"/>
    </row>
    <row r="22" spans="1:16">
      <c r="A22" s="456" t="s">
        <v>754</v>
      </c>
      <c r="B22" s="736" t="s">
        <v>752</v>
      </c>
      <c r="C22" s="736">
        <f ca="1">'EF ele_warmte'!B22</f>
        <v>0.23764705882352946</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0.20783890489095402</v>
      </c>
      <c r="C17" s="492">
        <f ca="1">'EF ele_warmte'!B22</f>
        <v>0.23764705882352946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1</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52.539138306495019</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2022-07-26T10:23:18Z</dcterms:modified>
</cp:coreProperties>
</file>