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3AB3AC9-2CBC-4EED-99DE-825F85D5C2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<sst xmlns="http://schemas.openxmlformats.org/spreadsheetml/2006/main" count="2415" uniqueCount="889">
  <si>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</si>
  <si>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</si>
  <si>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</si>
  <si>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</si>
  <si>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</si>
  <si>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</si>
  <si>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</si>
  <si>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</si>
  <si>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</si>
  <si>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</si>
  <si>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</si>
  <si>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</si>
  <si>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</si>
  <si>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</si>
  <si>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</si>
  <si>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</si>
  <si>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</si>
  <si>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</si>
  <si>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</si>
  <si>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</si>
  <si>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</si>
  <si>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</si>
  <si>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</si>
  <si>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</si>
  <si>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</si>
  <si>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</si>
  <si>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</si>
  <si>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</si>
  <si>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</si>
  <si>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</si>
  <si>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</si>
  <si>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</si>
  <si>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</si>
  <si>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</si>
  <si>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</si>
  <si>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</si>
  <si>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</si>
  <si>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</si>
  <si>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</si>
  <si>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</si>
  <si>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</si>
  <si>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</si>
  <si>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</si>
  <si>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</si>
  <si>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</si>
  <si>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</si>
  <si>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</si>
  <si>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</si>
  <si>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</si>
  <si>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</si>
  <si>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</si>
  <si>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</si>
  <si>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</si>
  <si>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</si>
  <si>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</si>
  <si>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</si>
  <si>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</si>
  <si>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</si>
  <si>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</si>
  <si>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</si>
  <si>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</si>
  <si>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</si>
  <si>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</si>
  <si>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</si>
  <si>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</si>
  <si>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</si>
  <si>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</si>
  <si>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</si>
  <si>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</si>
  <si>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</si>
  <si>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</si>
  <si>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</si>
  <si>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</si>
  <si>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</si>
  <si>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</si>
  <si>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</si>
  <si>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</si>
  <si>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</si>
  <si>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</si>
  <si>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</si>
  <si>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</si>
  <si>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</si>
  <si>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</si>
  <si>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</si>
  <si>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</si>
  <si>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</si>
  <si>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</si>
  <si>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</si>
  <si>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</si>
  <si>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</si>
  <si>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</si>
  <si>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</si>
  <si>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</si>
  <si>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</si>
  <si>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</si>
  <si>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</si>
  <si>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</si>
  <si>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</si>
  <si>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</si>
  <si>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</si>
  <si>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</si>
  <si>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</si>
  <si>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</si>
  <si>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</si>
  <si>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</si>
  <si>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</si>
  <si>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</si>
  <si>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</si>
  <si>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</si>
  <si>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</si>
  <si>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</si>
  <si>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</si>
  <si>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</si>
  <si>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</si>
  <si>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</si>
  <si>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</si>
  <si>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</si>
  <si>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</si>
  <si>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</si>
  <si>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</si>
  <si>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</si>
  <si>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</si>
  <si>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</si>
  <si>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</si>
  <si>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</si>
  <si>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</si>
  <si>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</si>
  <si>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</si>
  <si>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</si>
  <si>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</si>
  <si>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</si>
  <si>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</si>
  <si>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</si>
  <si>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</si>
  <si>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</si>
  <si>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</si>
  <si>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</si>
  <si>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</si>
  <si>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</si>
  <si>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</si>
  <si>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</si>
  <si>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</si>
  <si>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</si>
  <si>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</si>
  <si>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</si>
  <si>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</si>
  <si>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</si>
  <si>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</si>
  <si>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</si>
  <si>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</si>
  <si>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</si>
  <si>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</si>
  <si>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</si>
  <si>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</si>
  <si>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</si>
  <si>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</si>
  <si>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</si>
  <si>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</si>
  <si>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</si>
  <si>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</si>
  <si>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</si>
  <si>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</si>
  <si>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</si>
  <si>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</si>
  <si>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</si>
  <si>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</si>
  <si>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</si>
  <si>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</si>
  <si>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</si>
  <si>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</si>
  <si>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</si>
  <si>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</si>
  <si>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</si>
  <si>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</si>
  <si>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</si>
  <si>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</si>
  <si>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</si>
  <si>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</si>
  <si>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</si>
  <si>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</si>
  <si>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</si>
  <si>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</si>
  <si>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</si>
  <si>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</si>
  <si>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</si>
  <si>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</si>
  <si>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</si>
  <si>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</si>
  <si>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</si>
  <si>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</si>
  <si>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</si>
  <si>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</si>
  <si>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</si>
  <si>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</si>
  <si>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</si>
  <si>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</si>
  <si>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</si>
  <si>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</si>
  <si>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</si>
  <si>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</si>
  <si>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</si>
  <si>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</si>
  <si>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</si>
  <si>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</si>
  <si>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</si>
  <si>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</si>
  <si>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</si>
  <si>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</si>
  <si>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</si>
  <si>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</si>
  <si>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</si>
  <si>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</si>
  <si>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</si>
  <si>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</si>
  <si>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</si>
  <si>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</si>
  <si>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</si>
  <si>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</si>
  <si>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</si>
  <si>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</si>
  <si>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</si>
  <si>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</si>
  <si>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</si>
  <si>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</si>
  <si>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</si>
  <si>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</si>
  <si>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</si>
  <si>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</si>
  <si>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</si>
  <si>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</si>
  <si>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</si>
  <si>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</si>
  <si>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</si>
  <si>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</si>
  <si>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</si>
  <si>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</si>
  <si>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</si>
  <si>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</si>
  <si>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</si>
  <si>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</si>
  <si>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</si>
  <si>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</si>
  <si>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</si>
  <si>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</si>
  <si>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</si>
  <si>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</si>
  <si>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</si>
  <si>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</si>
  <si>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</si>
  <si>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</si>
  <si>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</si>
  <si>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</si>
  <si>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</si>
  <si>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</si>
  <si>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</si>
  <si>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</si>
  <si>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</si>
  <si>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</si>
  <si>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</si>
  <si>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</si>
  <si>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</si>
  <si>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</si>
  <si>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</si>
  <si>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</si>
  <si>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</si>
  <si>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</si>
  <si>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</si>
  <si>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</si>
  <si>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</si>
  <si>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</si>
  <si>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</si>
  <si>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</si>
  <si>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</si>
  <si>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</si>
  <si>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</si>
  <si>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</si>
  <si>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</si>
  <si>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</si>
  <si>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</si>
  <si>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</si>
  <si>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</si>
  <si>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</si>
  <si>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</si>
  <si>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</si>
  <si>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</si>
  <si>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</si>
  <si>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</si>
  <si>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</si>
  <si>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</si>
  <si>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</si>
  <si>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</si>
  <si>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</si>
  <si>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</si>
  <si>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</si>
  <si>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</si>
  <si>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</si>
  <si>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</si>
  <si>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</si>
  <si>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</si>
  <si>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</si>
  <si>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</si>
  <si>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</si>
  <si>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</si>
  <si>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</si>
  <si>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</si>
  <si>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</si>
  <si>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</si>
  <si>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</si>
  <si>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</si>
  <si>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</si>
  <si>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</si>
  <si>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</si>
  <si>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</si>
  <si>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</si>
  <si>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</si>
  <si>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</si>
  <si>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</si>
  <si>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</si>
  <si>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</si>
  <si>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</si>
  <si>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</si>
  <si>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</si>
  <si>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</si>
  <si>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</si>
  <si>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</si>
  <si>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</si>
  <si>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</si>
  <si>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</si>
  <si>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</si>
  <si>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</si>
  <si>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</si>
  <si>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</si>
  <si>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</si>
  <si>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</si>
  <si>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</si>
  <si>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</si>
  <si>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</si>
  <si>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</si>
  <si>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</si>
  <si>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</si>
  <si>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</si>
  <si>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</si>
  <si>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</si>
  <si>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</si>
  <si>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</si>
  <si>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</si>
  <si>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</si>
  <si>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</si>
  <si>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</si>
  <si>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</si>
  <si>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</si>
  <si>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</si>
  <si>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</si>
  <si>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</si>
  <si>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</si>
  <si>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</si>
  <si>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</si>
  <si>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</si>
  <si>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</si>
  <si>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</si>
  <si>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</si>
  <si>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</si>
  <si>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</si>
  <si>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</si>
  <si>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</si>
  <si>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</si>
  <si>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</si>
  <si>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</si>
  <si>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</si>
  <si>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</si>
  <si>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</si>
  <si>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</si>
  <si>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</si>
  <si>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</si>
  <si>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</si>
  <si>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</si>
  <si>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</si>
  <si>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</si>
  <si>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</si>
  <si>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</si>
  <si>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</si>
  <si>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</si>
  <si>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</si>
  <si>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</si>
  <si>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</si>
  <si>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</si>
  <si>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</si>
  <si>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</si>
  <si>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</si>
  <si>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</si>
  <si>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</si>
  <si>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</si>
  <si>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</si>
  <si>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</si>
  <si>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</si>
  <si>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</si>
  <si>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</si>
  <si>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</si>
  <si>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</si>
  <si>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</si>
  <si>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</si>
  <si>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</si>
  <si>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</si>
  <si>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</si>
  <si>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</si>
  <si>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</si>
  <si>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</si>
  <si>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</si>
  <si>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</si>
  <si>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</si>
  <si>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</si>
  <si>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</si>
  <si>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</si>
  <si>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</si>
  <si>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</si>
  <si>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</si>
  <si>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</si>
  <si>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</si>
  <si>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</si>
  <si>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</si>
  <si>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</si>
  <si>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</si>
  <si>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</si>
  <si>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</si>
  <si>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</si>
  <si>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</si>
  <si>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</si>
  <si>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</si>
  <si>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</si>
  <si>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</si>
  <si>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</si>
  <si>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</si>
  <si>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</si>
  <si>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</si>
  <si>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</si>
  <si>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</si>
  <si>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</si>
  <si>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</si>
  <si>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</si>
  <si>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</si>
  <si>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</si>
  <si>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</si>
  <si>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</si>
  <si>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</si>
  <si>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</si>
  <si>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</si>
  <si>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</si>
  <si>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</si>
  <si>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</si>
  <si>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</si>
  <si>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</si>
  <si>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</si>
  <si>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</si>
  <si>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</si>
  <si>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</si>
  <si>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</si>
  <si>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</si>
  <si>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</si>
  <si>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</si>
  <si>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</si>
  <si>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</si>
  <si>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</si>
  <si>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</si>
  <si>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</si>
  <si>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</si>
  <si>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</si>
  <si>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</si>
  <si>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</si>
  <si>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</si>
  <si>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</si>
  <si>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</si>
  <si>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</si>
  <si>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</si>
  <si>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</si>
  <si>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</si>
  <si>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</si>
  <si>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</si>
  <si>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</si>
  <si>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</si>
  <si>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</si>
  <si>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</si>
  <si>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</si>
  <si>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</si>
  <si>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</si>
  <si>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</si>
  <si>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</si>
  <si>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</si>
  <si>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</si>
  <si>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</si>
  <si>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</si>
  <si>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</si>
  <si>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</si>
  <si>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</si>
  <si>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</si>
  <si>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</si>
  <si>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</si>
  <si>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</si>
  <si>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</si>
  <si>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</si>
  <si>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</si>
  <si>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</si>
  <si>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</si>
  <si>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</si>
  <si>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</si>
  <si>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</si>
  <si>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</si>
  <si>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</si>
  <si>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</si>
  <si>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</si>
  <si>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</si>
  <si>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</si>
  <si>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</si>
  <si>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</si>
  <si>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</si>
  <si>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</si>
  <si>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</si>
  <si>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</si>
  <si>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</si>
  <si>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</si>
  <si>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</si>
  <si>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</si>
  <si>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</si>
  <si>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</si>
  <si>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</si>
  <si>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</si>
  <si>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</si>
  <si>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</si>
  <si>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</si>
  <si>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</si>
  <si>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</si>
  <si>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</si>
  <si>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</si>
  <si>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</si>
  <si>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</si>
  <si>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</si>
  <si>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</si>
  <si>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</si>
  <si>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</si>
  <si>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</si>
  <si>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</si>
  <si>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</si>
  <si>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</si>
  <si>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</si>
  <si>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</si>
  <si>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</si>
  <si>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</si>
  <si>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</si>
  <si>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</si>
  <si>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</si>
  <si>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</si>
  <si>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</si>
  <si>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</si>
  <si>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</si>
  <si>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</si>
  <si>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</si>
  <si>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</si>
  <si>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</si>
  <si>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</si>
  <si>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</si>
  <si>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</si>
  <si>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</si>
  <si>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</si>
  <si>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</si>
  <si>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</si>
  <si>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</si>
  <si>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</si>
  <si>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</si>
  <si>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</si>
  <si>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</si>
  <si>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</si>
  <si>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</si>
  <si>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</si>
  <si>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</si>
  <si>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</si>
  <si>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</si>
  <si>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</si>
  <si>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</si>
  <si>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</si>
  <si>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</si>
  <si>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</si>
  <si>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</si>
  <si>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</si>
  <si>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</si>
  <si>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</si>
  <si>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</si>
  <si>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</si>
  <si>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</si>
  <si>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</si>
  <si>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</si>
  <si>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</si>
  <si>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</si>
  <si>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</si>
  <si>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</si>
  <si>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</si>
  <si>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</si>
  <si>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</si>
  <si>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</si>
  <si>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</si>
  <si>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</si>
  <si>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</si>
  <si>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</si>
  <si>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</si>
  <si>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</si>
  <si>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</si>
  <si>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</si>
  <si>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</si>
  <si>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</si>
  <si>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</si>
  <si>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</si>
  <si>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</si>
  <si>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</si>
  <si>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</si>
  <si>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</si>
  <si>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</si>
  <si>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</si>
  <si>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</si>
  <si>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</si>
  <si>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</si>
  <si>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</si>
  <si>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</si>
  <si>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</si>
  <si>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</si>
  <si>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</si>
  <si>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</si>
  <si>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</si>
  <si>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</si>
  <si>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</si>
  <si>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</si>
  <si>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</si>
  <si>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</si>
  <si>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</si>
  <si>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</si>
  <si>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</si>
  <si>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</si>
  <si>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</si>
  <si>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</si>
  <si>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</si>
  <si>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</si>
  <si>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</si>
  <si>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</si>
  <si>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</si>
  <si>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</si>
  <si>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</si>
  <si>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</si>
  <si>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</si>
  <si>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</si>
  <si>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</si>
  <si>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</si>
  <si>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</si>
  <si>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</si>
  <si>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</si>
  <si>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</si>
  <si>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</si>
  <si>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</si>
  <si>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</si>
  <si>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</si>
  <si>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</si>
  <si>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</si>
  <si>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</si>
  <si>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</si>
  <si>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</si>
  <si>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</si>
  <si>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</si>
  <si>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</si>
  <si>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</si>
  <si>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</si>
  <si>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</si>
  <si>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</si>
  <si>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</si>
  <si>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</si>
  <si>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</si>
  <si>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</si>
  <si>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</si>
  <si>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</si>
  <si>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</si>
  <si>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</si>
  <si>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</si>
  <si>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</si>
  <si>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</si>
  <si>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</si>
  <si>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</si>
  <si>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</si>
  <si>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</si>
  <si>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</si>
  <si>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</si>
  <si>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</si>
  <si>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</si>
  <si>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</si>
  <si>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</si>
  <si>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</si>
  <si>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</si>
  <si>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</si>
  <si>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</si>
  <si>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</si>
  <si>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</si>
  <si>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</si>
  <si>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</si>
  <si>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</si>
  <si>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</si>
  <si>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</si>
  <si>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</si>
  <si>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</si>
  <si>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</si>
  <si>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</si>
  <si>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</si>
  <si>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</si>
  <si>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</si>
  <si>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</si>
  <si>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</si>
  <si>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</si>
  <si>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</si>
  <si>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</si>
  <si>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</si>
  <si>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</si>
  <si>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</si>
  <si>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</si>
  <si>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</si>
  <si>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</si>
  <si>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</si>
  <si>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</si>
  <si>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</si>
  <si>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</si>
  <si>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</si>
  <si>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</si>
  <si>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</si>
  <si>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</si>
  <si>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</si>
  <si>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</si>
  <si>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</si>
  <si>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</si>
  <si>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</si>
  <si>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</si>
  <si>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</si>
  <si>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</si>
  <si>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</si>
  <si>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</si>
  <si>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</si>
  <si>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</si>
  <si>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</si>
  <si>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</si>
  <si>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</si>
  <si>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</si>
  <si>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</si>
  <si>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</si>
  <si>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</si>
  <si>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</si>
  <si>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</si>
  <si>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</si>
  <si>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</si>
  <si>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</si>
  <si>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</si>
  <si>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</si>
  <si>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</si>
  <si>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</si>
  <si>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</si>
  <si>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</si>
  <si>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</si>
  <si>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</si>
  <si>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</si>
  <si>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</si>
  <si>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</si>
  <si>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</si>
  <si>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</si>
  <si>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</si>
  <si>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</si>
  <si>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</si>
  <si>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</si>
  <si>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</si>
  <si>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</si>
  <si>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</si>
  <si>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</si>
  <si>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</si>
  <si>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</si>
  <si>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</si>
  <si>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</si>
  <si>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</si>
  <si>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</si>
  <si>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</si>
  <si>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</si>
  <si>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</si>
  <si>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</si>
  <si>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</si>
  <si>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</si>
  <si>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</si>
  <si>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</si>
  <si>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</si>
  <si>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</si>
  <si>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</si>
  <si>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</si>
  <si>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</si>
  <si>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</si>
  <si>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</si>
  <si>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</si>
  <si>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</si>
  <si>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</si>
  <si>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</si>
  <si>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</si>
  <si>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</si>
  <si>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</si>
  <si>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</si>
  <si>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</si>
  <si>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</si>
  <si>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</si>
  <si>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</si>
  <si>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</si>
  <si>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</si>
  <si>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</si>
  <si>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</si>
  <si>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</si>
  <si>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</si>
  <si>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</si>
  <si>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</si>
  <si>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</si>
  <si>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</si>
  <si>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</si>
  <si>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</si>
  <si>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</si>
  <si>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</si>
  <si>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</si>
  <si>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</si>
  <si>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</si>
  <si>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</si>
  <si>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</si>
  <si>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</si>
  <si>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</si>
  <si>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</si>
  <si>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</si>
  <si>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</si>
  <si>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</si>
  <si>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</si>
  <si>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</si>
  <si>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</si>
  <si>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</si>
  <si>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</si>
  <si>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</si>
  <si>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</si>
  <si>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</si>
  <si>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</si>
  <si>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</si>
  <si>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</si>
  <si>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</si>
  <si>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</si>
  <si>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</si>
  <si>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</si>
  <si>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</si>
  <si>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</si>
  <si>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</si>
  <si>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</si>
  <si>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</si>
  <si>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</si>
  <si>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</si>
  <si>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</si>
  <si>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</si>
  <si>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</si>
  <si>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</si>
  <si>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</si>
  <si>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</si>
  <si>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</si>
  <si>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</si>
  <si>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</si>
  <si>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</si>
  <si>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</si>
  <si>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</si>
  <si>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</si>
  <si>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</si>
  <si>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</si>
  <si>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</si>
  <si>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</si>
  <si>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</si>
  <si>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</si>
  <si>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</si>
  <si>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</si>
  <si>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</si>
  <si>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</si>
  <si>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</si>
  <si>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</si>
  <si>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</si>
  <si>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</si>
  <si>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</si>
  <si>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</si>
  <si>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43005</t>
  </si>
  <si>
    <t>EEKLO</t>
  </si>
  <si>
    <t>vloeibaar gas (MWh)</t>
  </si>
  <si>
    <t>Biogas - hoofdzakelijk agrarische stromen</t>
  </si>
  <si>
    <t>WKK interne verbrandinsgmotor (gas)</t>
  </si>
  <si>
    <t>IMEWO</t>
  </si>
  <si>
    <t>biomassa uit land- of bosbouw</t>
  </si>
  <si>
    <t>niet WKK interne verbrandingsmotor (vloeibaar)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</si>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</sst>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76C6CB9B-601B-4F29-A960-31ABD9798EC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171467.67606320986</c:v>
                </c:pt>
                <c:pt idx="1">
                  <c:v>107451.21997161415</c:v>
                </c:pt>
                <c:pt idx="2">
                  <c:v>1453.4739999999999</c:v>
                </c:pt>
                <c:pt idx="3">
                  <c:v>11308.85817646541</c:v>
                </c:pt>
                <c:pt idx="4">
                  <c:v>98691.738583315935</c:v>
                </c:pt>
                <c:pt idx="5">
                  <c:v>134361.80508800352</c:v>
                </c:pt>
                <c:pt idx="6">
                  <c:v>1355.0564913979483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171467.67606320986</c:v>
                </c:pt>
                <c:pt idx="1">
                  <c:v>107451.21997161415</c:v>
                </c:pt>
                <c:pt idx="2">
                  <c:v>1453.4739999999999</c:v>
                </c:pt>
                <c:pt idx="3">
                  <c:v>11308.85817646541</c:v>
                </c:pt>
                <c:pt idx="4">
                  <c:v>98691.738583315935</c:v>
                </c:pt>
                <c:pt idx="5">
                  <c:v>134361.80508800352</c:v>
                </c:pt>
                <c:pt idx="6">
                  <c:v>1355.0564913979483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33297.693965656203</c:v>
                </c:pt>
                <c:pt idx="1">
                  <c:v>20459.091303807658</c:v>
                </c:pt>
                <c:pt idx="2">
                  <c:v>250.45189165410545</c:v>
                </c:pt>
                <c:pt idx="3">
                  <c:v>2823.2982109824429</c:v>
                </c:pt>
                <c:pt idx="4">
                  <c:v>18350.252821085563</c:v>
                </c:pt>
                <c:pt idx="5">
                  <c:v>33498.715763084889</c:v>
                </c:pt>
                <c:pt idx="6">
                  <c:v>341.02640627836018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33297.693965656203</c:v>
                </c:pt>
                <c:pt idx="1">
                  <c:v>20459.091303807658</c:v>
                </c:pt>
                <c:pt idx="2">
                  <c:v>250.45189165410545</c:v>
                </c:pt>
                <c:pt idx="3">
                  <c:v>2823.2982109824429</c:v>
                </c:pt>
                <c:pt idx="4">
                  <c:v>18350.252821085563</c:v>
                </c:pt>
                <c:pt idx="5">
                  <c:v>33498.715763084889</c:v>
                </c:pt>
                <c:pt idx="6">
                  <c:v>341.02640627836018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43005</v>
      </c>
      <c r="B6" s="382"/>
      <c r="C6" s="383"/>
    </row>
    <row r="7" spans="1:7" s="380" customFormat="1" ht="15.75" customHeight="1">
      <c r="A7" s="384" t="str">
        <f>txtMunicipality</f>
        <v>EEKLO</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0.17231260528506562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0.17231260528506562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9445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1613.98</v>
      </c>
      <c r="C14" s="324"/>
      <c r="D14" s="324"/>
      <c r="E14" s="324"/>
      <c r="F14" s="324"/>
    </row>
    <row r="15" spans="1:6">
      <c r="A15" s="1257" t="s">
        <v>177</v>
      </c>
      <c r="B15" s="1258">
        <v>38</v>
      </c>
      <c r="C15" s="324"/>
      <c r="D15" s="324"/>
      <c r="E15" s="324"/>
      <c r="F15" s="324"/>
    </row>
    <row r="16" spans="1:6">
      <c r="A16" s="1257" t="s">
        <v>6</v>
      </c>
      <c r="B16" s="1258">
        <v>1354</v>
      </c>
      <c r="C16" s="324"/>
      <c r="D16" s="324"/>
      <c r="E16" s="324"/>
      <c r="F16" s="324"/>
    </row>
    <row r="17" spans="1:6">
      <c r="A17" s="1257" t="s">
        <v>7</v>
      </c>
      <c r="B17" s="1258">
        <v>395</v>
      </c>
      <c r="C17" s="324"/>
      <c r="D17" s="324"/>
      <c r="E17" s="324"/>
      <c r="F17" s="324"/>
    </row>
    <row r="18" spans="1:6">
      <c r="A18" s="1257" t="s">
        <v>8</v>
      </c>
      <c r="B18" s="1258">
        <v>968</v>
      </c>
      <c r="C18" s="324"/>
      <c r="D18" s="324"/>
      <c r="E18" s="324"/>
      <c r="F18" s="324"/>
    </row>
    <row r="19" spans="1:6">
      <c r="A19" s="1257" t="s">
        <v>9</v>
      </c>
      <c r="B19" s="1258">
        <v>1081</v>
      </c>
      <c r="C19" s="324"/>
      <c r="D19" s="324"/>
      <c r="E19" s="324"/>
      <c r="F19" s="324"/>
    </row>
    <row r="20" spans="1:6">
      <c r="A20" s="1257" t="s">
        <v>10</v>
      </c>
      <c r="B20" s="1258">
        <v>558</v>
      </c>
      <c r="C20" s="324"/>
      <c r="D20" s="324"/>
      <c r="E20" s="324"/>
      <c r="F20" s="324"/>
    </row>
    <row r="21" spans="1:6">
      <c r="A21" s="1257" t="s">
        <v>11</v>
      </c>
      <c r="B21" s="1258">
        <v>10761</v>
      </c>
      <c r="C21" s="324"/>
      <c r="D21" s="324"/>
      <c r="E21" s="324"/>
      <c r="F21" s="324"/>
    </row>
    <row r="22" spans="1:6">
      <c r="A22" s="1257" t="s">
        <v>12</v>
      </c>
      <c r="B22" s="1258">
        <v>22585</v>
      </c>
      <c r="C22" s="324"/>
      <c r="D22" s="324"/>
      <c r="E22" s="324"/>
      <c r="F22" s="324"/>
    </row>
    <row r="23" spans="1:6">
      <c r="A23" s="1257" t="s">
        <v>13</v>
      </c>
      <c r="B23" s="1258">
        <v>716</v>
      </c>
      <c r="C23" s="324"/>
      <c r="D23" s="324"/>
      <c r="E23" s="324"/>
      <c r="F23" s="324"/>
    </row>
    <row r="24" spans="1:6">
      <c r="A24" s="1257" t="s">
        <v>14</v>
      </c>
      <c r="B24" s="1258">
        <v>19</v>
      </c>
      <c r="C24" s="324"/>
      <c r="D24" s="324"/>
      <c r="E24" s="324"/>
      <c r="F24" s="324"/>
    </row>
    <row r="25" spans="1:6">
      <c r="A25" s="1257" t="s">
        <v>15</v>
      </c>
      <c r="B25" s="1258">
        <v>2422</v>
      </c>
      <c r="C25" s="324"/>
      <c r="D25" s="324"/>
      <c r="E25" s="324"/>
      <c r="F25" s="324"/>
    </row>
    <row r="26" spans="1:6">
      <c r="A26" s="1257" t="s">
        <v>16</v>
      </c>
      <c r="B26" s="1258">
        <v>110</v>
      </c>
      <c r="C26" s="324"/>
      <c r="D26" s="324"/>
      <c r="E26" s="324"/>
      <c r="F26" s="324"/>
    </row>
    <row r="27" spans="1:6">
      <c r="A27" s="1257" t="s">
        <v>17</v>
      </c>
      <c r="B27" s="1258">
        <v>0</v>
      </c>
      <c r="C27" s="324"/>
      <c r="D27" s="324"/>
      <c r="E27" s="324"/>
      <c r="F27" s="324"/>
    </row>
    <row r="28" spans="1:6">
      <c r="A28" s="1257" t="s">
        <v>18</v>
      </c>
      <c r="B28" s="1259">
        <v>29520</v>
      </c>
      <c r="C28" s="324"/>
      <c r="D28" s="324"/>
      <c r="E28" s="324"/>
      <c r="F28" s="324"/>
    </row>
    <row r="29" spans="1:6">
      <c r="A29" s="1257" t="s">
        <v>664</v>
      </c>
      <c r="B29" s="1259">
        <v>37</v>
      </c>
      <c r="C29" s="324"/>
      <c r="D29" s="324"/>
      <c r="E29" s="324"/>
      <c r="F29" s="324"/>
    </row>
    <row r="30" spans="1:6">
      <c r="A30" s="1252" t="s">
        <v>665</v>
      </c>
      <c r="B30" s="1260">
        <v>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4</v>
      </c>
      <c r="F36" s="1258">
        <v>15616.763999999999</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5679.8639999999996</v>
      </c>
    </row>
    <row r="39" spans="1:6">
      <c r="A39" s="1257" t="s">
        <v>29</v>
      </c>
      <c r="B39" s="1257" t="s">
        <v>30</v>
      </c>
      <c r="C39" s="1258">
        <v>7270</v>
      </c>
      <c r="D39" s="1258">
        <v>99266561.870000005</v>
      </c>
      <c r="E39" s="1258">
        <v>9262</v>
      </c>
      <c r="F39" s="1258">
        <v>31086919</v>
      </c>
    </row>
    <row r="40" spans="1:6">
      <c r="A40" s="1257" t="s">
        <v>29</v>
      </c>
      <c r="B40" s="1257" t="s">
        <v>28</v>
      </c>
      <c r="C40" s="1258">
        <v>0</v>
      </c>
      <c r="D40" s="1258">
        <v>0</v>
      </c>
      <c r="E40" s="1258">
        <v>0</v>
      </c>
      <c r="F40" s="1258">
        <v>0</v>
      </c>
    </row>
    <row r="41" spans="1:6">
      <c r="A41" s="1257" t="s">
        <v>31</v>
      </c>
      <c r="B41" s="1257" t="s">
        <v>32</v>
      </c>
      <c r="C41" s="1258">
        <v>148</v>
      </c>
      <c r="D41" s="1258">
        <v>4086469.5780000002</v>
      </c>
      <c r="E41" s="1258">
        <v>287</v>
      </c>
      <c r="F41" s="1258">
        <v>2481079.477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13</v>
      </c>
      <c r="D44" s="1258">
        <v>7018405.1960000005</v>
      </c>
      <c r="E44" s="1258">
        <v>39</v>
      </c>
      <c r="F44" s="1258">
        <v>3424104.1889999998</v>
      </c>
    </row>
    <row r="45" spans="1:6">
      <c r="A45" s="1257" t="s">
        <v>31</v>
      </c>
      <c r="B45" s="1257" t="s">
        <v>36</v>
      </c>
      <c r="C45" s="1258">
        <v>0</v>
      </c>
      <c r="D45" s="1258">
        <v>0</v>
      </c>
      <c r="E45" s="1258">
        <v>8</v>
      </c>
      <c r="F45" s="1258">
        <v>172351.84099999999</v>
      </c>
    </row>
    <row r="46" spans="1:6">
      <c r="A46" s="1257" t="s">
        <v>31</v>
      </c>
      <c r="B46" s="1257" t="s">
        <v>37</v>
      </c>
      <c r="C46" s="1258">
        <v>0</v>
      </c>
      <c r="D46" s="1258">
        <v>0</v>
      </c>
      <c r="E46" s="1258">
        <v>0</v>
      </c>
      <c r="F46" s="1258">
        <v>0</v>
      </c>
    </row>
    <row r="47" spans="1:6">
      <c r="A47" s="1257" t="s">
        <v>31</v>
      </c>
      <c r="B47" s="1257" t="s">
        <v>38</v>
      </c>
      <c r="C47" s="1258">
        <v>0</v>
      </c>
      <c r="D47" s="1258">
        <v>0</v>
      </c>
      <c r="E47" s="1258">
        <v>7</v>
      </c>
      <c r="F47" s="1258">
        <v>35049777.979999997</v>
      </c>
    </row>
    <row r="48" spans="1:6">
      <c r="A48" s="1257" t="s">
        <v>31</v>
      </c>
      <c r="B48" s="1257" t="s">
        <v>28</v>
      </c>
      <c r="C48" s="1258">
        <v>47</v>
      </c>
      <c r="D48" s="1258">
        <v>13320884.99</v>
      </c>
      <c r="E48" s="1258">
        <v>40</v>
      </c>
      <c r="F48" s="1258">
        <v>23417738.309999999</v>
      </c>
    </row>
    <row r="49" spans="1:6">
      <c r="A49" s="1257" t="s">
        <v>31</v>
      </c>
      <c r="B49" s="1257" t="s">
        <v>39</v>
      </c>
      <c r="C49" s="1258">
        <v>0</v>
      </c>
      <c r="D49" s="1258">
        <v>0</v>
      </c>
      <c r="E49" s="1258">
        <v>3</v>
      </c>
      <c r="F49" s="1258">
        <v>7226.4189999999999</v>
      </c>
    </row>
    <row r="50" spans="1:6">
      <c r="A50" s="1257" t="s">
        <v>31</v>
      </c>
      <c r="B50" s="1257" t="s">
        <v>40</v>
      </c>
      <c r="C50" s="1258">
        <v>9</v>
      </c>
      <c r="D50" s="1258">
        <v>4081149.605</v>
      </c>
      <c r="E50" s="1258">
        <v>13</v>
      </c>
      <c r="F50" s="1258">
        <v>697030.92299999995</v>
      </c>
    </row>
    <row r="51" spans="1:6">
      <c r="A51" s="1257" t="s">
        <v>41</v>
      </c>
      <c r="B51" s="1257" t="s">
        <v>42</v>
      </c>
      <c r="C51" s="1258">
        <v>9</v>
      </c>
      <c r="D51" s="1258">
        <v>182898.70499999999</v>
      </c>
      <c r="E51" s="1258">
        <v>69</v>
      </c>
      <c r="F51" s="1258">
        <v>2113779.2480000001</v>
      </c>
    </row>
    <row r="52" spans="1:6">
      <c r="A52" s="1257" t="s">
        <v>41</v>
      </c>
      <c r="B52" s="1257" t="s">
        <v>28</v>
      </c>
      <c r="C52" s="1258">
        <v>8</v>
      </c>
      <c r="D52" s="1258">
        <v>123923.929</v>
      </c>
      <c r="E52" s="1258">
        <v>11</v>
      </c>
      <c r="F52" s="1258">
        <v>142396.80499999999</v>
      </c>
    </row>
    <row r="53" spans="1:6">
      <c r="A53" s="1257" t="s">
        <v>43</v>
      </c>
      <c r="B53" s="1257" t="s">
        <v>44</v>
      </c>
      <c r="C53" s="1258">
        <v>233</v>
      </c>
      <c r="D53" s="1258">
        <v>4484328.4539999999</v>
      </c>
      <c r="E53" s="1258">
        <v>427</v>
      </c>
      <c r="F53" s="1258">
        <v>1304203.8540000001</v>
      </c>
    </row>
    <row r="54" spans="1:6">
      <c r="A54" s="1257" t="s">
        <v>45</v>
      </c>
      <c r="B54" s="1257" t="s">
        <v>46</v>
      </c>
      <c r="C54" s="1258">
        <v>0</v>
      </c>
      <c r="D54" s="1258">
        <v>0</v>
      </c>
      <c r="E54" s="1258">
        <v>1</v>
      </c>
      <c r="F54" s="1258">
        <v>1453474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72</v>
      </c>
      <c r="D57" s="1258">
        <v>7987249.1569999997</v>
      </c>
      <c r="E57" s="1258">
        <v>126</v>
      </c>
      <c r="F57" s="1258">
        <v>4798482.9560000002</v>
      </c>
    </row>
    <row r="58" spans="1:6">
      <c r="A58" s="1257" t="s">
        <v>48</v>
      </c>
      <c r="B58" s="1257" t="s">
        <v>50</v>
      </c>
      <c r="C58" s="1258">
        <v>57</v>
      </c>
      <c r="D58" s="1258">
        <v>18440283.649999999</v>
      </c>
      <c r="E58" s="1258">
        <v>83</v>
      </c>
      <c r="F58" s="1258">
        <v>12358692.74</v>
      </c>
    </row>
    <row r="59" spans="1:6">
      <c r="A59" s="1257" t="s">
        <v>48</v>
      </c>
      <c r="B59" s="1257" t="s">
        <v>51</v>
      </c>
      <c r="C59" s="1258">
        <v>148</v>
      </c>
      <c r="D59" s="1258">
        <v>5958848.9249999998</v>
      </c>
      <c r="E59" s="1258">
        <v>310</v>
      </c>
      <c r="F59" s="1258">
        <v>9502350.3819999993</v>
      </c>
    </row>
    <row r="60" spans="1:6">
      <c r="A60" s="1257" t="s">
        <v>48</v>
      </c>
      <c r="B60" s="1257" t="s">
        <v>52</v>
      </c>
      <c r="C60" s="1258">
        <v>79</v>
      </c>
      <c r="D60" s="1258">
        <v>2818204.125</v>
      </c>
      <c r="E60" s="1258">
        <v>93</v>
      </c>
      <c r="F60" s="1258">
        <v>1958657.7679999999</v>
      </c>
    </row>
    <row r="61" spans="1:6">
      <c r="A61" s="1257" t="s">
        <v>48</v>
      </c>
      <c r="B61" s="1257" t="s">
        <v>53</v>
      </c>
      <c r="C61" s="1258">
        <v>268</v>
      </c>
      <c r="D61" s="1258">
        <v>10656176.869999999</v>
      </c>
      <c r="E61" s="1258">
        <v>518</v>
      </c>
      <c r="F61" s="1258">
        <v>5310941.47</v>
      </c>
    </row>
    <row r="62" spans="1:6">
      <c r="A62" s="1257" t="s">
        <v>48</v>
      </c>
      <c r="B62" s="1257" t="s">
        <v>54</v>
      </c>
      <c r="C62" s="1258">
        <v>23</v>
      </c>
      <c r="D62" s="1258">
        <v>10344882.92</v>
      </c>
      <c r="E62" s="1258">
        <v>30</v>
      </c>
      <c r="F62" s="1258">
        <v>2250189.3930000002</v>
      </c>
    </row>
    <row r="63" spans="1:6">
      <c r="A63" s="1257" t="s">
        <v>48</v>
      </c>
      <c r="B63" s="1257" t="s">
        <v>28</v>
      </c>
      <c r="C63" s="1258">
        <v>92</v>
      </c>
      <c r="D63" s="1258">
        <v>6433328.8020000001</v>
      </c>
      <c r="E63" s="1258">
        <v>107</v>
      </c>
      <c r="F63" s="1258">
        <v>3839252.5049999999</v>
      </c>
    </row>
    <row r="64" spans="1:6">
      <c r="A64" s="1257" t="s">
        <v>55</v>
      </c>
      <c r="B64" s="1257" t="s">
        <v>56</v>
      </c>
      <c r="C64" s="1258">
        <v>0</v>
      </c>
      <c r="D64" s="1258">
        <v>0</v>
      </c>
      <c r="E64" s="1258">
        <v>0</v>
      </c>
      <c r="F64" s="1258">
        <v>0</v>
      </c>
    </row>
    <row r="65" spans="1:6">
      <c r="A65" s="1257" t="s">
        <v>55</v>
      </c>
      <c r="B65" s="1257" t="s">
        <v>28</v>
      </c>
      <c r="C65" s="1258">
        <v>1</v>
      </c>
      <c r="D65" s="1258">
        <v>220897.06899999999</v>
      </c>
      <c r="E65" s="1258">
        <v>5</v>
      </c>
      <c r="F65" s="1258">
        <v>31469.436000000002</v>
      </c>
    </row>
    <row r="66" spans="1:6">
      <c r="A66" s="1257" t="s">
        <v>55</v>
      </c>
      <c r="B66" s="1257" t="s">
        <v>57</v>
      </c>
      <c r="C66" s="1258">
        <v>0</v>
      </c>
      <c r="D66" s="1258">
        <v>0</v>
      </c>
      <c r="E66" s="1258">
        <v>21</v>
      </c>
      <c r="F66" s="1258">
        <v>631323.74399999995</v>
      </c>
    </row>
    <row r="67" spans="1:6">
      <c r="A67" s="1257" t="s">
        <v>55</v>
      </c>
      <c r="B67" s="1257" t="s">
        <v>58</v>
      </c>
      <c r="C67" s="1258">
        <v>0</v>
      </c>
      <c r="D67" s="1258">
        <v>0</v>
      </c>
      <c r="E67" s="1258">
        <v>0</v>
      </c>
      <c r="F67" s="1258">
        <v>0</v>
      </c>
    </row>
    <row r="68" spans="1:6">
      <c r="A68" s="1252" t="s">
        <v>55</v>
      </c>
      <c r="B68" s="1252" t="s">
        <v>59</v>
      </c>
      <c r="C68" s="1260">
        <v>4</v>
      </c>
      <c r="D68" s="1260">
        <v>95552.004000000001</v>
      </c>
      <c r="E68" s="1260">
        <v>13</v>
      </c>
      <c r="F68" s="1260">
        <v>52021.095999999998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103097600</v>
      </c>
      <c r="E73" s="442"/>
      <c r="F73" s="324"/>
    </row>
    <row r="74" spans="1:6">
      <c r="A74" s="1257" t="s">
        <v>63</v>
      </c>
      <c r="B74" s="1257" t="s">
        <v>608</v>
      </c>
      <c r="C74" s="1270" t="s">
        <v>610</v>
      </c>
      <c r="D74" s="1258">
        <v>17288993.5</v>
      </c>
      <c r="E74" s="442"/>
      <c r="F74" s="324"/>
    </row>
    <row r="75" spans="1:6">
      <c r="A75" s="1257" t="s">
        <v>64</v>
      </c>
      <c r="B75" s="1257" t="s">
        <v>607</v>
      </c>
      <c r="C75" s="1270" t="s">
        <v>611</v>
      </c>
      <c r="D75" s="1258">
        <v>18344561</v>
      </c>
      <c r="E75" s="442"/>
      <c r="F75" s="324"/>
    </row>
    <row r="76" spans="1:6">
      <c r="A76" s="1257" t="s">
        <v>64</v>
      </c>
      <c r="B76" s="1257" t="s">
        <v>608</v>
      </c>
      <c r="C76" s="1270" t="s">
        <v>612</v>
      </c>
      <c r="D76" s="1258">
        <v>1743170.5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371313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26886.99607482757</v>
      </c>
      <c r="C90" s="324"/>
      <c r="D90" s="324"/>
      <c r="E90" s="324"/>
      <c r="F90" s="324"/>
    </row>
    <row r="91" spans="1:6">
      <c r="A91" s="1257" t="s">
        <v>67</v>
      </c>
      <c r="B91" s="1258">
        <v>3294.8238375847109</v>
      </c>
      <c r="C91" s="324"/>
      <c r="D91" s="324"/>
      <c r="E91" s="324"/>
      <c r="F91" s="324"/>
    </row>
    <row r="92" spans="1:6">
      <c r="A92" s="1252" t="s">
        <v>68</v>
      </c>
      <c r="B92" s="1253">
        <v>972.34074733136856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4927</v>
      </c>
      <c r="C97" s="324"/>
      <c r="D97" s="324"/>
      <c r="E97" s="324"/>
      <c r="F97" s="324"/>
    </row>
    <row r="98" spans="1:6">
      <c r="A98" s="1257" t="s">
        <v>71</v>
      </c>
      <c r="B98" s="1258">
        <v>3</v>
      </c>
      <c r="C98" s="324"/>
      <c r="D98" s="324"/>
      <c r="E98" s="324"/>
      <c r="F98" s="324"/>
    </row>
    <row r="99" spans="1:6">
      <c r="A99" s="1257" t="s">
        <v>72</v>
      </c>
      <c r="B99" s="1258">
        <v>85</v>
      </c>
      <c r="C99" s="324"/>
      <c r="D99" s="324"/>
      <c r="E99" s="324"/>
      <c r="F99" s="324"/>
    </row>
    <row r="100" spans="1:6">
      <c r="A100" s="1257" t="s">
        <v>73</v>
      </c>
      <c r="B100" s="1258">
        <v>935</v>
      </c>
      <c r="C100" s="324"/>
      <c r="D100" s="324"/>
      <c r="E100" s="324"/>
      <c r="F100" s="324"/>
    </row>
    <row r="101" spans="1:6">
      <c r="A101" s="1257" t="s">
        <v>74</v>
      </c>
      <c r="B101" s="1258">
        <v>75</v>
      </c>
      <c r="C101" s="324"/>
      <c r="D101" s="324"/>
      <c r="E101" s="324"/>
      <c r="F101" s="324"/>
    </row>
    <row r="102" spans="1:6">
      <c r="A102" s="1257" t="s">
        <v>75</v>
      </c>
      <c r="B102" s="1258">
        <v>200</v>
      </c>
      <c r="C102" s="324"/>
      <c r="D102" s="324"/>
      <c r="E102" s="324"/>
      <c r="F102" s="324"/>
    </row>
    <row r="103" spans="1:6">
      <c r="A103" s="1257" t="s">
        <v>76</v>
      </c>
      <c r="B103" s="1258">
        <v>148</v>
      </c>
      <c r="C103" s="324"/>
      <c r="D103" s="324"/>
      <c r="E103" s="324"/>
      <c r="F103" s="324"/>
    </row>
    <row r="104" spans="1:6">
      <c r="A104" s="1257" t="s">
        <v>77</v>
      </c>
      <c r="B104" s="1258">
        <v>1641</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41</v>
      </c>
      <c r="C123" s="1258">
        <v>17</v>
      </c>
      <c r="D123" s="324"/>
      <c r="E123" s="324"/>
      <c r="F123" s="324"/>
    </row>
    <row r="124" spans="1:6">
      <c r="A124" s="1257" t="s">
        <v>88</v>
      </c>
      <c r="B124" s="1258">
        <v>3</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136</v>
      </c>
      <c r="C129" s="324"/>
      <c r="D129" s="324"/>
      <c r="E129" s="324"/>
      <c r="F129" s="324"/>
    </row>
    <row r="130" spans="1:6">
      <c r="A130" s="1257" t="s">
        <v>283</v>
      </c>
      <c r="B130" s="1258">
        <v>3</v>
      </c>
      <c r="C130" s="324"/>
      <c r="D130" s="324"/>
      <c r="E130" s="324"/>
      <c r="F130" s="324"/>
    </row>
    <row r="131" spans="1:6">
      <c r="A131" s="1257" t="s">
        <v>284</v>
      </c>
      <c r="B131" s="1258">
        <v>8</v>
      </c>
      <c r="C131" s="324"/>
      <c r="D131" s="324"/>
      <c r="E131" s="324"/>
      <c r="F131" s="324"/>
    </row>
    <row r="132" spans="1:6">
      <c r="A132" s="1252" t="s">
        <v>285</v>
      </c>
      <c r="B132" s="1253">
        <v>29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145697.18090969135</v>
      </c>
      <c r="C3" s="43" t="s">
        <v>163</v>
      </c>
      <c r="D3" s="43"/>
      <c r="E3" s="153"/>
      <c r="F3" s="43"/>
      <c r="G3" s="43"/>
      <c r="H3" s="43"/>
      <c r="I3" s="43"/>
      <c r="J3" s="43"/>
      <c r="K3" s="96"/>
    </row>
    <row r="4" spans="1:11">
      <c r="A4" s="350" t="s">
        <v>164</v>
      </c>
      <c r="B4" s="49">
        <f>IF(ISERROR('SEAP template'!B78+'SEAP template'!C78),0,'SEAP template'!B78+'SEAP template'!C78)</f>
        <v>32097.810659743649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0.17231260528506562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1453.4739999999999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1453.4739999999999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0.17231260528506562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250.45189165410545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31086.919000000002</v>
      </c>
      <c r="C5" s="17">
        <f>IF(ISERROR('Eigen informatie GS &amp; warmtenet'!B59),0,'Eigen informatie GS &amp; warmtenet'!B59)</f>
        <v>0</v>
      </c>
      <c r="D5" s="30">
        <f>(SUM(HH_hh_gas_kWh,HH_rest_gas_kWh)/1000)*0.902</f>
        <v>89538.438806740014</v>
      </c>
      <c r="E5" s="17">
        <f>B32*B41</f>
        <v>1719.6982717077603</v>
      </c>
      <c r="F5" s="17">
        <f>B36*B45</f>
        <v>33094.386226869261</v>
      </c>
      <c r="G5" s="18"/>
      <c r="H5" s="17"/>
      <c r="I5" s="17"/>
      <c r="J5" s="17">
        <f>B35*B44+C35*C44</f>
        <v>169.34749677285913</v>
      </c>
      <c r="K5" s="17"/>
      <c r="L5" s="17"/>
      <c r="M5" s="17"/>
      <c r="N5" s="17">
        <f>B34*B43+C34*C43</f>
        <v>11491.537786508021</v>
      </c>
      <c r="O5" s="17">
        <f>B52*B53*B54</f>
        <v>303.54560756621584</v>
      </c>
      <c r="P5" s="17">
        <f>B60*B61*B62/1000-B60*B61*B62/1000/B63</f>
        <v>768.9790294610068</v>
      </c>
    </row>
    <row r="6" spans="1:16">
      <c r="A6" s="16" t="s">
        <v>573</v>
      </c>
      <c r="B6" s="738">
        <f>kWh_PV_kleiner_dan_10kW</f>
        <v>3294.8238375847109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34381.742837584716</v>
      </c>
      <c r="C8" s="21">
        <f>C5</f>
        <v>0</v>
      </c>
      <c r="D8" s="21">
        <f>D5</f>
        <v>89538.438806740014</v>
      </c>
      <c r="E8" s="21">
        <f>E5</f>
        <v>1719.6982717077603</v>
      </c>
      <c r="F8" s="21">
        <f>F5</f>
        <v>33094.386226869261</v>
      </c>
      <c r="G8" s="21"/>
      <c r="H8" s="21"/>
      <c r="I8" s="21"/>
      <c r="J8" s="21">
        <f>J5</f>
        <v>169.34749677285913</v>
      </c>
      <c r="K8" s="21"/>
      <c r="L8" s="21">
        <f>L5</f>
        <v>0</v>
      </c>
      <c r="M8" s="21">
        <f>M5</f>
        <v>0</v>
      </c>
      <c r="N8" s="21">
        <f>N5</f>
        <v>11491.537786508021</v>
      </c>
      <c r="O8" s="21">
        <f>O5</f>
        <v>303.54560756621584</v>
      </c>
      <c r="P8" s="21">
        <f>P5</f>
        <v>768.9790294610068</v>
      </c>
    </row>
    <row r="9" spans="1:16">
      <c r="B9" s="19"/>
      <c r="C9" s="19"/>
      <c r="D9" s="255"/>
      <c r="E9" s="19"/>
      <c r="F9" s="19"/>
      <c r="G9" s="19"/>
      <c r="H9" s="19"/>
      <c r="I9" s="19"/>
      <c r="J9" s="19"/>
      <c r="K9" s="19"/>
      <c r="L9" s="19"/>
      <c r="M9" s="19"/>
      <c r="N9" s="19"/>
      <c r="O9" s="19"/>
      <c r="P9" s="19"/>
    </row>
    <row r="10" spans="1:16">
      <c r="A10" s="24" t="s">
        <v>207</v>
      </c>
      <c r="B10" s="25">
        <f ca="1">'EF ele_warmte'!B12</f>
        <v>0.17231260528506562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5924.4076825853672</v>
      </c>
      <c r="C12" s="23">
        <f ca="1">C10*C8</f>
        <v>0</v>
      </c>
      <c r="D12" s="23">
        <f>D8*D10</f>
        <v>18086.764638961486</v>
      </c>
      <c r="E12" s="23">
        <f>E10*E8</f>
        <v>390.37150767766161</v>
      </c>
      <c r="F12" s="23">
        <f>F10*F8</f>
        <v>8836.2011225740935</v>
      </c>
      <c r="G12" s="23"/>
      <c r="H12" s="23"/>
      <c r="I12" s="23"/>
      <c r="J12" s="23">
        <f>J10*J8</f>
        <v>59.949013857592128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9445</v>
      </c>
      <c r="C26" s="36"/>
      <c r="D26" s="225"/>
    </row>
    <row r="27" spans="1:7" s="15" customFormat="1">
      <c r="A27" s="227" t="s">
        <v>774</v>
      </c>
      <c r="B27" s="37">
        <f>SUM(HH_hh_gas_aantal,HH_rest_gas_aantal)</f>
        <v>7270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6906.5</v>
      </c>
      <c r="C31" s="165" t="s">
        <v>104</v>
      </c>
      <c r="D31" s="230"/>
      <c r="G31" s="15"/>
    </row>
    <row r="32" spans="1:7">
      <c r="A32" s="168" t="s">
        <v>72</v>
      </c>
      <c r="B32" s="165">
        <f>IF((B21*($B$26-($B$27-0.05*$B$27)-$B$60))&lt;0,0,B21*($B$26-($B$27-0.05*$B$27)-$B$60))</f>
        <v>27.793994052619816</v>
      </c>
      <c r="C32" s="165" t="s">
        <v>104</v>
      </c>
      <c r="D32" s="230"/>
      <c r="G32" s="15"/>
    </row>
    <row r="33" spans="1:7">
      <c r="A33" s="168" t="s">
        <v>73</v>
      </c>
      <c r="B33" s="165">
        <f>IF((B22*($B$26-($B$27-0.05*$B$27)-$B$60))&lt;0,0,B22*($B$26-($B$27-0.05*$B$27)-$B$60))</f>
        <v>577.86047689643453</v>
      </c>
      <c r="C33" s="165" t="s">
        <v>104</v>
      </c>
      <c r="D33" s="230"/>
      <c r="G33" s="15"/>
    </row>
    <row r="34" spans="1:7">
      <c r="A34" s="168" t="s">
        <v>74</v>
      </c>
      <c r="B34" s="165">
        <f>IF((B24*($B$26-($B$27-0.05*$B$27)-$B$60))&lt;0,0,B24*($B$26-($B$27-0.05*$B$27)-$B$60))</f>
        <v>243.99818350000632</v>
      </c>
      <c r="C34" s="165">
        <f>B26*C24</f>
        <v>1629.8524142292558</v>
      </c>
      <c r="D34" s="230"/>
      <c r="G34" s="15"/>
    </row>
    <row r="35" spans="1:7">
      <c r="A35" s="168" t="s">
        <v>76</v>
      </c>
      <c r="B35" s="165">
        <f>IF((B19*($B$26-($B$27-0.05*$B$27)-$B$60))&lt;0,0,B19*($B$26-($B$27-0.05*$B$27)-$B$60))</f>
        <v>21.037056452624473</v>
      </c>
      <c r="C35" s="165">
        <f>B35/2</f>
        <v>10.518528226312236</v>
      </c>
      <c r="D35" s="231"/>
      <c r="G35" s="15"/>
    </row>
    <row r="36" spans="1:7">
      <c r="A36" s="168" t="s">
        <v>77</v>
      </c>
      <c r="B36" s="165">
        <f>IF((B18*($B$26-($B$27-0.05*$B$27)-$B$60))&lt;0,0,B18*($B$26-($B$27-0.05*$B$27)-$B$60))</f>
        <v>1594.8102890983148</v>
      </c>
      <c r="C36" s="165" t="s">
        <v>104</v>
      </c>
      <c r="D36" s="231"/>
      <c r="G36" s="15"/>
    </row>
    <row r="37" spans="1:7">
      <c r="A37" s="168" t="s">
        <v>78</v>
      </c>
      <c r="B37" s="165">
        <f>B60</f>
        <v>73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153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40018.567213999995</v>
      </c>
      <c r="C5" s="17">
        <f>IF(ISERROR('Eigen informatie GS &amp; warmtenet'!B60),0,'Eigen informatie GS &amp; warmtenet'!B60)</f>
        <v>0</v>
      </c>
      <c r="D5" s="30">
        <f>SUM(D6:D12)</f>
        <v>56500.354952997994</v>
      </c>
      <c r="E5" s="17">
        <f>SUM(E6:E12)</f>
        <v>91.169836185322453</v>
      </c>
      <c r="F5" s="17">
        <f>SUM(F6:F12)</f>
        <v>7395.2044618683085</v>
      </c>
      <c r="G5" s="18"/>
      <c r="H5" s="17"/>
      <c r="I5" s="17"/>
      <c r="J5" s="17">
        <f>SUM(J6:J12)</f>
        <v>5.5192069901192312E-2</v>
      </c>
      <c r="K5" s="17"/>
      <c r="L5" s="17"/>
      <c r="M5" s="17"/>
      <c r="N5" s="17">
        <f>SUM(N6:N12)</f>
        <v>2110.863425743144</v>
      </c>
      <c r="O5" s="17">
        <f>B38*B39*B40</f>
        <v>14.691782297523464</v>
      </c>
      <c r="P5" s="17">
        <f>B46*B47*B48/1000-B46*B47*B48/1000/B49</f>
        <v>420.31310645196015</v>
      </c>
      <c r="R5" s="32"/>
    </row>
    <row r="6" spans="1:18">
      <c r="A6" s="32" t="s">
        <v>53</v>
      </c>
      <c r="B6" s="37">
        <f>B26</f>
        <v>5310.9414699999998</v>
      </c>
      <c r="C6" s="33"/>
      <c r="D6" s="37">
        <f>IF(ISERROR(TER_kantoor_gas_kWh/1000),0,TER_kantoor_gas_kWh/1000)*0.902</f>
        <v>9611.87153674</v>
      </c>
      <c r="E6" s="33">
        <f>$C$26*'E Balans VL '!I12/100/3.6*1000000</f>
        <v>1.38683910244863</v>
      </c>
      <c r="F6" s="33">
        <f>$C$26*('E Balans VL '!L12+'E Balans VL '!N12)/100/3.6*1000000</f>
        <v>530.64908490613641</v>
      </c>
      <c r="G6" s="34"/>
      <c r="H6" s="33"/>
      <c r="I6" s="33"/>
      <c r="J6" s="33">
        <f>$C$26*('E Balans VL '!D12+'E Balans VL '!E12)/100/3.6*1000000</f>
        <v>0</v>
      </c>
      <c r="K6" s="33"/>
      <c r="L6" s="33"/>
      <c r="M6" s="33"/>
      <c r="N6" s="33">
        <f>$C$26*'E Balans VL '!Y12/100/3.6*1000000</f>
        <v>3.7654298031206954</v>
      </c>
      <c r="O6" s="33"/>
      <c r="P6" s="33"/>
      <c r="R6" s="32"/>
    </row>
    <row r="7" spans="1:18">
      <c r="A7" s="32" t="s">
        <v>52</v>
      </c>
      <c r="B7" s="37">
        <f t="shared" ref="B7:B12" si="0">B27</f>
        <v>1958.657768</v>
      </c>
      <c r="C7" s="33"/>
      <c r="D7" s="37">
        <f>IF(ISERROR(TER_horeca_gas_kWh/1000),0,TER_horeca_gas_kWh/1000)*0.902</f>
        <v>2542.0201207500004</v>
      </c>
      <c r="E7" s="33">
        <f>$C$27*'E Balans VL '!I9/100/3.6*1000000</f>
        <v>0</v>
      </c>
      <c r="F7" s="33">
        <f>$C$27*('E Balans VL '!L9+'E Balans VL '!N9)/100/3.6*1000000</f>
        <v>160.85765229870779</v>
      </c>
      <c r="G7" s="34"/>
      <c r="H7" s="33"/>
      <c r="I7" s="33"/>
      <c r="J7" s="33">
        <f>$C$27*('E Balans VL '!D9+'E Balans VL '!E9)/100/3.6*1000000</f>
        <v>0</v>
      </c>
      <c r="K7" s="33"/>
      <c r="L7" s="33"/>
      <c r="M7" s="33"/>
      <c r="N7" s="33">
        <f>$C$27*'E Balans VL '!Y9/100/3.6*1000000</f>
        <v>24.751699997202586</v>
      </c>
      <c r="O7" s="33"/>
      <c r="P7" s="33"/>
      <c r="R7" s="32"/>
    </row>
    <row r="8" spans="1:18">
      <c r="A8" s="6" t="s">
        <v>51</v>
      </c>
      <c r="B8" s="37">
        <f t="shared" si="0"/>
        <v>9502.3503819999987</v>
      </c>
      <c r="C8" s="33"/>
      <c r="D8" s="37">
        <f>IF(ISERROR(TER_handel_gas_kWh/1000),0,TER_handel_gas_kWh/1000)*0.902</f>
        <v>5374.88173035</v>
      </c>
      <c r="E8" s="33">
        <f>$C$28*'E Balans VL '!I13/100/3.6*1000000</f>
        <v>34.923631161601357</v>
      </c>
      <c r="F8" s="33">
        <f>$C$28*('E Balans VL '!L13+'E Balans VL '!N13)/100/3.6*1000000</f>
        <v>907.63458068992895</v>
      </c>
      <c r="G8" s="34"/>
      <c r="H8" s="33"/>
      <c r="I8" s="33"/>
      <c r="J8" s="33">
        <f>$C$28*('E Balans VL '!D13+'E Balans VL '!E13)/100/3.6*1000000</f>
        <v>0</v>
      </c>
      <c r="K8" s="33"/>
      <c r="L8" s="33"/>
      <c r="M8" s="33"/>
      <c r="N8" s="33">
        <f>$C$28*'E Balans VL '!Y13/100/3.6*1000000</f>
        <v>3.7598567644974468</v>
      </c>
      <c r="O8" s="33"/>
      <c r="P8" s="33"/>
      <c r="R8" s="32"/>
    </row>
    <row r="9" spans="1:18">
      <c r="A9" s="32" t="s">
        <v>50</v>
      </c>
      <c r="B9" s="37">
        <f t="shared" si="0"/>
        <v>12358.69274</v>
      </c>
      <c r="C9" s="33"/>
      <c r="D9" s="37">
        <f>IF(ISERROR(TER_gezond_gas_kWh/1000),0,TER_gezond_gas_kWh/1000)*0.902</f>
        <v>16633.135852299998</v>
      </c>
      <c r="E9" s="33">
        <f>$C$29*'E Balans VL '!I10/100/3.6*1000000</f>
        <v>0</v>
      </c>
      <c r="F9" s="33">
        <f>$C$29*('E Balans VL '!L10+'E Balans VL '!N10)/100/3.6*1000000</f>
        <v>834.88724880507584</v>
      </c>
      <c r="G9" s="34"/>
      <c r="H9" s="33"/>
      <c r="I9" s="33"/>
      <c r="J9" s="33">
        <f>$C$29*('E Balans VL '!D10+'E Balans VL '!E10)/100/3.6*1000000</f>
        <v>0</v>
      </c>
      <c r="K9" s="33"/>
      <c r="L9" s="33"/>
      <c r="M9" s="33"/>
      <c r="N9" s="33">
        <f>$C$29*'E Balans VL '!Y10/100/3.6*1000000</f>
        <v>96.159850426908463</v>
      </c>
      <c r="O9" s="33"/>
      <c r="P9" s="33"/>
      <c r="R9" s="32"/>
    </row>
    <row r="10" spans="1:18">
      <c r="A10" s="32" t="s">
        <v>49</v>
      </c>
      <c r="B10" s="37">
        <f t="shared" si="0"/>
        <v>4798.4829559999998</v>
      </c>
      <c r="C10" s="33"/>
      <c r="D10" s="37">
        <f>IF(ISERROR(TER_ander_gas_kWh/1000),0,TER_ander_gas_kWh/1000)*0.902</f>
        <v>7204.4987396139995</v>
      </c>
      <c r="E10" s="33">
        <f>$C$30*'E Balans VL '!I14/100/3.6*1000000</f>
        <v>43.511709135101022</v>
      </c>
      <c r="F10" s="33">
        <f>$C$30*('E Balans VL '!L14+'E Balans VL '!N14)/100/3.6*1000000</f>
        <v>3792.9467932641596</v>
      </c>
      <c r="G10" s="34"/>
      <c r="H10" s="33"/>
      <c r="I10" s="33"/>
      <c r="J10" s="33">
        <f>$C$30*('E Balans VL '!D14+'E Balans VL '!E14)/100/3.6*1000000</f>
        <v>4.7493097685852519E-2</v>
      </c>
      <c r="K10" s="33"/>
      <c r="L10" s="33"/>
      <c r="M10" s="33"/>
      <c r="N10" s="33">
        <f>$C$30*'E Balans VL '!Y14/100/3.6*1000000</f>
        <v>1693.6198747678777</v>
      </c>
      <c r="O10" s="33"/>
      <c r="P10" s="33"/>
      <c r="R10" s="32"/>
    </row>
    <row r="11" spans="1:18">
      <c r="A11" s="32" t="s">
        <v>54</v>
      </c>
      <c r="B11" s="37">
        <f t="shared" si="0"/>
        <v>2250.1893930000001</v>
      </c>
      <c r="C11" s="33"/>
      <c r="D11" s="37">
        <f>IF(ISERROR(TER_onderwijs_gas_kWh/1000),0,TER_onderwijs_gas_kWh/1000)*0.902</f>
        <v>9331.0843938399994</v>
      </c>
      <c r="E11" s="33">
        <f>$C$31*'E Balans VL '!I11/100/3.6*1000000</f>
        <v>0</v>
      </c>
      <c r="F11" s="33">
        <f>$C$31*('E Balans VL '!L11+'E Balans VL '!N11)/100/3.6*1000000</f>
        <v>267.80279213531099</v>
      </c>
      <c r="G11" s="34"/>
      <c r="H11" s="33"/>
      <c r="I11" s="33"/>
      <c r="J11" s="33">
        <f>$C$31*('E Balans VL '!D11+'E Balans VL '!E11)/100/3.6*1000000</f>
        <v>0</v>
      </c>
      <c r="K11" s="33"/>
      <c r="L11" s="33"/>
      <c r="M11" s="33"/>
      <c r="N11" s="33">
        <f>$C$31*'E Balans VL '!Y11/100/3.6*1000000</f>
        <v>5.0043663049377107</v>
      </c>
      <c r="O11" s="33"/>
      <c r="P11" s="33"/>
      <c r="R11" s="32"/>
    </row>
    <row r="12" spans="1:18">
      <c r="A12" s="32" t="s">
        <v>248</v>
      </c>
      <c r="B12" s="37">
        <f t="shared" si="0"/>
        <v>3839.2525049999999</v>
      </c>
      <c r="C12" s="33"/>
      <c r="D12" s="37">
        <f>IF(ISERROR(TER_rest_gas_kWh/1000),0,TER_rest_gas_kWh/1000)*0.902</f>
        <v>5802.8625794039999</v>
      </c>
      <c r="E12" s="33">
        <f>$C$32*'E Balans VL '!I8/100/3.6*1000000</f>
        <v>11.347656786171434</v>
      </c>
      <c r="F12" s="33">
        <f>$C$32*('E Balans VL '!L8+'E Balans VL '!N8)/100/3.6*1000000</f>
        <v>900.42630976898943</v>
      </c>
      <c r="G12" s="34"/>
      <c r="H12" s="33"/>
      <c r="I12" s="33"/>
      <c r="J12" s="33">
        <f>$C$32*('E Balans VL '!D8+'E Balans VL '!E8)/100/3.6*1000000</f>
        <v>7.6989722153397895E-3</v>
      </c>
      <c r="K12" s="33"/>
      <c r="L12" s="33"/>
      <c r="M12" s="33"/>
      <c r="N12" s="33">
        <f>$C$32*'E Balans VL '!Y8/100/3.6*1000000</f>
        <v>283.80234767859935</v>
      </c>
      <c r="O12" s="33"/>
      <c r="P12" s="33"/>
      <c r="R12" s="32"/>
    </row>
    <row r="13" spans="1:18">
      <c r="A13" s="16" t="s">
        <v>464</v>
      </c>
      <c r="B13" s="244">
        <f ca="1">'lokale energieproductie'!N38+'lokale energieproductie'!N31</f>
        <v>900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-2250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40918.567213999995</v>
      </c>
      <c r="C16" s="21">
        <f t="shared" ca="1" si="1"/>
        <v>0</v>
      </c>
      <c r="D16" s="21">
        <f t="shared" ca="1" si="1"/>
        <v>56500.354952997994</v>
      </c>
      <c r="E16" s="21">
        <f t="shared" si="1"/>
        <v>91.169836185322453</v>
      </c>
      <c r="F16" s="21">
        <f t="shared" ca="1" si="1"/>
        <v>7395.2044618683085</v>
      </c>
      <c r="G16" s="21">
        <f t="shared" si="1"/>
        <v>0</v>
      </c>
      <c r="H16" s="21">
        <f t="shared" si="1"/>
        <v>0</v>
      </c>
      <c r="I16" s="21">
        <f t="shared" si="1"/>
        <v>0</v>
      </c>
      <c r="J16" s="21">
        <f t="shared" si="1"/>
        <v>5.5192069901192312E-2</v>
      </c>
      <c r="K16" s="21">
        <f t="shared" si="1"/>
        <v>0</v>
      </c>
      <c r="L16" s="21">
        <f t="shared" ca="1" si="1"/>
        <v>0</v>
      </c>
      <c r="M16" s="21">
        <f t="shared" si="1"/>
        <v>0</v>
      </c>
      <c r="N16" s="21">
        <f t="shared" ca="1" si="1"/>
        <v>2110.863425743144</v>
      </c>
      <c r="O16" s="21">
        <f>O5</f>
        <v>14.691782297523464</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0.17231260528506562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7050.7849211764087</v>
      </c>
      <c r="C20" s="23">
        <f t="shared" ref="C20:P20" ca="1" si="2">C16*C18</f>
        <v>0</v>
      </c>
      <c r="D20" s="23">
        <f t="shared" ca="1" si="2"/>
        <v>11413.071700505596</v>
      </c>
      <c r="E20" s="23">
        <f t="shared" si="2"/>
        <v>20.695552814068197</v>
      </c>
      <c r="F20" s="23">
        <f t="shared" ca="1" si="2"/>
        <v>1974.5195913188386</v>
      </c>
      <c r="G20" s="23">
        <f t="shared" si="2"/>
        <v>0</v>
      </c>
      <c r="H20" s="23">
        <f t="shared" si="2"/>
        <v>0</v>
      </c>
      <c r="I20" s="23">
        <f t="shared" si="2"/>
        <v>0</v>
      </c>
      <c r="J20" s="23">
        <f t="shared" si="2"/>
        <v>1.9537992745022076E-2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5310.9414699999998</v>
      </c>
      <c r="C26" s="39">
        <f>IF(ISERROR(B26*3.6/1000000/'E Balans VL '!Z12*100),0,B26*3.6/1000000/'E Balans VL '!Z12*100)</f>
        <v>0.14862784638099819</v>
      </c>
      <c r="D26" s="234" t="s">
        <v>667</v>
      </c>
      <c r="F26" s="6"/>
    </row>
    <row r="27" spans="1:18">
      <c r="A27" s="228" t="s">
        <v>52</v>
      </c>
      <c r="B27" s="33">
        <f>IF(ISERROR(TER_horeca_ele_kWh/1000),0,TER_horeca_ele_kWh/1000)</f>
        <v>1958.657768</v>
      </c>
      <c r="C27" s="39">
        <f>IF(ISERROR(B27*3.6/1000000/'E Balans VL '!Z9*100),0,B27*3.6/1000000/'E Balans VL '!Z9*100)</f>
        <v>0.14598354000301728</v>
      </c>
      <c r="D27" s="234" t="s">
        <v>667</v>
      </c>
      <c r="F27" s="6"/>
    </row>
    <row r="28" spans="1:18">
      <c r="A28" s="168" t="s">
        <v>51</v>
      </c>
      <c r="B28" s="33">
        <f>IF(ISERROR(TER_handel_ele_kWh/1000),0,TER_handel_ele_kWh/1000)</f>
        <v>9502.3503819999987</v>
      </c>
      <c r="C28" s="39">
        <f>IF(ISERROR(B28*3.6/1000000/'E Balans VL '!Z13*100),0,B28*3.6/1000000/'E Balans VL '!Z13*100)</f>
        <v>0.2753082474786111</v>
      </c>
      <c r="D28" s="234" t="s">
        <v>667</v>
      </c>
      <c r="F28" s="6"/>
    </row>
    <row r="29" spans="1:18">
      <c r="A29" s="228" t="s">
        <v>50</v>
      </c>
      <c r="B29" s="33">
        <f>IF(ISERROR(TER_gezond_ele_kWh/1000),0,TER_gezond_ele_kWh/1000)</f>
        <v>12358.69274</v>
      </c>
      <c r="C29" s="39">
        <f>IF(ISERROR(B29*3.6/1000000/'E Balans VL '!Z10*100),0,B29*3.6/1000000/'E Balans VL '!Z10*100)</f>
        <v>1.2463889011703719</v>
      </c>
      <c r="D29" s="234" t="s">
        <v>667</v>
      </c>
      <c r="F29" s="6"/>
    </row>
    <row r="30" spans="1:18">
      <c r="A30" s="228" t="s">
        <v>49</v>
      </c>
      <c r="B30" s="33">
        <f>IF(ISERROR(TER_ander_ele_kWh/1000),0,TER_ander_ele_kWh/1000)</f>
        <v>4798.4829559999998</v>
      </c>
      <c r="C30" s="39">
        <f>IF(ISERROR(B30*3.6/1000000/'E Balans VL '!Z14*100),0,B30*3.6/1000000/'E Balans VL '!Z14*100)</f>
        <v>0.19451098028335503</v>
      </c>
      <c r="D30" s="234" t="s">
        <v>667</v>
      </c>
      <c r="F30" s="6"/>
    </row>
    <row r="31" spans="1:18">
      <c r="A31" s="228" t="s">
        <v>54</v>
      </c>
      <c r="B31" s="33">
        <f>IF(ISERROR(TER_onderwijs_ele_kWh/1000),0,TER_onderwijs_ele_kWh/1000)</f>
        <v>2250.1893930000001</v>
      </c>
      <c r="C31" s="39">
        <f>IF(ISERROR(B31*3.6/1000000/'E Balans VL '!Z11*100),0,B31*3.6/1000000/'E Balans VL '!Z11*100)</f>
        <v>0.64139560898380021</v>
      </c>
      <c r="D31" s="234" t="s">
        <v>667</v>
      </c>
    </row>
    <row r="32" spans="1:18">
      <c r="A32" s="228" t="s">
        <v>248</v>
      </c>
      <c r="B32" s="33">
        <f>IF(ISERROR(TER_rest_ele_kWh/1000),0,TER_rest_ele_kWh/1000)</f>
        <v>3839.2525049999999</v>
      </c>
      <c r="C32" s="39">
        <f>IF(ISERROR(B32*3.6/1000000/'E Balans VL '!Z8*100),0,B32*3.6/1000000/'E Balans VL '!Z8*100)</f>
        <v>3.1531626820504255E-2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8</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65249.30913899999</v>
      </c>
      <c r="C5" s="17">
        <f>IF(ISERROR('Eigen informatie GS &amp; warmtenet'!B61),0,'Eigen informatie GS &amp; warmtenet'!B61)</f>
        <v>0</v>
      </c>
      <c r="D5" s="30">
        <f>SUM(D6:D15)</f>
        <v>25713.232250838002</v>
      </c>
      <c r="E5" s="17">
        <f>SUM(E6:E15)</f>
        <v>1275.9144391520015</v>
      </c>
      <c r="F5" s="17">
        <f>SUM(F6:F15)</f>
        <v>5955.7880915667647</v>
      </c>
      <c r="G5" s="18"/>
      <c r="H5" s="17"/>
      <c r="I5" s="17"/>
      <c r="J5" s="17">
        <f>SUM(J6:J15)</f>
        <v>93.42784601334489</v>
      </c>
      <c r="K5" s="17"/>
      <c r="L5" s="17"/>
      <c r="M5" s="17"/>
      <c r="N5" s="17">
        <f>SUM(N6:N15)</f>
        <v>404.06681674583712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3424.1041889999997</v>
      </c>
      <c r="C8" s="33"/>
      <c r="D8" s="37">
        <f>IF( ISERROR(IND_metaal_Gas_kWH/1000),0,IND_metaal_Gas_kWH/1000)*0.902</f>
        <v>6330.6014867920003</v>
      </c>
      <c r="E8" s="33">
        <f>C30*'E Balans VL '!I18/100/3.6*1000000</f>
        <v>24.572189267073213</v>
      </c>
      <c r="F8" s="33">
        <f>C30*'E Balans VL '!L18/100/3.6*1000000+C30*'E Balans VL '!N18/100/3.6*1000000</f>
        <v>227.90592348110064</v>
      </c>
      <c r="G8" s="34"/>
      <c r="H8" s="33"/>
      <c r="I8" s="33"/>
      <c r="J8" s="40">
        <f>C30*'E Balans VL '!D18/100/3.6*1000000+C30*'E Balans VL '!E18/100/3.6*1000000</f>
        <v>3.3009828567755855</v>
      </c>
      <c r="K8" s="33"/>
      <c r="L8" s="33"/>
      <c r="M8" s="33"/>
      <c r="N8" s="33">
        <f>C30*'E Balans VL '!Y18/100/3.6*1000000</f>
        <v>41.492260616727386</v>
      </c>
      <c r="O8" s="33"/>
      <c r="P8" s="33"/>
      <c r="R8" s="32"/>
    </row>
    <row r="9" spans="1:18">
      <c r="A9" s="6" t="s">
        <v>32</v>
      </c>
      <c r="B9" s="37">
        <f t="shared" si="0"/>
        <v>2481.0794769999998</v>
      </c>
      <c r="C9" s="33"/>
      <c r="D9" s="37">
        <f>IF( ISERROR(IND_andere_gas_kWh/1000),0,IND_andere_gas_kWh/1000)*0.902</f>
        <v>3685.9955593560003</v>
      </c>
      <c r="E9" s="33">
        <f>C31*'E Balans VL '!I19/100/3.6*1000000</f>
        <v>6.5231956527172494</v>
      </c>
      <c r="F9" s="33">
        <f>C31*'E Balans VL '!L19/100/3.6*1000000+C31*'E Balans VL '!N19/100/3.6*1000000</f>
        <v>1638.5164716053769</v>
      </c>
      <c r="G9" s="34"/>
      <c r="H9" s="33"/>
      <c r="I9" s="33"/>
      <c r="J9" s="40">
        <f>C31*'E Balans VL '!D19/100/3.6*1000000+C31*'E Balans VL '!E19/100/3.6*1000000</f>
        <v>0</v>
      </c>
      <c r="K9" s="33"/>
      <c r="L9" s="33"/>
      <c r="M9" s="33"/>
      <c r="N9" s="33">
        <f>C31*'E Balans VL '!Y19/100/3.6*1000000</f>
        <v>132.46088549193149</v>
      </c>
      <c r="O9" s="33"/>
      <c r="P9" s="33"/>
      <c r="R9" s="32"/>
    </row>
    <row r="10" spans="1:18">
      <c r="A10" s="6" t="s">
        <v>40</v>
      </c>
      <c r="B10" s="37">
        <f t="shared" si="0"/>
        <v>697.03092299999992</v>
      </c>
      <c r="C10" s="33"/>
      <c r="D10" s="37">
        <f>IF( ISERROR(IND_voed_gas_kWh/1000),0,IND_voed_gas_kWh/1000)*0.902</f>
        <v>3681.1969437100001</v>
      </c>
      <c r="E10" s="33">
        <f>C32*'E Balans VL '!I20/100/3.6*1000000</f>
        <v>1.1767475400171752</v>
      </c>
      <c r="F10" s="33">
        <f>C32*'E Balans VL '!L20/100/3.6*1000000+C32*'E Balans VL '!N20/100/3.6*1000000</f>
        <v>40.912673076691277</v>
      </c>
      <c r="G10" s="34"/>
      <c r="H10" s="33"/>
      <c r="I10" s="33"/>
      <c r="J10" s="40">
        <f>C32*'E Balans VL '!D20/100/3.6*1000000+C32*'E Balans VL '!E20/100/3.6*1000000</f>
        <v>0</v>
      </c>
      <c r="K10" s="33"/>
      <c r="L10" s="33"/>
      <c r="M10" s="33"/>
      <c r="N10" s="33">
        <f>C32*'E Balans VL '!Y20/100/3.6*1000000</f>
        <v>37.949844420018735</v>
      </c>
      <c r="O10" s="33"/>
      <c r="P10" s="33"/>
      <c r="R10" s="32"/>
    </row>
    <row r="11" spans="1:18">
      <c r="A11" s="6" t="s">
        <v>39</v>
      </c>
      <c r="B11" s="37">
        <f t="shared" si="0"/>
        <v>7.2264189999999999</v>
      </c>
      <c r="C11" s="33"/>
      <c r="D11" s="37">
        <f>IF( ISERROR(IND_textiel_gas_kWh/1000),0,IND_textiel_gas_kWh/1000)*0.902</f>
        <v>0</v>
      </c>
      <c r="E11" s="33">
        <f>C33*'E Balans VL '!I21/100/3.6*1000000</f>
        <v>2.5171485650595151E-2</v>
      </c>
      <c r="F11" s="33">
        <f>C33*'E Balans VL '!L21/100/3.6*1000000+C33*'E Balans VL '!N21/100/3.6*1000000</f>
        <v>0.19203582496337154</v>
      </c>
      <c r="G11" s="34"/>
      <c r="H11" s="33"/>
      <c r="I11" s="33"/>
      <c r="J11" s="40">
        <f>C33*'E Balans VL '!D21/100/3.6*1000000+C33*'E Balans VL '!E21/100/3.6*1000000</f>
        <v>0</v>
      </c>
      <c r="K11" s="33"/>
      <c r="L11" s="33"/>
      <c r="M11" s="33"/>
      <c r="N11" s="33">
        <f>C33*'E Balans VL '!Y21/100/3.6*1000000</f>
        <v>8.9332815912627919E-4</v>
      </c>
      <c r="O11" s="33"/>
      <c r="P11" s="33"/>
      <c r="R11" s="32"/>
    </row>
    <row r="12" spans="1:18">
      <c r="A12" s="6" t="s">
        <v>36</v>
      </c>
      <c r="B12" s="37">
        <f t="shared" si="0"/>
        <v>172.35184099999998</v>
      </c>
      <c r="C12" s="33"/>
      <c r="D12" s="37">
        <f>IF( ISERROR(IND_min_gas_kWh/1000),0,IND_min_gas_kWh/1000)*0.902</f>
        <v>0</v>
      </c>
      <c r="E12" s="33">
        <f>C34*'E Balans VL '!I22/100/3.6*1000000</f>
        <v>2.4812421594662988</v>
      </c>
      <c r="F12" s="33">
        <f>C34*'E Balans VL '!L22/100/3.6*1000000+C34*'E Balans VL '!N22/100/3.6*1000000</f>
        <v>20.721612284637043</v>
      </c>
      <c r="G12" s="34"/>
      <c r="H12" s="33"/>
      <c r="I12" s="33"/>
      <c r="J12" s="40">
        <f>C34*'E Balans VL '!D22/100/3.6*1000000+C34*'E Balans VL '!E22/100/3.6*1000000</f>
        <v>0.12583849090858212</v>
      </c>
      <c r="K12" s="33"/>
      <c r="L12" s="33"/>
      <c r="M12" s="33"/>
      <c r="N12" s="33">
        <f>C34*'E Balans VL '!Y22/100/3.6*1000000</f>
        <v>102.51971662911778</v>
      </c>
      <c r="O12" s="33"/>
      <c r="P12" s="33"/>
      <c r="R12" s="32"/>
    </row>
    <row r="13" spans="1:18">
      <c r="A13" s="6" t="s">
        <v>38</v>
      </c>
      <c r="B13" s="37">
        <f t="shared" si="0"/>
        <v>35049.777979999999</v>
      </c>
      <c r="C13" s="33"/>
      <c r="D13" s="37">
        <f>IF( ISERROR(IND_papier_gas_kWh/1000),0,IND_papier_gas_kWh/1000)*0.902</f>
        <v>0</v>
      </c>
      <c r="E13" s="33">
        <f>C35*'E Balans VL '!I23/100/3.6*1000000</f>
        <v>124.00645369572253</v>
      </c>
      <c r="F13" s="33">
        <f>C35*'E Balans VL '!L23/100/3.6*1000000+C35*'E Balans VL '!N23/100/3.6*1000000</f>
        <v>324.93841248600273</v>
      </c>
      <c r="G13" s="34"/>
      <c r="H13" s="33"/>
      <c r="I13" s="33"/>
      <c r="J13" s="40">
        <f>C35*'E Balans VL '!D23/100/3.6*1000000+C35*'E Balans VL '!E23/100/3.6*1000000</f>
        <v>0</v>
      </c>
      <c r="K13" s="33"/>
      <c r="L13" s="33"/>
      <c r="M13" s="33"/>
      <c r="N13" s="33">
        <f>C35*'E Balans VL '!Y23/100/3.6*1000000</f>
        <v>-763.51464144714294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23417.738309999997</v>
      </c>
      <c r="C15" s="33"/>
      <c r="D15" s="37">
        <f>IF( ISERROR(IND_rest_gas_kWh/1000),0,IND_rest_gas_kWh/1000)*0.902</f>
        <v>12015.438260980001</v>
      </c>
      <c r="E15" s="33">
        <f>C37*'E Balans VL '!I15/100/3.6*1000000</f>
        <v>1117.1294393513544</v>
      </c>
      <c r="F15" s="33">
        <f>C37*'E Balans VL '!L15/100/3.6*1000000+C37*'E Balans VL '!N15/100/3.6*1000000</f>
        <v>3702.6009628079933</v>
      </c>
      <c r="G15" s="34"/>
      <c r="H15" s="33"/>
      <c r="I15" s="33"/>
      <c r="J15" s="40">
        <f>C37*'E Balans VL '!D15/100/3.6*1000000+C37*'E Balans VL '!E15/100/3.6*1000000</f>
        <v>90.001024665660722</v>
      </c>
      <c r="K15" s="33"/>
      <c r="L15" s="33"/>
      <c r="M15" s="33"/>
      <c r="N15" s="33">
        <f>C37*'E Balans VL '!Y15/100/3.6*1000000</f>
        <v>853.15785770702553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65249.30913899999</v>
      </c>
      <c r="C18" s="21">
        <f>C5+C16</f>
        <v>0</v>
      </c>
      <c r="D18" s="21">
        <f>MAX((D5+D16),0)</f>
        <v>25713.232250838002</v>
      </c>
      <c r="E18" s="21">
        <f>MAX((E5+E16),0)</f>
        <v>1275.9144391520015</v>
      </c>
      <c r="F18" s="21">
        <f>MAX((F5+F16),0)</f>
        <v>5955.7880915667647</v>
      </c>
      <c r="G18" s="21"/>
      <c r="H18" s="21"/>
      <c r="I18" s="21"/>
      <c r="J18" s="21">
        <f>MAX((J5+J16),0)</f>
        <v>93.42784601334489</v>
      </c>
      <c r="K18" s="21"/>
      <c r="L18" s="21">
        <f>MAX((L5+L16),0)</f>
        <v>0</v>
      </c>
      <c r="M18" s="21"/>
      <c r="N18" s="21">
        <f>MAX((N5+N16),0)</f>
        <v>404.06681674583712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0.17231260528506562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11243.278450791729</v>
      </c>
      <c r="C22" s="23">
        <f ca="1">C18*C20</f>
        <v>0</v>
      </c>
      <c r="D22" s="23">
        <f>D18*D20</f>
        <v>5194.0729146692765</v>
      </c>
      <c r="E22" s="23">
        <f>E18*E20</f>
        <v>289.63257768750435</v>
      </c>
      <c r="F22" s="23">
        <f>F18*F20</f>
        <v>1590.1954204483263</v>
      </c>
      <c r="G22" s="23"/>
      <c r="H22" s="23"/>
      <c r="I22" s="23"/>
      <c r="J22" s="23">
        <f>J18*J20</f>
        <v>33.073457488724088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3424.1041889999997</v>
      </c>
      <c r="C30" s="39">
        <f>IF(ISERROR(B30*3.6/1000000/'E Balans VL '!Z18*100),0,B30*3.6/1000000/'E Balans VL '!Z18*100)</f>
        <v>0.18946061706857364</v>
      </c>
      <c r="D30" s="234" t="s">
        <v>667</v>
      </c>
    </row>
    <row r="31" spans="1:18">
      <c r="A31" s="6" t="s">
        <v>32</v>
      </c>
      <c r="B31" s="37">
        <f>IF( ISERROR(IND_ander_ele_kWh/1000),0,IND_ander_ele_kWh/1000)</f>
        <v>2481.0794769999998</v>
      </c>
      <c r="C31" s="39">
        <f>IF(ISERROR(B31*3.6/1000000/'E Balans VL '!Z19*100),0,B31*3.6/1000000/'E Balans VL '!Z19*100)</f>
        <v>0.10823243910688141</v>
      </c>
      <c r="D31" s="234" t="s">
        <v>667</v>
      </c>
    </row>
    <row r="32" spans="1:18">
      <c r="A32" s="168" t="s">
        <v>40</v>
      </c>
      <c r="B32" s="37">
        <f>IF( ISERROR(IND_voed_ele_kWh/1000),0,IND_voed_ele_kWh/1000)</f>
        <v>697.03092299999992</v>
      </c>
      <c r="C32" s="39">
        <f>IF(ISERROR(B32*3.6/1000000/'E Balans VL '!Z20*100),0,B32*3.6/1000000/'E Balans VL '!Z20*100)</f>
        <v>2.1879306183647848E-2</v>
      </c>
      <c r="D32" s="234" t="s">
        <v>667</v>
      </c>
    </row>
    <row r="33" spans="1:5">
      <c r="A33" s="168" t="s">
        <v>39</v>
      </c>
      <c r="B33" s="37">
        <f>IF( ISERROR(IND_textiel_ele_kWh/1000),0,IND_textiel_ele_kWh/1000)</f>
        <v>7.2264189999999999</v>
      </c>
      <c r="C33" s="39">
        <f>IF(ISERROR(B33*3.6/1000000/'E Balans VL '!Z21*100),0,B33*3.6/1000000/'E Balans VL '!Z21*100)</f>
        <v>1.1222950553314928E-3</v>
      </c>
      <c r="D33" s="234" t="s">
        <v>667</v>
      </c>
    </row>
    <row r="34" spans="1:5">
      <c r="A34" s="168" t="s">
        <v>36</v>
      </c>
      <c r="B34" s="37">
        <f>IF( ISERROR(IND_min_ele_kWh/1000),0,IND_min_ele_kWh/1000)</f>
        <v>172.35184099999998</v>
      </c>
      <c r="C34" s="39">
        <f>IF(ISERROR(B34*3.6/1000000/'E Balans VL '!Z22*100),0,B34*3.6/1000000/'E Balans VL '!Z22*100)</f>
        <v>7.7306922742469572E-2</v>
      </c>
      <c r="D34" s="234" t="s">
        <v>667</v>
      </c>
    </row>
    <row r="35" spans="1:5">
      <c r="A35" s="168" t="s">
        <v>38</v>
      </c>
      <c r="B35" s="37">
        <f>IF( ISERROR(IND_papier_ele_kWh/1000),0,IND_papier_ele_kWh/1000)</f>
        <v>35049.777979999999</v>
      </c>
      <c r="C35" s="39">
        <f>IF(ISERROR(B35*3.6/1000000/'E Balans VL '!Z22*100),0,B35*3.6/1000000/'E Balans VL '!Z22*100)</f>
        <v>15.721273777635897</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23417.738309999997</v>
      </c>
      <c r="C37" s="39">
        <f>IF(ISERROR(B37*3.6/1000000/'E Balans VL '!Z15*100),0,B37*3.6/1000000/'E Balans VL '!Z15*100)</f>
        <v>0.19058334237988739</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2256.1760530000001</v>
      </c>
      <c r="C5" s="17">
        <f>'Eigen informatie GS &amp; warmtenet'!B62</f>
        <v>0</v>
      </c>
      <c r="D5" s="30">
        <f>IF(ISERROR(SUM(LB_lb_gas_kWh,LB_rest_gas_kWh)/1000),0,SUM(LB_lb_gas_kWh,LB_rest_gas_kWh)/1000)*0.902</f>
        <v>276.75401586799995</v>
      </c>
      <c r="E5" s="17">
        <f>B17*'E Balans VL '!I25/3.6*1000000/100</f>
        <v>91.660423399477992</v>
      </c>
      <c r="F5" s="17">
        <f>B17*('E Balans VL '!L25/3.6*1000000+'E Balans VL '!N25/3.6*1000000)/100</f>
        <v>7980.8841568209255</v>
      </c>
      <c r="G5" s="18"/>
      <c r="H5" s="17"/>
      <c r="I5" s="17"/>
      <c r="J5" s="17">
        <f>('E Balans VL '!D25+'E Balans VL '!E25)/3.6*1000000*landbouw!B17/100</f>
        <v>641.02638451986468</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2256.1760530000001</v>
      </c>
      <c r="C8" s="21">
        <f>C5+C6</f>
        <v>62.357142857142847</v>
      </c>
      <c r="D8" s="21">
        <f>MAX((D5+D6),0)</f>
        <v>276.75401586799995</v>
      </c>
      <c r="E8" s="21">
        <f>MAX((E5+E6),0)</f>
        <v>91.660423399477992</v>
      </c>
      <c r="F8" s="21">
        <f>MAX((F5+F6),0)</f>
        <v>7980.8841568209255</v>
      </c>
      <c r="G8" s="21"/>
      <c r="H8" s="21"/>
      <c r="I8" s="21"/>
      <c r="J8" s="21">
        <f>MAX((J5+J6),0)</f>
        <v>641.02638451986468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0.17231260528506562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388.76757367420629</v>
      </c>
      <c r="C12" s="23">
        <f ca="1">C8*C10</f>
        <v>0</v>
      </c>
      <c r="D12" s="23">
        <f>D8*D10</f>
        <v>55.904311205335993</v>
      </c>
      <c r="E12" s="23">
        <f>E8*E10</f>
        <v>20.806916111681506</v>
      </c>
      <c r="F12" s="23">
        <f>F8*F10</f>
        <v>2130.8960698711871</v>
      </c>
      <c r="G12" s="23"/>
      <c r="H12" s="23"/>
      <c r="I12" s="23"/>
      <c r="J12" s="23">
        <f>J8*J10</f>
        <v>226.92334012003209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0.3353967440804157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366.28662143215854</v>
      </c>
      <c r="C26" s="244">
        <f>B26*'GWP N2O_CH4'!B5</f>
        <v>7692.0190500753297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214.88414330078623</v>
      </c>
      <c r="C27" s="244">
        <f>B27*'GWP N2O_CH4'!B5</f>
        <v>4512.5670093165108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5.1500293841803142</v>
      </c>
      <c r="C28" s="244">
        <f>B28*'GWP N2O_CH4'!B4</f>
        <v>1596.5091090958974</v>
      </c>
      <c r="D28" s="50"/>
    </row>
    <row r="29" spans="1:4">
      <c r="A29" s="41" t="s">
        <v>265</v>
      </c>
      <c r="B29" s="244">
        <f>B34*'ha_N2O bodem landbouw'!B4</f>
        <v>10.897364792090016</v>
      </c>
      <c r="C29" s="244">
        <f>B29*'GWP N2O_CH4'!B4</f>
        <v>3378.1830855479052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2.3895958962638392E-3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4.1844380667810908E-4</v>
      </c>
      <c r="C5" s="429" t="s">
        <v>204</v>
      </c>
      <c r="D5" s="414">
        <f>SUM(D6:D11)</f>
        <v>7.3883624783663282E-4</v>
      </c>
      <c r="E5" s="414">
        <f>SUM(E6:E11)</f>
        <v>6.3302998940579808E-4</v>
      </c>
      <c r="F5" s="427" t="s">
        <v>204</v>
      </c>
      <c r="G5" s="414">
        <f>SUM(G6:G11)</f>
        <v>0.38426934920873207</v>
      </c>
      <c r="H5" s="414">
        <f>SUM(H6:H11)</f>
        <v>7.0804878057116133E-2</v>
      </c>
      <c r="I5" s="429" t="s">
        <v>204</v>
      </c>
      <c r="J5" s="429" t="s">
        <v>204</v>
      </c>
      <c r="K5" s="429" t="s">
        <v>204</v>
      </c>
      <c r="L5" s="429" t="s">
        <v>204</v>
      </c>
      <c r="M5" s="414">
        <f>SUM(M6:M11)</f>
        <v>2.6837961007043942E-2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3.3448266612675075E-4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5.6746752934280092E-4</v>
      </c>
      <c r="E6" s="843">
        <f>vkm_GW_PW*SUMIFS(TableVerdeelsleutelVkm[LPG],TableVerdeelsleutelVkm[Voertuigtype],"Lichte voertuigen")*SUMIFS(TableECFTransport[EnergieConsumptieFactor (PJ per km)],TableECFTransport[Index],CONCATENATE($A6,"_LPG_LPG"))</f>
        <v>4.9131870956153022E-4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0.15694779606467091</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5.4600175338415421E-2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1.2661873178115592E-2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4.298332475692043E-6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0.16405479814091234</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2.6146204937484718E-6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9.4565311288352452E-3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7.9229426781907378E-5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1.7136871849383184E-4</v>
      </c>
      <c r="E8" s="417">
        <f>vkm_NGW_PW*SUMIFS(TableVerdeelsleutelVkm[LPG],TableVerdeelsleutelVkm[Voertuigtype],"Lichte voertuigen")*SUMIFS(TableECFTransport[EnergieConsumptieFactor (PJ per km)],TableECFTransport[Index],CONCATENATE($A8,"_LPG_LPG"))</f>
        <v>1.4171127984426789E-4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4.2002151567049069E-2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1.6201769901805538E-2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3.4938128530456677E-3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4.3338129375884931E-7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2.1264603436099747E-2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3.1819640142896125E-7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1.2257438470474377E-3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116.23439074391919</v>
      </c>
      <c r="C14" s="21"/>
      <c r="D14" s="21">
        <f t="shared" ref="D14:M14" si="0">((D5)*10^9/3600)+D12</f>
        <v>205.23229106573132</v>
      </c>
      <c r="E14" s="21">
        <f t="shared" si="0"/>
        <v>175.8416637238328</v>
      </c>
      <c r="F14" s="21"/>
      <c r="G14" s="21">
        <f t="shared" si="0"/>
        <v>106741.48589131446</v>
      </c>
      <c r="H14" s="21">
        <f t="shared" si="0"/>
        <v>19668.02168253226</v>
      </c>
      <c r="I14" s="21"/>
      <c r="J14" s="21"/>
      <c r="K14" s="21"/>
      <c r="L14" s="21"/>
      <c r="M14" s="21">
        <f t="shared" si="0"/>
        <v>7454.9891686233177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0.17231260528506562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20.028650692807034</v>
      </c>
      <c r="C18" s="23"/>
      <c r="D18" s="23">
        <f t="shared" ref="D18:M18" si="1">D14*D16</f>
        <v>41.456922795277727</v>
      </c>
      <c r="E18" s="23">
        <f t="shared" si="1"/>
        <v>39.916057665310049</v>
      </c>
      <c r="F18" s="23"/>
      <c r="G18" s="23">
        <f t="shared" si="1"/>
        <v>28499.976732980962</v>
      </c>
      <c r="H18" s="23">
        <f t="shared" si="1"/>
        <v>4897.3373989505326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6.2904316905770119E-5</v>
      </c>
      <c r="C50" s="313">
        <f t="shared" ref="C50:P50" si="2">SUM(C51:C52)</f>
        <v>0</v>
      </c>
      <c r="D50" s="313">
        <f t="shared" si="2"/>
        <v>0</v>
      </c>
      <c r="E50" s="313">
        <f t="shared" si="2"/>
        <v>0</v>
      </c>
      <c r="F50" s="313">
        <f t="shared" si="2"/>
        <v>0</v>
      </c>
      <c r="G50" s="313">
        <f t="shared" si="2"/>
        <v>4.5575125688104342E-3</v>
      </c>
      <c r="H50" s="313">
        <f t="shared" si="2"/>
        <v>0</v>
      </c>
      <c r="I50" s="313">
        <f t="shared" si="2"/>
        <v>0</v>
      </c>
      <c r="J50" s="313">
        <f t="shared" si="2"/>
        <v>0</v>
      </c>
      <c r="K50" s="313">
        <f t="shared" si="2"/>
        <v>0</v>
      </c>
      <c r="L50" s="313">
        <f t="shared" si="2"/>
        <v>0</v>
      </c>
      <c r="M50" s="313">
        <f t="shared" si="2"/>
        <v>2.5778648331640982E-4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6.2904316905770119E-5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4.5575125688104342E-3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2.5778648331640982E-4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17.473421362713921</v>
      </c>
      <c r="C54" s="21">
        <f t="shared" ref="C54:P54" si="3">(C50)*10^9/3600</f>
        <v>0</v>
      </c>
      <c r="D54" s="21">
        <f t="shared" si="3"/>
        <v>0</v>
      </c>
      <c r="E54" s="21">
        <f t="shared" si="3"/>
        <v>0</v>
      </c>
      <c r="F54" s="21">
        <f t="shared" si="3"/>
        <v>0</v>
      </c>
      <c r="G54" s="21">
        <f t="shared" si="3"/>
        <v>1265.9757135584539</v>
      </c>
      <c r="H54" s="21">
        <f t="shared" si="3"/>
        <v>0</v>
      </c>
      <c r="I54" s="21">
        <f t="shared" si="3"/>
        <v>0</v>
      </c>
      <c r="J54" s="21">
        <f t="shared" si="3"/>
        <v>0</v>
      </c>
      <c r="K54" s="21">
        <f t="shared" si="3"/>
        <v>0</v>
      </c>
      <c r="L54" s="21">
        <f t="shared" si="3"/>
        <v>0</v>
      </c>
      <c r="M54" s="21">
        <f t="shared" si="3"/>
        <v>71.60735647678051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0.17231260528506562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3.0108907582529572</v>
      </c>
      <c r="C58" s="23">
        <f t="shared" ref="C58:P58" ca="1" si="4">C54*C56</f>
        <v>0</v>
      </c>
      <c r="D58" s="23">
        <f t="shared" si="4"/>
        <v>0</v>
      </c>
      <c r="E58" s="23">
        <f t="shared" si="4"/>
        <v>0</v>
      </c>
      <c r="F58" s="23">
        <f t="shared" si="4"/>
        <v>0</v>
      </c>
      <c r="G58" s="23">
        <f t="shared" si="4"/>
        <v>338.01551552010721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26886.99607482757</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4267.1645849160795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900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2250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32097.810659743649</v>
      </c>
      <c r="C10" s="554">
        <f t="shared" ref="C10:L10" si="0">SUM(C8:C9)</f>
        <v>0</v>
      </c>
      <c r="D10" s="554">
        <f t="shared" si="0"/>
        <v>0</v>
      </c>
      <c r="E10" s="554">
        <f t="shared" si="0"/>
        <v>0</v>
      </c>
      <c r="F10" s="554">
        <f t="shared" si="0"/>
        <v>0</v>
      </c>
      <c r="G10" s="554">
        <f t="shared" si="0"/>
        <v>0</v>
      </c>
      <c r="H10" s="554">
        <f t="shared" si="0"/>
        <v>0</v>
      </c>
      <c r="I10" s="554">
        <f t="shared" si="0"/>
        <v>2250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38.25" hidden="1">
      <c r="A28" s="583"/>
      <c r="B28" s="745">
        <v>43005</v>
      </c>
      <c r="C28" s="745">
        <v>9900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63.75" hidden="1">
      <c r="A35" s="585"/>
      <c r="B35" s="745">
        <v>43005</v>
      </c>
      <c r="C35" s="745">
        <v>9900</v>
      </c>
      <c r="D35" s="633"/>
      <c r="E35" s="633"/>
      <c r="F35" s="633"/>
      <c r="G35" s="633" t="s">
        <v>886</v>
      </c>
      <c r="H35" s="633" t="s">
        <v>887</v>
      </c>
      <c r="I35" s="633"/>
      <c r="J35" s="744"/>
      <c r="K35" s="744"/>
      <c r="L35" s="633" t="s">
        <v>888</v>
      </c>
      <c r="M35" s="633">
        <v>200</v>
      </c>
      <c r="N35" s="633">
        <v>900</v>
      </c>
      <c r="O35" s="633">
        <v>0</v>
      </c>
      <c r="P35" s="633">
        <v>0</v>
      </c>
      <c r="Q35" s="633">
        <v>0</v>
      </c>
      <c r="R35" s="633">
        <v>0</v>
      </c>
      <c r="S35" s="633">
        <v>0</v>
      </c>
      <c r="T35" s="633">
        <v>0</v>
      </c>
      <c r="U35" s="633">
        <v>2250</v>
      </c>
      <c r="V35" s="633">
        <v>0</v>
      </c>
      <c r="W35" s="633">
        <v>0</v>
      </c>
      <c r="X35" s="633"/>
      <c r="Y35" s="633">
        <v>1600</v>
      </c>
      <c r="Z35" s="633" t="s">
        <v>49</v>
      </c>
      <c r="AA35" s="634" t="s">
        <v>149</v>
      </c>
    </row>
    <row r="36" spans="1:28" s="564" customFormat="1" hidden="1">
      <c r="A36" s="586" t="s">
        <v>268</v>
      </c>
      <c r="B36" s="587"/>
      <c r="C36" s="587"/>
      <c r="D36" s="587"/>
      <c r="E36" s="587"/>
      <c r="F36" s="587"/>
      <c r="G36" s="587"/>
      <c r="H36" s="587"/>
      <c r="I36" s="587"/>
      <c r="J36" s="587"/>
      <c r="K36" s="587"/>
      <c r="L36" s="588"/>
      <c r="M36" s="588">
        <f>SUM(M35:M35)</f>
        <v>200</v>
      </c>
      <c r="N36" s="588">
        <f>SUM(N35:N35)</f>
        <v>900</v>
      </c>
      <c r="O36" s="588">
        <f>SUM(O35:O35)</f>
        <v>0</v>
      </c>
      <c r="P36" s="588">
        <f>SUM(P35:P35)</f>
        <v>0</v>
      </c>
      <c r="Q36" s="588">
        <f>SUM(Q35:Q35)</f>
        <v>0</v>
      </c>
      <c r="R36" s="588">
        <f>SUM(R35:R35)</f>
        <v>0</v>
      </c>
      <c r="S36" s="588">
        <f>SUM(S35:S35)</f>
        <v>0</v>
      </c>
      <c r="T36" s="588">
        <f>SUM(T35:T35)</f>
        <v>0</v>
      </c>
      <c r="U36" s="588">
        <f>SUM(U35:U35)</f>
        <v>2250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200</v>
      </c>
      <c r="N38" s="588">
        <f>SUMIF($AA$35:$AA$36,"tertiair",N35:N36)</f>
        <v>900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2250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42372.041213999997</v>
      </c>
      <c r="D10" s="641">
        <f ca="1">tertiair!C16</f>
        <v>0</v>
      </c>
      <c r="E10" s="641">
        <f ca="1">tertiair!D16</f>
        <v>56500.354952997994</v>
      </c>
      <c r="F10" s="641">
        <f>tertiair!E16</f>
        <v>91.169836185322453</v>
      </c>
      <c r="G10" s="641">
        <f ca="1">tertiair!F16</f>
        <v>7395.2044618683085</v>
      </c>
      <c r="H10" s="641">
        <f>tertiair!G16</f>
        <v>0</v>
      </c>
      <c r="I10" s="641">
        <f>tertiair!H16</f>
        <v>0</v>
      </c>
      <c r="J10" s="641">
        <f>tertiair!I16</f>
        <v>0</v>
      </c>
      <c r="K10" s="641">
        <f>tertiair!J16</f>
        <v>5.5192069901192312E-2</v>
      </c>
      <c r="L10" s="641">
        <f>tertiair!K16</f>
        <v>0</v>
      </c>
      <c r="M10" s="641">
        <f ca="1">tertiair!L16</f>
        <v>0</v>
      </c>
      <c r="N10" s="641">
        <f>tertiair!M16</f>
        <v>0</v>
      </c>
      <c r="O10" s="641">
        <f ca="1">tertiair!N16</f>
        <v>2110.863425743144</v>
      </c>
      <c r="P10" s="641">
        <f>tertiair!O16</f>
        <v>14.691782297523464</v>
      </c>
      <c r="Q10" s="642">
        <f>tertiair!P16</f>
        <v>420.31310645196015</v>
      </c>
      <c r="R10" s="644">
        <f ca="1">SUM(C10:Q10)</f>
        <v>108904.69397161415</v>
      </c>
      <c r="S10" s="67"/>
    </row>
    <row r="11" spans="1:19" s="440" customFormat="1">
      <c r="A11" s="761" t="s">
        <v>213</v>
      </c>
      <c r="B11" s="766"/>
      <c r="C11" s="641">
        <f>huishoudens!B8</f>
        <v>34381.742837584716</v>
      </c>
      <c r="D11" s="641">
        <f>huishoudens!C8</f>
        <v>0</v>
      </c>
      <c r="E11" s="641">
        <f>huishoudens!D8</f>
        <v>89538.438806740014</v>
      </c>
      <c r="F11" s="641">
        <f>huishoudens!E8</f>
        <v>1719.6982717077603</v>
      </c>
      <c r="G11" s="641">
        <f>huishoudens!F8</f>
        <v>33094.386226869261</v>
      </c>
      <c r="H11" s="641">
        <f>huishoudens!G8</f>
        <v>0</v>
      </c>
      <c r="I11" s="641">
        <f>huishoudens!H8</f>
        <v>0</v>
      </c>
      <c r="J11" s="641">
        <f>huishoudens!I8</f>
        <v>0</v>
      </c>
      <c r="K11" s="641">
        <f>huishoudens!J8</f>
        <v>169.34749677285913</v>
      </c>
      <c r="L11" s="641">
        <f>huishoudens!K8</f>
        <v>0</v>
      </c>
      <c r="M11" s="641">
        <f>huishoudens!L8</f>
        <v>0</v>
      </c>
      <c r="N11" s="641">
        <f>huishoudens!M8</f>
        <v>0</v>
      </c>
      <c r="O11" s="641">
        <f>huishoudens!N8</f>
        <v>11491.537786508021</v>
      </c>
      <c r="P11" s="641">
        <f>huishoudens!O8</f>
        <v>303.54560756621584</v>
      </c>
      <c r="Q11" s="642">
        <f>huishoudens!P8</f>
        <v>768.9790294610068</v>
      </c>
      <c r="R11" s="644">
        <f>SUM(C11:Q11)</f>
        <v>171467.67606320986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65249.30913899999</v>
      </c>
      <c r="D13" s="641">
        <f>industrie!C18</f>
        <v>0</v>
      </c>
      <c r="E13" s="641">
        <f>industrie!D18</f>
        <v>25713.232250838002</v>
      </c>
      <c r="F13" s="641">
        <f>industrie!E18</f>
        <v>1275.9144391520015</v>
      </c>
      <c r="G13" s="641">
        <f>industrie!F18</f>
        <v>5955.7880915667647</v>
      </c>
      <c r="H13" s="641">
        <f>industrie!G18</f>
        <v>0</v>
      </c>
      <c r="I13" s="641">
        <f>industrie!H18</f>
        <v>0</v>
      </c>
      <c r="J13" s="641">
        <f>industrie!I18</f>
        <v>0</v>
      </c>
      <c r="K13" s="641">
        <f>industrie!J18</f>
        <v>93.42784601334489</v>
      </c>
      <c r="L13" s="641">
        <f>industrie!K18</f>
        <v>0</v>
      </c>
      <c r="M13" s="641">
        <f>industrie!L18</f>
        <v>0</v>
      </c>
      <c r="N13" s="641">
        <f>industrie!M18</f>
        <v>0</v>
      </c>
      <c r="O13" s="641">
        <f>industrie!N18</f>
        <v>404.06681674583712</v>
      </c>
      <c r="P13" s="641">
        <f>industrie!O18</f>
        <v>0</v>
      </c>
      <c r="Q13" s="642">
        <f>industrie!P18</f>
        <v>0</v>
      </c>
      <c r="R13" s="644">
        <f>SUM(C13:Q13)</f>
        <v>98691.738583315935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142003.09319058471</v>
      </c>
      <c r="D16" s="677">
        <f t="shared" ref="D16:R16" ca="1" si="0">SUM(D9:D15)</f>
        <v>0</v>
      </c>
      <c r="E16" s="677">
        <f t="shared" ca="1" si="0"/>
        <v>171752.026010576</v>
      </c>
      <c r="F16" s="677">
        <f t="shared" si="0"/>
        <v>3086.7825470450844</v>
      </c>
      <c r="G16" s="677">
        <f t="shared" ca="1" si="0"/>
        <v>46445.378780304331</v>
      </c>
      <c r="H16" s="677">
        <f t="shared" si="0"/>
        <v>0</v>
      </c>
      <c r="I16" s="677">
        <f t="shared" si="0"/>
        <v>0</v>
      </c>
      <c r="J16" s="677">
        <f t="shared" si="0"/>
        <v>0</v>
      </c>
      <c r="K16" s="677">
        <f t="shared" si="0"/>
        <v>262.8305348561052</v>
      </c>
      <c r="L16" s="677">
        <f t="shared" si="0"/>
        <v>0</v>
      </c>
      <c r="M16" s="677">
        <f t="shared" ca="1" si="0"/>
        <v>0</v>
      </c>
      <c r="N16" s="677">
        <f t="shared" si="0"/>
        <v>0</v>
      </c>
      <c r="O16" s="677">
        <f t="shared" ca="1" si="0"/>
        <v>14006.468028997002</v>
      </c>
      <c r="P16" s="677">
        <f t="shared" si="0"/>
        <v>318.23738986373928</v>
      </c>
      <c r="Q16" s="677">
        <f t="shared" si="0"/>
        <v>1189.2921359129668</v>
      </c>
      <c r="R16" s="677">
        <f t="shared" ca="1" si="0"/>
        <v>379064.10861813993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17.473421362713921</v>
      </c>
      <c r="D19" s="641">
        <f>transport!C54</f>
        <v>0</v>
      </c>
      <c r="E19" s="641">
        <f>transport!D54</f>
        <v>0</v>
      </c>
      <c r="F19" s="641">
        <f>transport!E54</f>
        <v>0</v>
      </c>
      <c r="G19" s="641">
        <f>transport!F54</f>
        <v>0</v>
      </c>
      <c r="H19" s="641">
        <f>transport!G54</f>
        <v>1265.9757135584539</v>
      </c>
      <c r="I19" s="641">
        <f>transport!H54</f>
        <v>0</v>
      </c>
      <c r="J19" s="641">
        <f>transport!I54</f>
        <v>0</v>
      </c>
      <c r="K19" s="641">
        <f>transport!J54</f>
        <v>0</v>
      </c>
      <c r="L19" s="641">
        <f>transport!K54</f>
        <v>0</v>
      </c>
      <c r="M19" s="641">
        <f>transport!L54</f>
        <v>0</v>
      </c>
      <c r="N19" s="641">
        <f>transport!M54</f>
        <v>71.60735647678051</v>
      </c>
      <c r="O19" s="641">
        <f>transport!N54</f>
        <v>0</v>
      </c>
      <c r="P19" s="641">
        <f>transport!O54</f>
        <v>0</v>
      </c>
      <c r="Q19" s="642">
        <f>transport!P54</f>
        <v>0</v>
      </c>
      <c r="R19" s="644">
        <f>SUM(C19:Q19)</f>
        <v>1355.0564913979483</v>
      </c>
      <c r="S19" s="67"/>
    </row>
    <row r="20" spans="1:19" s="440" customFormat="1">
      <c r="A20" s="761" t="s">
        <v>295</v>
      </c>
      <c r="B20" s="766"/>
      <c r="C20" s="641">
        <f>transport!B14</f>
        <v>116.23439074391919</v>
      </c>
      <c r="D20" s="641">
        <f>transport!C14</f>
        <v>0</v>
      </c>
      <c r="E20" s="641">
        <f>transport!D14</f>
        <v>205.23229106573132</v>
      </c>
      <c r="F20" s="641">
        <f>transport!E14</f>
        <v>175.8416637238328</v>
      </c>
      <c r="G20" s="641">
        <f>transport!F14</f>
        <v>0</v>
      </c>
      <c r="H20" s="641">
        <f>transport!G14</f>
        <v>106741.48589131446</v>
      </c>
      <c r="I20" s="641">
        <f>transport!H14</f>
        <v>19668.02168253226</v>
      </c>
      <c r="J20" s="641">
        <f>transport!I14</f>
        <v>0</v>
      </c>
      <c r="K20" s="641">
        <f>transport!J14</f>
        <v>0</v>
      </c>
      <c r="L20" s="641">
        <f>transport!K14</f>
        <v>0</v>
      </c>
      <c r="M20" s="641">
        <f>transport!L14</f>
        <v>0</v>
      </c>
      <c r="N20" s="641">
        <f>transport!M14</f>
        <v>7454.9891686233177</v>
      </c>
      <c r="O20" s="641">
        <f>transport!N14</f>
        <v>0</v>
      </c>
      <c r="P20" s="641">
        <f>transport!O14</f>
        <v>0</v>
      </c>
      <c r="Q20" s="642">
        <f>transport!P14</f>
        <v>0</v>
      </c>
      <c r="R20" s="644">
        <f>SUM(C20:Q20)</f>
        <v>134361.80508800352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133.70781210663313</v>
      </c>
      <c r="D22" s="764">
        <f t="shared" ref="D22:R22" si="1">SUM(D18:D21)</f>
        <v>0</v>
      </c>
      <c r="E22" s="764">
        <f t="shared" si="1"/>
        <v>205.23229106573132</v>
      </c>
      <c r="F22" s="764">
        <f t="shared" si="1"/>
        <v>175.8416637238328</v>
      </c>
      <c r="G22" s="764">
        <f t="shared" si="1"/>
        <v>0</v>
      </c>
      <c r="H22" s="764">
        <f t="shared" si="1"/>
        <v>108007.46160487291</v>
      </c>
      <c r="I22" s="764">
        <f t="shared" si="1"/>
        <v>19668.02168253226</v>
      </c>
      <c r="J22" s="764">
        <f t="shared" si="1"/>
        <v>0</v>
      </c>
      <c r="K22" s="764">
        <f t="shared" si="1"/>
        <v>0</v>
      </c>
      <c r="L22" s="764">
        <f t="shared" si="1"/>
        <v>0</v>
      </c>
      <c r="M22" s="764">
        <f t="shared" si="1"/>
        <v>0</v>
      </c>
      <c r="N22" s="764">
        <f t="shared" si="1"/>
        <v>7526.596525100098</v>
      </c>
      <c r="O22" s="764">
        <f t="shared" si="1"/>
        <v>0</v>
      </c>
      <c r="P22" s="764">
        <f t="shared" si="1"/>
        <v>0</v>
      </c>
      <c r="Q22" s="764">
        <f t="shared" si="1"/>
        <v>0</v>
      </c>
      <c r="R22" s="764">
        <f t="shared" si="1"/>
        <v>135716.86157940148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2256.1760530000001</v>
      </c>
      <c r="D24" s="641">
        <f>+landbouw!C8</f>
        <v>62.357142857142847</v>
      </c>
      <c r="E24" s="641">
        <f>+landbouw!D8</f>
        <v>276.75401586799995</v>
      </c>
      <c r="F24" s="641">
        <f>+landbouw!E8</f>
        <v>91.660423399477992</v>
      </c>
      <c r="G24" s="641">
        <f>+landbouw!F8</f>
        <v>7980.8841568209255</v>
      </c>
      <c r="H24" s="641">
        <f>+landbouw!G8</f>
        <v>0</v>
      </c>
      <c r="I24" s="641">
        <f>+landbouw!H8</f>
        <v>0</v>
      </c>
      <c r="J24" s="641">
        <f>+landbouw!I8</f>
        <v>0</v>
      </c>
      <c r="K24" s="641">
        <f>+landbouw!J8</f>
        <v>641.02638451986468</v>
      </c>
      <c r="L24" s="641">
        <f>+landbouw!K8</f>
        <v>0</v>
      </c>
      <c r="M24" s="641">
        <f>+landbouw!L8</f>
        <v>0</v>
      </c>
      <c r="N24" s="641">
        <f>+landbouw!M8</f>
        <v>0</v>
      </c>
      <c r="O24" s="641">
        <f>+landbouw!N8</f>
        <v>0</v>
      </c>
      <c r="P24" s="641">
        <f>+landbouw!O8</f>
        <v>0</v>
      </c>
      <c r="Q24" s="642">
        <f>+landbouw!P8</f>
        <v>0</v>
      </c>
      <c r="R24" s="644">
        <f>SUM(C24:Q24)</f>
        <v>11308.85817646541</v>
      </c>
      <c r="S24" s="67"/>
    </row>
    <row r="25" spans="1:19" s="440" customFormat="1" ht="15" thickBot="1">
      <c r="A25" s="783" t="s">
        <v>683</v>
      </c>
      <c r="B25" s="901"/>
      <c r="C25" s="902">
        <f>IF(Onbekend_ele_kWh="---",0,Onbekend_ele_kWh)/1000+IF(REST_rest_ele_kWh="---",0,REST_rest_ele_kWh)/1000</f>
        <v>1304.2038540000001</v>
      </c>
      <c r="D25" s="902"/>
      <c r="E25" s="902">
        <f>IF(onbekend_gas_kWh="---",0,onbekend_gas_kWh)/1000+IF(REST_rest_gas_kWh="---",0,REST_rest_gas_kWh)/1000</f>
        <v>4484.3284539999995</v>
      </c>
      <c r="F25" s="902"/>
      <c r="G25" s="902"/>
      <c r="H25" s="902"/>
      <c r="I25" s="902"/>
      <c r="J25" s="902"/>
      <c r="K25" s="902"/>
      <c r="L25" s="902"/>
      <c r="M25" s="902"/>
      <c r="N25" s="902"/>
      <c r="O25" s="902"/>
      <c r="P25" s="902"/>
      <c r="Q25" s="903"/>
      <c r="R25" s="644">
        <f>SUM(C25:Q25)</f>
        <v>5788.5323079999998</v>
      </c>
      <c r="S25" s="67"/>
    </row>
    <row r="26" spans="1:19" s="440" customFormat="1" ht="15.75" thickBot="1">
      <c r="A26" s="649" t="s">
        <v>684</v>
      </c>
      <c r="B26" s="769"/>
      <c r="C26" s="764">
        <f>SUM(C24:C25)</f>
        <v>3560.3799070000005</v>
      </c>
      <c r="D26" s="764">
        <f t="shared" ref="D26:R26" si="2">SUM(D24:D25)</f>
        <v>62.357142857142847</v>
      </c>
      <c r="E26" s="764">
        <f t="shared" si="2"/>
        <v>4761.0824698679999</v>
      </c>
      <c r="F26" s="764">
        <f t="shared" si="2"/>
        <v>91.660423399477992</v>
      </c>
      <c r="G26" s="764">
        <f t="shared" si="2"/>
        <v>7980.8841568209255</v>
      </c>
      <c r="H26" s="764">
        <f t="shared" si="2"/>
        <v>0</v>
      </c>
      <c r="I26" s="764">
        <f t="shared" si="2"/>
        <v>0</v>
      </c>
      <c r="J26" s="764">
        <f t="shared" si="2"/>
        <v>0</v>
      </c>
      <c r="K26" s="764">
        <f t="shared" si="2"/>
        <v>641.02638451986468</v>
      </c>
      <c r="L26" s="764">
        <f t="shared" si="2"/>
        <v>0</v>
      </c>
      <c r="M26" s="764">
        <f t="shared" si="2"/>
        <v>0</v>
      </c>
      <c r="N26" s="764">
        <f t="shared" si="2"/>
        <v>0</v>
      </c>
      <c r="O26" s="764">
        <f t="shared" si="2"/>
        <v>0</v>
      </c>
      <c r="P26" s="764">
        <f t="shared" si="2"/>
        <v>0</v>
      </c>
      <c r="Q26" s="764">
        <f t="shared" si="2"/>
        <v>0</v>
      </c>
      <c r="R26" s="764">
        <f t="shared" si="2"/>
        <v>17097.39048446541</v>
      </c>
      <c r="S26" s="67"/>
    </row>
    <row r="27" spans="1:19" s="440" customFormat="1" ht="17.25" thickTop="1" thickBot="1">
      <c r="A27" s="650" t="s">
        <v>109</v>
      </c>
      <c r="B27" s="756"/>
      <c r="C27" s="651">
        <f ca="1">C22+C16+C26</f>
        <v>145697.18090969135</v>
      </c>
      <c r="D27" s="651">
        <f t="shared" ref="D27:R27" ca="1" si="3">D22+D16+D26</f>
        <v>62.357142857142847</v>
      </c>
      <c r="E27" s="651">
        <f t="shared" ca="1" si="3"/>
        <v>176718.34077150974</v>
      </c>
      <c r="F27" s="651">
        <f t="shared" si="3"/>
        <v>3354.2846341683953</v>
      </c>
      <c r="G27" s="651">
        <f t="shared" ca="1" si="3"/>
        <v>54426.262937125255</v>
      </c>
      <c r="H27" s="651">
        <f t="shared" si="3"/>
        <v>108007.46160487291</v>
      </c>
      <c r="I27" s="651">
        <f t="shared" si="3"/>
        <v>19668.02168253226</v>
      </c>
      <c r="J27" s="651">
        <f t="shared" si="3"/>
        <v>0</v>
      </c>
      <c r="K27" s="651">
        <f t="shared" si="3"/>
        <v>903.85691937596994</v>
      </c>
      <c r="L27" s="651">
        <f t="shared" si="3"/>
        <v>0</v>
      </c>
      <c r="M27" s="651">
        <f t="shared" ca="1" si="3"/>
        <v>0</v>
      </c>
      <c r="N27" s="651">
        <f t="shared" si="3"/>
        <v>7526.596525100098</v>
      </c>
      <c r="O27" s="651">
        <f t="shared" ca="1" si="3"/>
        <v>14006.468028997002</v>
      </c>
      <c r="P27" s="651">
        <f t="shared" si="3"/>
        <v>318.23738986373928</v>
      </c>
      <c r="Q27" s="651">
        <f t="shared" si="3"/>
        <v>1189.2921359129668</v>
      </c>
      <c r="R27" s="651">
        <f t="shared" ca="1" si="3"/>
        <v>531878.36068200681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7301.2368128305143</v>
      </c>
      <c r="D40" s="641">
        <f ca="1">tertiair!C20</f>
        <v>0</v>
      </c>
      <c r="E40" s="641">
        <f ca="1">tertiair!D20</f>
        <v>11413.071700505596</v>
      </c>
      <c r="F40" s="641">
        <f>tertiair!E20</f>
        <v>20.695552814068197</v>
      </c>
      <c r="G40" s="641">
        <f ca="1">tertiair!F20</f>
        <v>1974.5195913188386</v>
      </c>
      <c r="H40" s="641">
        <f>tertiair!G20</f>
        <v>0</v>
      </c>
      <c r="I40" s="641">
        <f>tertiair!H20</f>
        <v>0</v>
      </c>
      <c r="J40" s="641">
        <f>tertiair!I20</f>
        <v>0</v>
      </c>
      <c r="K40" s="641">
        <f>tertiair!J20</f>
        <v>1.9537992745022076E-2</v>
      </c>
      <c r="L40" s="641">
        <f>tertiair!K20</f>
        <v>0</v>
      </c>
      <c r="M40" s="641">
        <f ca="1">tertiair!L20</f>
        <v>0</v>
      </c>
      <c r="N40" s="641">
        <f>tertiair!M20</f>
        <v>0</v>
      </c>
      <c r="O40" s="641">
        <f ca="1">tertiair!N20</f>
        <v>0</v>
      </c>
      <c r="P40" s="641">
        <f>tertiair!O20</f>
        <v>0</v>
      </c>
      <c r="Q40" s="724">
        <f>tertiair!P20</f>
        <v>0</v>
      </c>
      <c r="R40" s="802">
        <f t="shared" ca="1" si="4"/>
        <v>20709.543195461763</v>
      </c>
    </row>
    <row r="41" spans="1:18">
      <c r="A41" s="774" t="s">
        <v>213</v>
      </c>
      <c r="B41" s="781"/>
      <c r="C41" s="641">
        <f ca="1">huishoudens!B12</f>
        <v>5924.4076825853672</v>
      </c>
      <c r="D41" s="641">
        <f ca="1">huishoudens!C12</f>
        <v>0</v>
      </c>
      <c r="E41" s="641">
        <f>huishoudens!D12</f>
        <v>18086.764638961486</v>
      </c>
      <c r="F41" s="641">
        <f>huishoudens!E12</f>
        <v>390.37150767766161</v>
      </c>
      <c r="G41" s="641">
        <f>huishoudens!F12</f>
        <v>8836.2011225740935</v>
      </c>
      <c r="H41" s="641">
        <f>huishoudens!G12</f>
        <v>0</v>
      </c>
      <c r="I41" s="641">
        <f>huishoudens!H12</f>
        <v>0</v>
      </c>
      <c r="J41" s="641">
        <f>huishoudens!I12</f>
        <v>0</v>
      </c>
      <c r="K41" s="641">
        <f>huishoudens!J12</f>
        <v>59.949013857592128</v>
      </c>
      <c r="L41" s="641">
        <f>huishoudens!K12</f>
        <v>0</v>
      </c>
      <c r="M41" s="641">
        <f>huishoudens!L12</f>
        <v>0</v>
      </c>
      <c r="N41" s="641">
        <f>huishoudens!M12</f>
        <v>0</v>
      </c>
      <c r="O41" s="641">
        <f>huishoudens!N12</f>
        <v>0</v>
      </c>
      <c r="P41" s="641">
        <f>huishoudens!O12</f>
        <v>0</v>
      </c>
      <c r="Q41" s="724">
        <f>huishoudens!P12</f>
        <v>0</v>
      </c>
      <c r="R41" s="802">
        <f t="shared" ca="1" si="4"/>
        <v>33297.693965656203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11243.278450791729</v>
      </c>
      <c r="D43" s="641">
        <f ca="1">industrie!C22</f>
        <v>0</v>
      </c>
      <c r="E43" s="641">
        <f>industrie!D22</f>
        <v>5194.0729146692765</v>
      </c>
      <c r="F43" s="641">
        <f>industrie!E22</f>
        <v>289.63257768750435</v>
      </c>
      <c r="G43" s="641">
        <f>industrie!F22</f>
        <v>1590.1954204483263</v>
      </c>
      <c r="H43" s="641">
        <f>industrie!G22</f>
        <v>0</v>
      </c>
      <c r="I43" s="641">
        <f>industrie!H22</f>
        <v>0</v>
      </c>
      <c r="J43" s="641">
        <f>industrie!I22</f>
        <v>0</v>
      </c>
      <c r="K43" s="641">
        <f>industrie!J22</f>
        <v>33.073457488724088</v>
      </c>
      <c r="L43" s="641">
        <f>industrie!K22</f>
        <v>0</v>
      </c>
      <c r="M43" s="641">
        <f>industrie!L22</f>
        <v>0</v>
      </c>
      <c r="N43" s="641">
        <f>industrie!M22</f>
        <v>0</v>
      </c>
      <c r="O43" s="641">
        <f>industrie!N22</f>
        <v>0</v>
      </c>
      <c r="P43" s="641">
        <f>industrie!O22</f>
        <v>0</v>
      </c>
      <c r="Q43" s="724">
        <f>industrie!P22</f>
        <v>0</v>
      </c>
      <c r="R43" s="801">
        <f t="shared" ca="1" si="4"/>
        <v>18350.252821085563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24468.922946207611</v>
      </c>
      <c r="D46" s="677">
        <f t="shared" ref="D46:Q46" ca="1" si="5">SUM(D39:D45)</f>
        <v>0</v>
      </c>
      <c r="E46" s="677">
        <f t="shared" ca="1" si="5"/>
        <v>34693.909254136357</v>
      </c>
      <c r="F46" s="677">
        <f t="shared" si="5"/>
        <v>700.69963817923417</v>
      </c>
      <c r="G46" s="677">
        <f t="shared" ca="1" si="5"/>
        <v>12400.916134341258</v>
      </c>
      <c r="H46" s="677">
        <f t="shared" si="5"/>
        <v>0</v>
      </c>
      <c r="I46" s="677">
        <f t="shared" si="5"/>
        <v>0</v>
      </c>
      <c r="J46" s="677">
        <f t="shared" si="5"/>
        <v>0</v>
      </c>
      <c r="K46" s="677">
        <f t="shared" si="5"/>
        <v>93.042009339061238</v>
      </c>
      <c r="L46" s="677">
        <f t="shared" si="5"/>
        <v>0</v>
      </c>
      <c r="M46" s="677">
        <f t="shared" ca="1" si="5"/>
        <v>0</v>
      </c>
      <c r="N46" s="677">
        <f t="shared" si="5"/>
        <v>0</v>
      </c>
      <c r="O46" s="677">
        <f t="shared" ca="1" si="5"/>
        <v>0</v>
      </c>
      <c r="P46" s="677">
        <f t="shared" si="5"/>
        <v>0</v>
      </c>
      <c r="Q46" s="677">
        <f t="shared" si="5"/>
        <v>0</v>
      </c>
      <c r="R46" s="677">
        <f ca="1">SUM(R39:R45)</f>
        <v>72357.489982203537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3.0108907582529572</v>
      </c>
      <c r="D49" s="641">
        <f ca="1">transport!C58</f>
        <v>0</v>
      </c>
      <c r="E49" s="641">
        <f>transport!D58</f>
        <v>0</v>
      </c>
      <c r="F49" s="641">
        <f>transport!E58</f>
        <v>0</v>
      </c>
      <c r="G49" s="641">
        <f>transport!F58</f>
        <v>0</v>
      </c>
      <c r="H49" s="641">
        <f>transport!G58</f>
        <v>338.01551552010721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341.02640627836018</v>
      </c>
    </row>
    <row r="50" spans="1:18">
      <c r="A50" s="777" t="s">
        <v>295</v>
      </c>
      <c r="B50" s="787"/>
      <c r="C50" s="647">
        <f ca="1">transport!B18</f>
        <v>20.028650692807034</v>
      </c>
      <c r="D50" s="647">
        <f>transport!C18</f>
        <v>0</v>
      </c>
      <c r="E50" s="647">
        <f>transport!D18</f>
        <v>41.456922795277727</v>
      </c>
      <c r="F50" s="647">
        <f>transport!E18</f>
        <v>39.916057665310049</v>
      </c>
      <c r="G50" s="647">
        <f>transport!F18</f>
        <v>0</v>
      </c>
      <c r="H50" s="647">
        <f>transport!G18</f>
        <v>28499.976732980962</v>
      </c>
      <c r="I50" s="647">
        <f>transport!H18</f>
        <v>4897.3373989505326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33498.715763084889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23.039541451059989</v>
      </c>
      <c r="D52" s="677">
        <f t="shared" ref="D52:Q52" ca="1" si="6">SUM(D48:D51)</f>
        <v>0</v>
      </c>
      <c r="E52" s="677">
        <f t="shared" si="6"/>
        <v>41.456922795277727</v>
      </c>
      <c r="F52" s="677">
        <f t="shared" si="6"/>
        <v>39.916057665310049</v>
      </c>
      <c r="G52" s="677">
        <f t="shared" si="6"/>
        <v>0</v>
      </c>
      <c r="H52" s="677">
        <f t="shared" si="6"/>
        <v>28837.992248501068</v>
      </c>
      <c r="I52" s="677">
        <f t="shared" si="6"/>
        <v>4897.3373989505326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33839.74216936325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388.76757367420629</v>
      </c>
      <c r="D54" s="647">
        <f ca="1">+landbouw!C12</f>
        <v>0</v>
      </c>
      <c r="E54" s="647">
        <f>+landbouw!D12</f>
        <v>55.904311205335993</v>
      </c>
      <c r="F54" s="647">
        <f>+landbouw!E12</f>
        <v>20.806916111681506</v>
      </c>
      <c r="G54" s="647">
        <f>+landbouw!F12</f>
        <v>2130.8960698711871</v>
      </c>
      <c r="H54" s="647">
        <f>+landbouw!G12</f>
        <v>0</v>
      </c>
      <c r="I54" s="647">
        <f>+landbouw!H12</f>
        <v>0</v>
      </c>
      <c r="J54" s="647">
        <f>+landbouw!I12</f>
        <v>0</v>
      </c>
      <c r="K54" s="647">
        <f>+landbouw!J12</f>
        <v>226.92334012003209</v>
      </c>
      <c r="L54" s="647">
        <f>+landbouw!K12</f>
        <v>0</v>
      </c>
      <c r="M54" s="647">
        <f>+landbouw!L12</f>
        <v>0</v>
      </c>
      <c r="N54" s="647">
        <f>+landbouw!M12</f>
        <v>0</v>
      </c>
      <c r="O54" s="647">
        <f>+landbouw!N12</f>
        <v>0</v>
      </c>
      <c r="P54" s="647">
        <f>+landbouw!O12</f>
        <v>0</v>
      </c>
      <c r="Q54" s="648">
        <f>+landbouw!P12</f>
        <v>0</v>
      </c>
      <c r="R54" s="676">
        <f ca="1">SUM(C54:Q54)</f>
        <v>2823.2982109824429</v>
      </c>
    </row>
    <row r="55" spans="1:18" ht="15" thickBot="1">
      <c r="A55" s="777" t="s">
        <v>683</v>
      </c>
      <c r="B55" s="787"/>
      <c r="C55" s="647">
        <f ca="1">C25*'EF ele_warmte'!B12</f>
        <v>224.73076390556335</v>
      </c>
      <c r="D55" s="647"/>
      <c r="E55" s="647">
        <f>E25*EF_CO2_aardgas</f>
        <v>905.834347708</v>
      </c>
      <c r="F55" s="647"/>
      <c r="G55" s="647"/>
      <c r="H55" s="647"/>
      <c r="I55" s="647"/>
      <c r="J55" s="647"/>
      <c r="K55" s="647"/>
      <c r="L55" s="647"/>
      <c r="M55" s="647"/>
      <c r="N55" s="647"/>
      <c r="O55" s="647"/>
      <c r="P55" s="647"/>
      <c r="Q55" s="648"/>
      <c r="R55" s="676">
        <f ca="1">SUM(C55:Q55)</f>
        <v>1130.5651116135634</v>
      </c>
    </row>
    <row r="56" spans="1:18" ht="15.75" thickBot="1">
      <c r="A56" s="775" t="s">
        <v>684</v>
      </c>
      <c r="B56" s="788"/>
      <c r="C56" s="677">
        <f ca="1">SUM(C54:C55)</f>
        <v>613.49833757976967</v>
      </c>
      <c r="D56" s="677">
        <f t="shared" ref="D56:Q56" ca="1" si="7">SUM(D54:D55)</f>
        <v>0</v>
      </c>
      <c r="E56" s="677">
        <f t="shared" si="7"/>
        <v>961.73865891333594</v>
      </c>
      <c r="F56" s="677">
        <f t="shared" si="7"/>
        <v>20.806916111681506</v>
      </c>
      <c r="G56" s="677">
        <f t="shared" si="7"/>
        <v>2130.8960698711871</v>
      </c>
      <c r="H56" s="677">
        <f t="shared" si="7"/>
        <v>0</v>
      </c>
      <c r="I56" s="677">
        <f t="shared" si="7"/>
        <v>0</v>
      </c>
      <c r="J56" s="677">
        <f t="shared" si="7"/>
        <v>0</v>
      </c>
      <c r="K56" s="677">
        <f t="shared" si="7"/>
        <v>226.92334012003209</v>
      </c>
      <c r="L56" s="677">
        <f t="shared" si="7"/>
        <v>0</v>
      </c>
      <c r="M56" s="677">
        <f t="shared" si="7"/>
        <v>0</v>
      </c>
      <c r="N56" s="677">
        <f t="shared" si="7"/>
        <v>0</v>
      </c>
      <c r="O56" s="677">
        <f t="shared" si="7"/>
        <v>0</v>
      </c>
      <c r="P56" s="677">
        <f t="shared" si="7"/>
        <v>0</v>
      </c>
      <c r="Q56" s="678">
        <f t="shared" si="7"/>
        <v>0</v>
      </c>
      <c r="R56" s="679">
        <f ca="1">SUM(R54:R55)</f>
        <v>3953.8633225960066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25105.460825238442</v>
      </c>
      <c r="D61" s="685">
        <f t="shared" ref="D61:Q61" ca="1" si="8">D46+D52+D56</f>
        <v>0</v>
      </c>
      <c r="E61" s="685">
        <f t="shared" ca="1" si="8"/>
        <v>35697.10483584497</v>
      </c>
      <c r="F61" s="685">
        <f t="shared" si="8"/>
        <v>761.42261195622575</v>
      </c>
      <c r="G61" s="685">
        <f t="shared" ca="1" si="8"/>
        <v>14531.812204212445</v>
      </c>
      <c r="H61" s="685">
        <f t="shared" si="8"/>
        <v>28837.992248501068</v>
      </c>
      <c r="I61" s="685">
        <f t="shared" si="8"/>
        <v>4897.3373989505326</v>
      </c>
      <c r="J61" s="685">
        <f t="shared" si="8"/>
        <v>0</v>
      </c>
      <c r="K61" s="685">
        <f t="shared" si="8"/>
        <v>319.96534945909332</v>
      </c>
      <c r="L61" s="685">
        <f t="shared" si="8"/>
        <v>0</v>
      </c>
      <c r="M61" s="685">
        <f t="shared" ca="1" si="8"/>
        <v>0</v>
      </c>
      <c r="N61" s="685">
        <f t="shared" si="8"/>
        <v>0</v>
      </c>
      <c r="O61" s="685">
        <f t="shared" ca="1" si="8"/>
        <v>0</v>
      </c>
      <c r="P61" s="685">
        <f t="shared" si="8"/>
        <v>0</v>
      </c>
      <c r="Q61" s="685">
        <f t="shared" si="8"/>
        <v>0</v>
      </c>
      <c r="R61" s="685">
        <f ca="1">R46+R52+R56</f>
        <v>110151.09547416279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0.17231260528506562</v>
      </c>
      <c r="D63" s="731">
        <f t="shared" ca="1" si="9"/>
        <v>0</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26886.99607482757</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4267.1645849160795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900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2250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32097.810659743649</v>
      </c>
      <c r="C78" s="703">
        <f>SUM(C72:C77)</f>
        <v>0</v>
      </c>
      <c r="D78" s="704">
        <f t="shared" ref="D78:H78" si="10">SUM(D76:D77)</f>
        <v>0</v>
      </c>
      <c r="E78" s="704">
        <f t="shared" si="10"/>
        <v>0</v>
      </c>
      <c r="F78" s="704">
        <f t="shared" si="10"/>
        <v>0</v>
      </c>
      <c r="G78" s="704">
        <f t="shared" si="10"/>
        <v>0</v>
      </c>
      <c r="H78" s="704">
        <f t="shared" si="10"/>
        <v>0</v>
      </c>
      <c r="I78" s="704">
        <f>SUM(I76:I77)</f>
        <v>2250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34381.742837584716</v>
      </c>
      <c r="C4" s="444">
        <f>huishoudens!C8</f>
        <v>0</v>
      </c>
      <c r="D4" s="444">
        <f>huishoudens!D8</f>
        <v>89538.438806740014</v>
      </c>
      <c r="E4" s="444">
        <f>huishoudens!E8</f>
        <v>1719.6982717077603</v>
      </c>
      <c r="F4" s="444">
        <f>huishoudens!F8</f>
        <v>33094.386226869261</v>
      </c>
      <c r="G4" s="444">
        <f>huishoudens!G8</f>
        <v>0</v>
      </c>
      <c r="H4" s="444">
        <f>huishoudens!H8</f>
        <v>0</v>
      </c>
      <c r="I4" s="444">
        <f>huishoudens!I8</f>
        <v>0</v>
      </c>
      <c r="J4" s="444">
        <f>huishoudens!J8</f>
        <v>169.34749677285913</v>
      </c>
      <c r="K4" s="444">
        <f>huishoudens!K8</f>
        <v>0</v>
      </c>
      <c r="L4" s="444">
        <f>huishoudens!L8</f>
        <v>0</v>
      </c>
      <c r="M4" s="444">
        <f>huishoudens!M8</f>
        <v>0</v>
      </c>
      <c r="N4" s="444">
        <f>huishoudens!N8</f>
        <v>11491.537786508021</v>
      </c>
      <c r="O4" s="444">
        <f>huishoudens!O8</f>
        <v>303.54560756621584</v>
      </c>
      <c r="P4" s="445">
        <f>huishoudens!P8</f>
        <v>768.9790294610068</v>
      </c>
      <c r="Q4" s="446">
        <f>SUM(B4:P4)</f>
        <v>171467.67606320986</v>
      </c>
    </row>
    <row r="5" spans="1:17">
      <c r="A5" s="443" t="s">
        <v>149</v>
      </c>
      <c r="B5" s="444">
        <f ca="1">tertiair!B16</f>
        <v>40918.567213999995</v>
      </c>
      <c r="C5" s="444">
        <f ca="1">tertiair!C16</f>
        <v>0</v>
      </c>
      <c r="D5" s="444">
        <f ca="1">tertiair!D16</f>
        <v>56500.354952997994</v>
      </c>
      <c r="E5" s="444">
        <f>tertiair!E16</f>
        <v>91.169836185322453</v>
      </c>
      <c r="F5" s="444">
        <f ca="1">tertiair!F16</f>
        <v>7395.2044618683085</v>
      </c>
      <c r="G5" s="444">
        <f>tertiair!G16</f>
        <v>0</v>
      </c>
      <c r="H5" s="444">
        <f>tertiair!H16</f>
        <v>0</v>
      </c>
      <c r="I5" s="444">
        <f>tertiair!I16</f>
        <v>0</v>
      </c>
      <c r="J5" s="444">
        <f>tertiair!J16</f>
        <v>5.5192069901192312E-2</v>
      </c>
      <c r="K5" s="444">
        <f>tertiair!K16</f>
        <v>0</v>
      </c>
      <c r="L5" s="444">
        <f ca="1">tertiair!L16</f>
        <v>0</v>
      </c>
      <c r="M5" s="444">
        <f>tertiair!M16</f>
        <v>0</v>
      </c>
      <c r="N5" s="444">
        <f ca="1">tertiair!N16</f>
        <v>2110.863425743144</v>
      </c>
      <c r="O5" s="444">
        <f>tertiair!O16</f>
        <v>14.691782297523464</v>
      </c>
      <c r="P5" s="445">
        <f>tertiair!P16</f>
        <v>420.31310645196015</v>
      </c>
      <c r="Q5" s="443">
        <f t="shared" ref="Q5:Q14" ca="1" si="0">SUM(B5:P5)</f>
        <v>107451.21997161415</v>
      </c>
    </row>
    <row r="6" spans="1:17">
      <c r="A6" s="443" t="s">
        <v>187</v>
      </c>
      <c r="B6" s="444">
        <f>'openbare verlichting'!B8</f>
        <v>1453.4739999999999</v>
      </c>
      <c r="C6" s="444"/>
      <c r="D6" s="444"/>
      <c r="E6" s="444"/>
      <c r="F6" s="444"/>
      <c r="G6" s="444"/>
      <c r="H6" s="444"/>
      <c r="I6" s="444"/>
      <c r="J6" s="444"/>
      <c r="K6" s="444"/>
      <c r="L6" s="444"/>
      <c r="M6" s="444"/>
      <c r="N6" s="444"/>
      <c r="O6" s="444"/>
      <c r="P6" s="445"/>
      <c r="Q6" s="443">
        <f t="shared" si="0"/>
        <v>1453.4739999999999</v>
      </c>
    </row>
    <row r="7" spans="1:17">
      <c r="A7" s="443" t="s">
        <v>105</v>
      </c>
      <c r="B7" s="444">
        <f>landbouw!B8</f>
        <v>2256.1760530000001</v>
      </c>
      <c r="C7" s="444">
        <f>landbouw!C8</f>
        <v>62.357142857142847</v>
      </c>
      <c r="D7" s="444">
        <f>landbouw!D8</f>
        <v>276.75401586799995</v>
      </c>
      <c r="E7" s="444">
        <f>landbouw!E8</f>
        <v>91.660423399477992</v>
      </c>
      <c r="F7" s="444">
        <f>landbouw!F8</f>
        <v>7980.8841568209255</v>
      </c>
      <c r="G7" s="444">
        <f>landbouw!G8</f>
        <v>0</v>
      </c>
      <c r="H7" s="444">
        <f>landbouw!H8</f>
        <v>0</v>
      </c>
      <c r="I7" s="444">
        <f>landbouw!I8</f>
        <v>0</v>
      </c>
      <c r="J7" s="444">
        <f>landbouw!J8</f>
        <v>641.02638451986468</v>
      </c>
      <c r="K7" s="444">
        <f>landbouw!K8</f>
        <v>0</v>
      </c>
      <c r="L7" s="444">
        <f>landbouw!L8</f>
        <v>0</v>
      </c>
      <c r="M7" s="444">
        <f>landbouw!M8</f>
        <v>0</v>
      </c>
      <c r="N7" s="444">
        <f>landbouw!N8</f>
        <v>0</v>
      </c>
      <c r="O7" s="444">
        <f>landbouw!O8</f>
        <v>0</v>
      </c>
      <c r="P7" s="445">
        <f>landbouw!P8</f>
        <v>0</v>
      </c>
      <c r="Q7" s="443">
        <f t="shared" si="0"/>
        <v>11308.85817646541</v>
      </c>
    </row>
    <row r="8" spans="1:17">
      <c r="A8" s="443" t="s">
        <v>587</v>
      </c>
      <c r="B8" s="444">
        <f>industrie!B18</f>
        <v>65249.30913899999</v>
      </c>
      <c r="C8" s="444">
        <f>industrie!C18</f>
        <v>0</v>
      </c>
      <c r="D8" s="444">
        <f>industrie!D18</f>
        <v>25713.232250838002</v>
      </c>
      <c r="E8" s="444">
        <f>industrie!E18</f>
        <v>1275.9144391520015</v>
      </c>
      <c r="F8" s="444">
        <f>industrie!F18</f>
        <v>5955.7880915667647</v>
      </c>
      <c r="G8" s="444">
        <f>industrie!G18</f>
        <v>0</v>
      </c>
      <c r="H8" s="444">
        <f>industrie!H18</f>
        <v>0</v>
      </c>
      <c r="I8" s="444">
        <f>industrie!I18</f>
        <v>0</v>
      </c>
      <c r="J8" s="444">
        <f>industrie!J18</f>
        <v>93.42784601334489</v>
      </c>
      <c r="K8" s="444">
        <f>industrie!K18</f>
        <v>0</v>
      </c>
      <c r="L8" s="444">
        <f>industrie!L18</f>
        <v>0</v>
      </c>
      <c r="M8" s="444">
        <f>industrie!M18</f>
        <v>0</v>
      </c>
      <c r="N8" s="444">
        <f>industrie!N18</f>
        <v>404.06681674583712</v>
      </c>
      <c r="O8" s="444">
        <f>industrie!O18</f>
        <v>0</v>
      </c>
      <c r="P8" s="445">
        <f>industrie!P18</f>
        <v>0</v>
      </c>
      <c r="Q8" s="443">
        <f t="shared" si="0"/>
        <v>98691.738583315935</v>
      </c>
    </row>
    <row r="9" spans="1:17" s="449" customFormat="1">
      <c r="A9" s="447" t="s">
        <v>536</v>
      </c>
      <c r="B9" s="448">
        <f>transport!B14</f>
        <v>116.23439074391919</v>
      </c>
      <c r="C9" s="448">
        <f>transport!C14</f>
        <v>0</v>
      </c>
      <c r="D9" s="448">
        <f>transport!D14</f>
        <v>205.23229106573132</v>
      </c>
      <c r="E9" s="448">
        <f>transport!E14</f>
        <v>175.8416637238328</v>
      </c>
      <c r="F9" s="448">
        <f>transport!F14</f>
        <v>0</v>
      </c>
      <c r="G9" s="448">
        <f>transport!G14</f>
        <v>106741.48589131446</v>
      </c>
      <c r="H9" s="448">
        <f>transport!H14</f>
        <v>19668.02168253226</v>
      </c>
      <c r="I9" s="448">
        <f>transport!I14</f>
        <v>0</v>
      </c>
      <c r="J9" s="448">
        <f>transport!J14</f>
        <v>0</v>
      </c>
      <c r="K9" s="448">
        <f>transport!K14</f>
        <v>0</v>
      </c>
      <c r="L9" s="448">
        <f>transport!L14</f>
        <v>0</v>
      </c>
      <c r="M9" s="448">
        <f>transport!M14</f>
        <v>7454.9891686233177</v>
      </c>
      <c r="N9" s="448">
        <f>transport!N14</f>
        <v>0</v>
      </c>
      <c r="O9" s="448">
        <f>transport!O14</f>
        <v>0</v>
      </c>
      <c r="P9" s="448">
        <f>transport!P14</f>
        <v>0</v>
      </c>
      <c r="Q9" s="447">
        <f>SUM(B9:P9)</f>
        <v>134361.80508800352</v>
      </c>
    </row>
    <row r="10" spans="1:17">
      <c r="A10" s="443" t="s">
        <v>526</v>
      </c>
      <c r="B10" s="444">
        <f>transport!B54</f>
        <v>17.473421362713921</v>
      </c>
      <c r="C10" s="444">
        <f>transport!C54</f>
        <v>0</v>
      </c>
      <c r="D10" s="444">
        <f>transport!D54</f>
        <v>0</v>
      </c>
      <c r="E10" s="444">
        <f>transport!E54</f>
        <v>0</v>
      </c>
      <c r="F10" s="444">
        <f>transport!F54</f>
        <v>0</v>
      </c>
      <c r="G10" s="444">
        <f>transport!G54</f>
        <v>1265.9757135584539</v>
      </c>
      <c r="H10" s="444">
        <f>transport!H54</f>
        <v>0</v>
      </c>
      <c r="I10" s="444">
        <f>transport!I54</f>
        <v>0</v>
      </c>
      <c r="J10" s="444">
        <f>transport!J54</f>
        <v>0</v>
      </c>
      <c r="K10" s="444">
        <f>transport!K54</f>
        <v>0</v>
      </c>
      <c r="L10" s="444">
        <f>transport!L54</f>
        <v>0</v>
      </c>
      <c r="M10" s="444">
        <f>transport!M54</f>
        <v>71.60735647678051</v>
      </c>
      <c r="N10" s="444">
        <f>transport!N54</f>
        <v>0</v>
      </c>
      <c r="O10" s="444">
        <f>transport!O54</f>
        <v>0</v>
      </c>
      <c r="P10" s="445">
        <f>transport!P54</f>
        <v>0</v>
      </c>
      <c r="Q10" s="443">
        <f t="shared" si="0"/>
        <v>1355.0564913979483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1304.2038540000001</v>
      </c>
      <c r="C14" s="451"/>
      <c r="D14" s="451">
        <f>'SEAP template'!E25</f>
        <v>4484.3284539999995</v>
      </c>
      <c r="E14" s="451"/>
      <c r="F14" s="451"/>
      <c r="G14" s="451"/>
      <c r="H14" s="451"/>
      <c r="I14" s="451"/>
      <c r="J14" s="451"/>
      <c r="K14" s="451"/>
      <c r="L14" s="451"/>
      <c r="M14" s="451"/>
      <c r="N14" s="451"/>
      <c r="O14" s="451"/>
      <c r="P14" s="452"/>
      <c r="Q14" s="443">
        <f t="shared" si="0"/>
        <v>5788.5323079999998</v>
      </c>
    </row>
    <row r="15" spans="1:17" s="455" customFormat="1">
      <c r="A15" s="453" t="s">
        <v>530</v>
      </c>
      <c r="B15" s="454">
        <f ca="1">SUM(B4:B14)</f>
        <v>145697.18090969135</v>
      </c>
      <c r="C15" s="454">
        <f t="shared" ref="C15:Q15" ca="1" si="1">SUM(C4:C14)</f>
        <v>62.357142857142847</v>
      </c>
      <c r="D15" s="454">
        <f t="shared" ca="1" si="1"/>
        <v>176718.34077150974</v>
      </c>
      <c r="E15" s="454">
        <f t="shared" si="1"/>
        <v>3354.2846341683953</v>
      </c>
      <c r="F15" s="454">
        <f t="shared" ca="1" si="1"/>
        <v>54426.262937125255</v>
      </c>
      <c r="G15" s="454">
        <f t="shared" si="1"/>
        <v>108007.46160487291</v>
      </c>
      <c r="H15" s="454">
        <f t="shared" si="1"/>
        <v>19668.02168253226</v>
      </c>
      <c r="I15" s="454">
        <f t="shared" si="1"/>
        <v>0</v>
      </c>
      <c r="J15" s="454">
        <f t="shared" si="1"/>
        <v>903.85691937596994</v>
      </c>
      <c r="K15" s="454">
        <f t="shared" si="1"/>
        <v>0</v>
      </c>
      <c r="L15" s="454">
        <f t="shared" ca="1" si="1"/>
        <v>0</v>
      </c>
      <c r="M15" s="454">
        <f t="shared" si="1"/>
        <v>7526.596525100098</v>
      </c>
      <c r="N15" s="454">
        <f t="shared" ca="1" si="1"/>
        <v>14006.468028997002</v>
      </c>
      <c r="O15" s="454">
        <f t="shared" si="1"/>
        <v>318.23738986373928</v>
      </c>
      <c r="P15" s="454">
        <f t="shared" si="1"/>
        <v>1189.2921359129668</v>
      </c>
      <c r="Q15" s="454">
        <f t="shared" ca="1" si="1"/>
        <v>531878.36068200681</v>
      </c>
    </row>
    <row r="17" spans="1:17">
      <c r="A17" s="456" t="s">
        <v>531</v>
      </c>
      <c r="B17" s="736">
        <f ca="1">huishoudens!B10</f>
        <v>0.17231260528506562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5924.4076825853672</v>
      </c>
      <c r="C22" s="444">
        <f t="shared" ref="C22:C32" ca="1" si="3">C4*$C$17</f>
        <v>0</v>
      </c>
      <c r="D22" s="444">
        <f t="shared" ref="D22:D32" si="4">D4*$D$17</f>
        <v>18086.764638961486</v>
      </c>
      <c r="E22" s="444">
        <f t="shared" ref="E22:E32" si="5">E4*$E$17</f>
        <v>390.37150767766161</v>
      </c>
      <c r="F22" s="444">
        <f t="shared" ref="F22:F32" si="6">F4*$F$17</f>
        <v>8836.2011225740935</v>
      </c>
      <c r="G22" s="444">
        <f t="shared" ref="G22:G32" si="7">G4*$G$17</f>
        <v>0</v>
      </c>
      <c r="H22" s="444">
        <f t="shared" ref="H22:H32" si="8">H4*$H$17</f>
        <v>0</v>
      </c>
      <c r="I22" s="444">
        <f t="shared" ref="I22:I32" si="9">I4*$I$17</f>
        <v>0</v>
      </c>
      <c r="J22" s="444">
        <f t="shared" ref="J22:J32" si="10">J4*$J$17</f>
        <v>59.949013857592128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33297.693965656203</v>
      </c>
    </row>
    <row r="23" spans="1:17">
      <c r="A23" s="443" t="s">
        <v>149</v>
      </c>
      <c r="B23" s="444">
        <f t="shared" ca="1" si="2"/>
        <v>7050.7849211764087</v>
      </c>
      <c r="C23" s="444">
        <f t="shared" ca="1" si="3"/>
        <v>0</v>
      </c>
      <c r="D23" s="444">
        <f t="shared" ca="1" si="4"/>
        <v>11413.071700505596</v>
      </c>
      <c r="E23" s="444">
        <f t="shared" si="5"/>
        <v>20.695552814068197</v>
      </c>
      <c r="F23" s="444">
        <f t="shared" ca="1" si="6"/>
        <v>1974.5195913188386</v>
      </c>
      <c r="G23" s="444">
        <f t="shared" si="7"/>
        <v>0</v>
      </c>
      <c r="H23" s="444">
        <f t="shared" si="8"/>
        <v>0</v>
      </c>
      <c r="I23" s="444">
        <f t="shared" si="9"/>
        <v>0</v>
      </c>
      <c r="J23" s="444">
        <f t="shared" si="10"/>
        <v>1.9537992745022076E-2</v>
      </c>
      <c r="K23" s="444">
        <f t="shared" si="11"/>
        <v>0</v>
      </c>
      <c r="L23" s="444">
        <f t="shared" ca="1" si="12"/>
        <v>0</v>
      </c>
      <c r="M23" s="444">
        <f t="shared" si="13"/>
        <v>0</v>
      </c>
      <c r="N23" s="444">
        <f t="shared" ca="1" si="14"/>
        <v>0</v>
      </c>
      <c r="O23" s="444">
        <f t="shared" si="15"/>
        <v>0</v>
      </c>
      <c r="P23" s="445">
        <f t="shared" si="16"/>
        <v>0</v>
      </c>
      <c r="Q23" s="443">
        <f t="shared" ref="Q23:Q31" ca="1" si="17">SUM(B23:P23)</f>
        <v>20459.091303807658</v>
      </c>
    </row>
    <row r="24" spans="1:17">
      <c r="A24" s="443" t="s">
        <v>187</v>
      </c>
      <c r="B24" s="444">
        <f t="shared" ca="1" si="2"/>
        <v>250.45189165410545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250.45189165410545</v>
      </c>
    </row>
    <row r="25" spans="1:17">
      <c r="A25" s="443" t="s">
        <v>105</v>
      </c>
      <c r="B25" s="444">
        <f t="shared" ca="1" si="2"/>
        <v>388.76757367420629</v>
      </c>
      <c r="C25" s="444">
        <f t="shared" ca="1" si="3"/>
        <v>0</v>
      </c>
      <c r="D25" s="444">
        <f t="shared" si="4"/>
        <v>55.904311205335993</v>
      </c>
      <c r="E25" s="444">
        <f t="shared" si="5"/>
        <v>20.806916111681506</v>
      </c>
      <c r="F25" s="444">
        <f t="shared" si="6"/>
        <v>2130.8960698711871</v>
      </c>
      <c r="G25" s="444">
        <f t="shared" si="7"/>
        <v>0</v>
      </c>
      <c r="H25" s="444">
        <f t="shared" si="8"/>
        <v>0</v>
      </c>
      <c r="I25" s="444">
        <f t="shared" si="9"/>
        <v>0</v>
      </c>
      <c r="J25" s="444">
        <f t="shared" si="10"/>
        <v>226.92334012003209</v>
      </c>
      <c r="K25" s="444">
        <f t="shared" si="11"/>
        <v>0</v>
      </c>
      <c r="L25" s="444">
        <f t="shared" si="12"/>
        <v>0</v>
      </c>
      <c r="M25" s="444">
        <f t="shared" si="13"/>
        <v>0</v>
      </c>
      <c r="N25" s="444">
        <f t="shared" si="14"/>
        <v>0</v>
      </c>
      <c r="O25" s="444">
        <f t="shared" si="15"/>
        <v>0</v>
      </c>
      <c r="P25" s="445">
        <f t="shared" si="16"/>
        <v>0</v>
      </c>
      <c r="Q25" s="443">
        <f t="shared" ca="1" si="17"/>
        <v>2823.2982109824429</v>
      </c>
    </row>
    <row r="26" spans="1:17">
      <c r="A26" s="443" t="s">
        <v>587</v>
      </c>
      <c r="B26" s="444">
        <f t="shared" ca="1" si="2"/>
        <v>11243.278450791729</v>
      </c>
      <c r="C26" s="444">
        <f t="shared" ca="1" si="3"/>
        <v>0</v>
      </c>
      <c r="D26" s="444">
        <f t="shared" si="4"/>
        <v>5194.0729146692765</v>
      </c>
      <c r="E26" s="444">
        <f t="shared" si="5"/>
        <v>289.63257768750435</v>
      </c>
      <c r="F26" s="444">
        <f t="shared" si="6"/>
        <v>1590.1954204483263</v>
      </c>
      <c r="G26" s="444">
        <f t="shared" si="7"/>
        <v>0</v>
      </c>
      <c r="H26" s="444">
        <f t="shared" si="8"/>
        <v>0</v>
      </c>
      <c r="I26" s="444">
        <f t="shared" si="9"/>
        <v>0</v>
      </c>
      <c r="J26" s="444">
        <f t="shared" si="10"/>
        <v>33.073457488724088</v>
      </c>
      <c r="K26" s="444">
        <f t="shared" si="11"/>
        <v>0</v>
      </c>
      <c r="L26" s="444">
        <f t="shared" si="12"/>
        <v>0</v>
      </c>
      <c r="M26" s="444">
        <f t="shared" si="13"/>
        <v>0</v>
      </c>
      <c r="N26" s="444">
        <f t="shared" si="14"/>
        <v>0</v>
      </c>
      <c r="O26" s="444">
        <f t="shared" si="15"/>
        <v>0</v>
      </c>
      <c r="P26" s="445">
        <f t="shared" si="16"/>
        <v>0</v>
      </c>
      <c r="Q26" s="443">
        <f t="shared" ca="1" si="17"/>
        <v>18350.252821085563</v>
      </c>
    </row>
    <row r="27" spans="1:17" s="449" customFormat="1">
      <c r="A27" s="447" t="s">
        <v>536</v>
      </c>
      <c r="B27" s="730">
        <f t="shared" ca="1" si="2"/>
        <v>20.028650692807034</v>
      </c>
      <c r="C27" s="448">
        <f t="shared" ca="1" si="3"/>
        <v>0</v>
      </c>
      <c r="D27" s="448">
        <f t="shared" si="4"/>
        <v>41.456922795277727</v>
      </c>
      <c r="E27" s="448">
        <f t="shared" si="5"/>
        <v>39.916057665310049</v>
      </c>
      <c r="F27" s="448">
        <f t="shared" si="6"/>
        <v>0</v>
      </c>
      <c r="G27" s="448">
        <f t="shared" si="7"/>
        <v>28499.976732980962</v>
      </c>
      <c r="H27" s="448">
        <f t="shared" si="8"/>
        <v>4897.3373989505326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33498.715763084889</v>
      </c>
    </row>
    <row r="28" spans="1:17" ht="16.5" customHeight="1">
      <c r="A28" s="443" t="s">
        <v>526</v>
      </c>
      <c r="B28" s="444">
        <f t="shared" ca="1" si="2"/>
        <v>3.0108907582529572</v>
      </c>
      <c r="C28" s="444">
        <f t="shared" ca="1" si="3"/>
        <v>0</v>
      </c>
      <c r="D28" s="444">
        <f t="shared" si="4"/>
        <v>0</v>
      </c>
      <c r="E28" s="444">
        <f t="shared" si="5"/>
        <v>0</v>
      </c>
      <c r="F28" s="444">
        <f t="shared" si="6"/>
        <v>0</v>
      </c>
      <c r="G28" s="444">
        <f t="shared" si="7"/>
        <v>338.01551552010721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341.02640627836018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224.73076390556335</v>
      </c>
      <c r="C32" s="444">
        <f t="shared" ca="1" si="3"/>
        <v>0</v>
      </c>
      <c r="D32" s="444">
        <f t="shared" si="4"/>
        <v>905.834347708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1130.5651116135634</v>
      </c>
    </row>
    <row r="33" spans="1:17" s="455" customFormat="1">
      <c r="A33" s="453" t="s">
        <v>530</v>
      </c>
      <c r="B33" s="454">
        <f ca="1">SUM(B22:B32)</f>
        <v>25105.460825238439</v>
      </c>
      <c r="C33" s="454">
        <f t="shared" ref="C33:Q33" ca="1" si="19">SUM(C22:C32)</f>
        <v>0</v>
      </c>
      <c r="D33" s="454">
        <f t="shared" ca="1" si="19"/>
        <v>35697.10483584497</v>
      </c>
      <c r="E33" s="454">
        <f t="shared" si="19"/>
        <v>761.42261195622575</v>
      </c>
      <c r="F33" s="454">
        <f t="shared" ca="1" si="19"/>
        <v>14531.812204212445</v>
      </c>
      <c r="G33" s="454">
        <f t="shared" si="19"/>
        <v>28837.992248501068</v>
      </c>
      <c r="H33" s="454">
        <f t="shared" si="19"/>
        <v>4897.3373989505326</v>
      </c>
      <c r="I33" s="454">
        <f t="shared" si="19"/>
        <v>0</v>
      </c>
      <c r="J33" s="454">
        <f t="shared" si="19"/>
        <v>319.96534945909332</v>
      </c>
      <c r="K33" s="454">
        <f t="shared" si="19"/>
        <v>0</v>
      </c>
      <c r="L33" s="454">
        <f t="shared" ca="1" si="19"/>
        <v>0</v>
      </c>
      <c r="M33" s="454">
        <f t="shared" si="19"/>
        <v>0</v>
      </c>
      <c r="N33" s="454">
        <f t="shared" ca="1" si="19"/>
        <v>0</v>
      </c>
      <c r="O33" s="454">
        <f t="shared" si="19"/>
        <v>0</v>
      </c>
      <c r="P33" s="454">
        <f t="shared" si="19"/>
        <v>0</v>
      </c>
      <c r="Q33" s="454">
        <f t="shared" ca="1" si="19"/>
        <v>110151.09547416279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26886.99607482757</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4267.1645849160795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900</v>
      </c>
      <c r="C9" s="979">
        <f>'SEAP template'!C77</f>
        <v>0</v>
      </c>
      <c r="D9" s="979">
        <f>'SEAP template'!D77</f>
        <v>0</v>
      </c>
      <c r="E9" s="979">
        <f>'SEAP template'!E77</f>
        <v>0</v>
      </c>
      <c r="F9" s="979">
        <f>'SEAP template'!F77</f>
        <v>0</v>
      </c>
      <c r="G9" s="979">
        <f>'SEAP template'!G77</f>
        <v>0</v>
      </c>
      <c r="H9" s="979">
        <f>'SEAP template'!H77</f>
        <v>0</v>
      </c>
      <c r="I9" s="979">
        <f>'SEAP template'!I77</f>
        <v>2250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32097.810659743649</v>
      </c>
      <c r="C10" s="981">
        <f>SUM(C4:C9)</f>
        <v>0</v>
      </c>
      <c r="D10" s="981">
        <f t="shared" ref="D10:H10" si="0">SUM(D8:D9)</f>
        <v>0</v>
      </c>
      <c r="E10" s="981">
        <f t="shared" si="0"/>
        <v>0</v>
      </c>
      <c r="F10" s="981">
        <f t="shared" si="0"/>
        <v>0</v>
      </c>
      <c r="G10" s="981">
        <f t="shared" si="0"/>
        <v>0</v>
      </c>
      <c r="H10" s="981">
        <f t="shared" si="0"/>
        <v>0</v>
      </c>
      <c r="I10" s="981">
        <f>SUM(I8:I9)</f>
        <v>2250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0.17231260528506562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0.17231260528506562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2022-07-26T10:22:06Z</dcterms:modified>
</cp:coreProperties>
</file>