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6A8B55F0-B945-4872-905D-78D98C314F0E}"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I9" i="18"/>
  <c r="I77" i="14"/>
  <c r="I9" i="59"/>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5" i="48"/>
  <c r="Q4" i="48"/>
  <c r="N23" i="48"/>
  <c r="R11" i="14"/>
  <c r="J22" i="48"/>
  <c r="R10" i="14"/>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<sst xmlns="http://schemas.openxmlformats.org/spreadsheetml/2006/main" count="2410" uniqueCount="886">
  <si>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</si>
  <si>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</si>
  <si>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</si>
  <si>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</si>
  <si>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</si>
  <si>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</si>
  <si>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</si>
  <si>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</si>
  <si>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</si>
  <si>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</si>
  <si>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</si>
  <si>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</si>
  <si>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</si>
  <si>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</si>
  <si>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</si>
  <si>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</si>
  <si>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</si>
  <si>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</si>
  <si>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</si>
  <si>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</si>
  <si>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</si>
  <si>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</si>
  <si>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</si>
  <si>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</si>
  <si>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</si>
  <si>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</si>
  <si>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</si>
  <si>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</si>
  <si>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</si>
  <si>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</si>
  <si>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</si>
  <si>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</si>
  <si>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</si>
  <si>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</si>
  <si>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</si>
  <si>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</si>
  <si>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</si>
  <si>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</si>
  <si>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</si>
  <si>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</si>
  <si>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</si>
  <si>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</si>
  <si>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</si>
  <si>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</si>
  <si>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</si>
  <si>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</si>
  <si>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</si>
  <si>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</si>
  <si>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</si>
  <si>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</si>
  <si>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</si>
  <si>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</si>
  <si>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</si>
  <si>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</si>
  <si>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</si>
  <si>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</si>
  <si>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</si>
  <si>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</si>
  <si>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</si>
  <si>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</si>
  <si>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</si>
  <si>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</si>
  <si>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</si>
  <si>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</si>
  <si>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</si>
  <si>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</si>
  <si>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</si>
  <si>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</si>
  <si>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</si>
  <si>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</si>
  <si>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</si>
  <si>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</si>
  <si>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</si>
  <si>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</si>
  <si>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</si>
  <si>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</si>
  <si>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</si>
  <si>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</si>
  <si>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</si>
  <si>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</si>
  <si>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</si>
  <si>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</si>
  <si>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</si>
  <si>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</si>
  <si>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</si>
  <si>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</si>
  <si>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</si>
  <si>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</si>
  <si>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</si>
  <si>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</si>
  <si>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</si>
  <si>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</si>
  <si>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</si>
  <si>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</si>
  <si>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</si>
  <si>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</si>
  <si>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</si>
  <si>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</si>
  <si>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</si>
  <si>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</si>
  <si>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</si>
  <si>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</si>
  <si>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</si>
  <si>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</si>
  <si>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</si>
  <si>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</si>
  <si>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</si>
  <si>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</si>
  <si>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</si>
  <si>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</si>
  <si>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</si>
  <si>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</si>
  <si>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</si>
  <si>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</si>
  <si>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</si>
  <si>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</si>
  <si>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</si>
  <si>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</si>
  <si>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</si>
  <si>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</si>
  <si>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</si>
  <si>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</si>
  <si>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</si>
  <si>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</si>
  <si>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</si>
  <si>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</si>
  <si>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</si>
  <si>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</si>
  <si>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</si>
  <si>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</si>
  <si>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</si>
  <si>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</si>
  <si>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</si>
  <si>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</si>
  <si>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</si>
  <si>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</si>
  <si>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</si>
  <si>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</si>
  <si>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</si>
  <si>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</si>
  <si>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</si>
  <si>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</si>
  <si>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</si>
  <si>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</si>
  <si>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</si>
  <si>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</si>
  <si>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</si>
  <si>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</si>
  <si>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</si>
  <si>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</si>
  <si>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</si>
  <si>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</si>
  <si>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</si>
  <si>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</si>
  <si>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</si>
  <si>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</si>
  <si>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</si>
  <si>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</si>
  <si>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</si>
  <si>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</si>
  <si>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</si>
  <si>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</si>
  <si>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</si>
  <si>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</si>
  <si>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</si>
  <si>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</si>
  <si>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</si>
  <si>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</si>
  <si>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</si>
  <si>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</si>
  <si>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</si>
  <si>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</si>
  <si>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</si>
  <si>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</si>
  <si>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</si>
  <si>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</si>
  <si>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</si>
  <si>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</si>
  <si>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</si>
  <si>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</si>
  <si>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</si>
  <si>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</si>
  <si>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</si>
  <si>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</si>
  <si>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</si>
  <si>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</si>
  <si>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</si>
  <si>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</si>
  <si>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</si>
  <si>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</si>
  <si>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</si>
  <si>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</si>
  <si>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</si>
  <si>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</si>
  <si>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</si>
  <si>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</si>
  <si>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</si>
  <si>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</si>
  <si>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</si>
  <si>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</si>
  <si>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</si>
  <si>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</si>
  <si>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</si>
  <si>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</si>
  <si>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</si>
  <si>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</si>
  <si>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</si>
  <si>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</si>
  <si>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</si>
  <si>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</si>
  <si>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</si>
  <si>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</si>
  <si>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</si>
  <si>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</si>
  <si>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</si>
  <si>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</si>
  <si>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</si>
  <si>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</si>
  <si>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</si>
  <si>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</si>
  <si>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</si>
  <si>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</si>
  <si>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</si>
  <si>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</si>
  <si>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</si>
  <si>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</si>
  <si>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</si>
  <si>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</si>
  <si>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</si>
  <si>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</si>
  <si>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</si>
  <si>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</si>
  <si>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</si>
  <si>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</si>
  <si>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</si>
  <si>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</si>
  <si>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</si>
  <si>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</si>
  <si>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</si>
  <si>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</si>
  <si>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</si>
  <si>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</si>
  <si>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</si>
  <si>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</si>
  <si>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</si>
  <si>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</si>
  <si>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</si>
  <si>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</si>
  <si>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</si>
  <si>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</si>
  <si>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</si>
  <si>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</si>
  <si>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</si>
  <si>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</si>
  <si>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</si>
  <si>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</si>
  <si>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</si>
  <si>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</si>
  <si>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</si>
  <si>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</si>
  <si>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</si>
  <si>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</si>
  <si>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</si>
  <si>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</si>
  <si>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</si>
  <si>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</si>
  <si>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</si>
  <si>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</si>
  <si>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</si>
  <si>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</si>
  <si>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</si>
  <si>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</si>
  <si>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</si>
  <si>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</si>
  <si>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</si>
  <si>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</si>
  <si>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</si>
  <si>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</si>
  <si>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</si>
  <si>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</si>
  <si>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</si>
  <si>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</si>
  <si>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</si>
  <si>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</si>
  <si>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</si>
  <si>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</si>
  <si>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</si>
  <si>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</si>
  <si>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</si>
  <si>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</si>
  <si>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</si>
  <si>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</si>
  <si>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</si>
  <si>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</si>
  <si>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</si>
  <si>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</si>
  <si>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</si>
  <si>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</si>
  <si>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</si>
  <si>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</si>
  <si>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</si>
  <si>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</si>
  <si>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</si>
  <si>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</si>
  <si>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</si>
  <si>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</si>
  <si>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</si>
  <si>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</si>
  <si>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</si>
  <si>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</si>
  <si>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</si>
  <si>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</si>
  <si>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</si>
  <si>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</si>
  <si>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</si>
  <si>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</si>
  <si>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</si>
  <si>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</si>
  <si>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</si>
  <si>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</si>
  <si>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</si>
  <si>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</si>
  <si>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</si>
  <si>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</si>
  <si>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</si>
  <si>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</si>
  <si>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</si>
  <si>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</si>
  <si>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</si>
  <si>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</si>
  <si>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</si>
  <si>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</si>
  <si>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</si>
  <si>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</si>
  <si>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</si>
  <si>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</si>
  <si>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</si>
  <si>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</si>
  <si>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</si>
  <si>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</si>
  <si>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</si>
  <si>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</si>
  <si>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</si>
  <si>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</si>
  <si>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</si>
  <si>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</si>
  <si>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</si>
  <si>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</si>
  <si>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</si>
  <si>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</si>
  <si>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</si>
  <si>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</si>
  <si>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</si>
  <si>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</si>
  <si>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</si>
  <si>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</si>
  <si>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</si>
  <si>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</si>
  <si>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</si>
  <si>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</si>
  <si>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</si>
  <si>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</si>
  <si>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</si>
  <si>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</si>
  <si>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</si>
  <si>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</si>
  <si>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</si>
  <si>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</si>
  <si>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</si>
  <si>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</si>
  <si>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</si>
  <si>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</si>
  <si>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</si>
  <si>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</si>
  <si>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</si>
  <si>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</si>
  <si>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</si>
  <si>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</si>
  <si>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</si>
  <si>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</si>
  <si>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</si>
  <si>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</si>
  <si>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</si>
  <si>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</si>
  <si>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</si>
  <si>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</si>
  <si>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</si>
  <si>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</si>
  <si>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</si>
  <si>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</si>
  <si>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</si>
  <si>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</si>
  <si>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</si>
  <si>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</si>
  <si>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</si>
  <si>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</si>
  <si>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</si>
  <si>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</si>
  <si>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</si>
  <si>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</si>
  <si>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</si>
  <si>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</si>
  <si>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</si>
  <si>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</si>
  <si>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</si>
  <si>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</si>
  <si>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</si>
  <si>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</si>
  <si>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</si>
  <si>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</si>
  <si>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</si>
  <si>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</si>
  <si>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</si>
  <si>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</si>
  <si>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</si>
  <si>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</si>
  <si>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</si>
  <si>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</si>
  <si>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</si>
  <si>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</si>
  <si>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</si>
  <si>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</si>
  <si>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</si>
  <si>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</si>
  <si>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</si>
  <si>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</si>
  <si>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</si>
  <si>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</si>
  <si>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</si>
  <si>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</si>
  <si>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</si>
  <si>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</si>
  <si>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</si>
  <si>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</si>
  <si>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</si>
  <si>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</si>
  <si>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</si>
  <si>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</si>
  <si>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</si>
  <si>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</si>
  <si>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</si>
  <si>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</si>
  <si>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</si>
  <si>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</si>
  <si>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</si>
  <si>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</si>
  <si>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</si>
  <si>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</si>
  <si>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</si>
  <si>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</si>
  <si>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</si>
  <si>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</si>
  <si>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</si>
  <si>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</si>
  <si>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</si>
  <si>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</si>
  <si>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</si>
  <si>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</si>
  <si>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</si>
  <si>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</si>
  <si>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</si>
  <si>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</si>
  <si>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</si>
  <si>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</si>
  <si>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</si>
  <si>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</si>
  <si>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</si>
  <si>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</si>
  <si>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</si>
  <si>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</si>
  <si>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</si>
  <si>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</si>
  <si>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</si>
  <si>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</si>
  <si>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</si>
  <si>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</si>
  <si>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</si>
  <si>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</si>
  <si>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</si>
  <si>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</si>
  <si>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</si>
  <si>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</si>
  <si>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</si>
  <si>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</si>
  <si>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</si>
  <si>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</si>
  <si>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</si>
  <si>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</si>
  <si>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</si>
  <si>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</si>
  <si>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</si>
  <si>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</si>
  <si>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</si>
  <si>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</si>
  <si>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</si>
  <si>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</si>
  <si>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</si>
  <si>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</si>
  <si>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</si>
  <si>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</si>
  <si>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</si>
  <si>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</si>
  <si>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</si>
  <si>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</si>
  <si>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</si>
  <si>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</si>
  <si>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</si>
  <si>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</si>
  <si>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</si>
  <si>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</si>
  <si>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</si>
  <si>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</si>
  <si>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</si>
  <si>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</si>
  <si>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</si>
  <si>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</si>
  <si>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</si>
  <si>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</si>
  <si>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</si>
  <si>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</si>
  <si>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</si>
  <si>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</si>
  <si>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</si>
  <si>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</si>
  <si>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</si>
  <si>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</si>
  <si>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</si>
  <si>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</si>
  <si>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</si>
  <si>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</si>
  <si>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</si>
  <si>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</si>
  <si>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</si>
  <si>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</si>
  <si>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</si>
  <si>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</si>
  <si>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</si>
  <si>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</si>
  <si>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</si>
  <si>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</si>
  <si>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</si>
  <si>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</si>
  <si>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</si>
  <si>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</si>
  <si>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</si>
  <si>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</si>
  <si>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</si>
  <si>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</si>
  <si>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</si>
  <si>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</si>
  <si>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</si>
  <si>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</si>
  <si>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</si>
  <si>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</si>
  <si>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</si>
  <si>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</si>
  <si>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</si>
  <si>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</si>
  <si>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</si>
  <si>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</si>
  <si>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</si>
  <si>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</si>
  <si>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</si>
  <si>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</si>
  <si>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</si>
  <si>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</si>
  <si>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</si>
  <si>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</si>
  <si>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</si>
  <si>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</si>
  <si>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</si>
  <si>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</si>
  <si>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</si>
  <si>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</si>
  <si>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</si>
  <si>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</si>
  <si>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</si>
  <si>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</si>
  <si>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</si>
  <si>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</si>
  <si>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</si>
  <si>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</si>
  <si>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</si>
  <si>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</si>
  <si>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</si>
  <si>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</si>
  <si>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</si>
  <si>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</si>
  <si>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</si>
  <si>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</si>
  <si>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</si>
  <si>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</si>
  <si>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</si>
  <si>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</si>
  <si>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</si>
  <si>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</si>
  <si>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</si>
  <si>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</si>
  <si>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</si>
  <si>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</si>
  <si>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</si>
  <si>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</si>
  <si>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</si>
  <si>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</si>
  <si>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</si>
  <si>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</si>
  <si>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</si>
  <si>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</si>
  <si>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</si>
  <si>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</si>
  <si>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</si>
  <si>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</si>
  <si>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</si>
  <si>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</si>
  <si>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</si>
  <si>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</si>
  <si>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</si>
  <si>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</si>
  <si>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</si>
  <si>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</si>
  <si>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</si>
  <si>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</si>
  <si>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</si>
  <si>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</si>
  <si>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</si>
  <si>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</si>
  <si>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</si>
  <si>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</si>
  <si>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</si>
  <si>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</si>
  <si>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</si>
  <si>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</si>
  <si>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</si>
  <si>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</si>
  <si>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</si>
  <si>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</si>
  <si>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</si>
  <si>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</si>
  <si>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</si>
  <si>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</si>
  <si>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</si>
  <si>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</si>
  <si>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</si>
  <si>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</si>
  <si>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</si>
  <si>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</si>
  <si>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</si>
  <si>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</si>
  <si>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</si>
  <si>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</si>
  <si>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</si>
  <si>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</si>
  <si>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</si>
  <si>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</si>
  <si>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</si>
  <si>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</si>
  <si>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</si>
  <si>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</si>
  <si>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</si>
  <si>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</si>
  <si>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</si>
  <si>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</si>
  <si>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</si>
  <si>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</si>
  <si>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</si>
  <si>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</si>
  <si>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</si>
  <si>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</si>
  <si>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</si>
  <si>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</si>
  <si>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</si>
  <si>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</si>
  <si>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</si>
  <si>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</si>
  <si>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</si>
  <si>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</si>
  <si>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</si>
  <si>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</si>
  <si>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</si>
  <si>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</si>
  <si>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</si>
  <si>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</si>
  <si>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</si>
  <si>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</si>
  <si>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</si>
  <si>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</si>
  <si>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</si>
  <si>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</si>
  <si>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</si>
  <si>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</si>
  <si>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</si>
  <si>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</si>
  <si>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</si>
  <si>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</si>
  <si>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</si>
  <si>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</si>
  <si>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</si>
  <si>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</si>
  <si>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</si>
  <si>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</si>
  <si>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</si>
  <si>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</si>
  <si>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</si>
  <si>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</si>
  <si>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</si>
  <si>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</si>
  <si>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</si>
  <si>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</si>
  <si>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</si>
  <si>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</si>
  <si>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</si>
  <si>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</si>
  <si>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</si>
  <si>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</si>
  <si>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</si>
  <si>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</si>
  <si>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</si>
  <si>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</si>
  <si>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</si>
  <si>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</si>
  <si>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</si>
  <si>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</si>
  <si>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</si>
  <si>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</si>
  <si>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</si>
  <si>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</si>
  <si>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</si>
  <si>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</si>
  <si>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</si>
  <si>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</si>
  <si>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</si>
  <si>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</si>
  <si>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</si>
  <si>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</si>
  <si>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</si>
  <si>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</si>
  <si>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</si>
  <si>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</si>
  <si>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</si>
  <si>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</si>
  <si>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</si>
  <si>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</si>
  <si>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</si>
  <si>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</si>
  <si>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</si>
  <si>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</si>
  <si>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</si>
  <si>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</si>
  <si>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</si>
  <si>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</si>
  <si>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</si>
  <si>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</si>
  <si>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</si>
  <si>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</si>
  <si>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</si>
  <si>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</si>
  <si>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</si>
  <si>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</si>
  <si>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</si>
  <si>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</si>
  <si>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</si>
  <si>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</si>
  <si>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</si>
  <si>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</si>
  <si>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</si>
  <si>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</si>
  <si>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</si>
  <si>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</si>
  <si>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</si>
  <si>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</si>
  <si>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</si>
  <si>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</si>
  <si>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</si>
  <si>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</si>
  <si>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</si>
  <si>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</si>
  <si>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</si>
  <si>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</si>
  <si>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</si>
  <si>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</si>
  <si>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</si>
  <si>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</si>
  <si>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</si>
  <si>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</si>
  <si>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</si>
  <si>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</si>
  <si>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</si>
  <si>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</si>
  <si>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</si>
  <si>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</si>
  <si>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</si>
  <si>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</si>
  <si>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</si>
  <si>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</si>
  <si>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</si>
  <si>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</si>
  <si>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</si>
  <si>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</si>
  <si>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</si>
  <si>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</si>
  <si>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</si>
  <si>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</si>
  <si>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</si>
  <si>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</si>
  <si>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</si>
  <si>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</si>
  <si>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</si>
  <si>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</si>
  <si>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</si>
  <si>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</si>
  <si>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</si>
  <si>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</si>
  <si>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</si>
  <si>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</si>
  <si>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</si>
  <si>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</si>
  <si>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</si>
  <si>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</si>
  <si>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</si>
  <si>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</si>
  <si>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</si>
  <si>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</si>
  <si>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</si>
  <si>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</si>
  <si>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</si>
  <si>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</si>
  <si>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</si>
  <si>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</si>
  <si>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</si>
  <si>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</si>
  <si>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</si>
  <si>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</si>
  <si>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</si>
  <si>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</si>
  <si>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</si>
  <si>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</si>
  <si>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</si>
  <si>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</si>
  <si>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</si>
  <si>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</si>
  <si>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</si>
  <si>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</si>
  <si>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</si>
  <si>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</si>
  <si>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</si>
  <si>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</si>
  <si>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</si>
  <si>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</si>
  <si>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</si>
  <si>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</si>
  <si>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</si>
  <si>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</si>
  <si>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</si>
  <si>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</si>
  <si>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</si>
  <si>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</si>
  <si>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</si>
  <si>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</si>
  <si>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</si>
  <si>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</si>
  <si>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</si>
  <si>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</si>
  <si>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</si>
  <si>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</si>
  <si>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</si>
  <si>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</si>
  <si>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</si>
  <si>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</si>
  <si>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</si>
  <si>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</si>
  <si>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</si>
  <si>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</si>
  <si>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</si>
  <si>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</si>
  <si>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</si>
  <si>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</si>
  <si>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</si>
  <si>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</si>
  <si>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</si>
  <si>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</si>
  <si>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36008</t>
  </si>
  <si>
    <t>IZEGEM</t>
  </si>
  <si>
    <t>vloeibaar gas (MWh)</t>
  </si>
  <si>
    <t>interne verbrandingsmotor</t>
  </si>
  <si>
    <t>WKK interne verbrandinsgmotor (gas)</t>
  </si>
  <si>
    <t>Infrax 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</si>
</sst>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DBA99BCF-3D7E-459E-8490-C3E4549092E7}"/>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224593.94649776429</c:v>
                </c:pt>
                <c:pt idx="1">
                  <c:v>78506.485757975388</c:v>
                </c:pt>
                <c:pt idx="2">
                  <c:v>2530.0630000000001</c:v>
                </c:pt>
                <c:pt idx="3">
                  <c:v>16867.303442338431</c:v>
                </c:pt>
                <c:pt idx="4">
                  <c:v>141865.25687596705</c:v>
                </c:pt>
                <c:pt idx="5">
                  <c:v>208786.0410710499</c:v>
                </c:pt>
                <c:pt idx="6">
                  <c:v>653.40777084381227</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224593.94649776429</c:v>
                </c:pt>
                <c:pt idx="1">
                  <c:v>78506.485757975388</c:v>
                </c:pt>
                <c:pt idx="2">
                  <c:v>2530.0630000000001</c:v>
                </c:pt>
                <c:pt idx="3">
                  <c:v>16867.303442338431</c:v>
                </c:pt>
                <c:pt idx="4">
                  <c:v>141865.25687596705</c:v>
                </c:pt>
                <c:pt idx="5">
                  <c:v>208786.0410710499</c:v>
                </c:pt>
                <c:pt idx="6">
                  <c:v>653.40777084381227</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43877.592303852252</c:v>
                </c:pt>
                <c:pt idx="1">
                  <c:v>15124.606739314671</c:v>
                </c:pt>
                <c:pt idx="2">
                  <c:v>452.68737103321376</c:v>
                </c:pt>
                <c:pt idx="3">
                  <c:v>4192.4173038665722</c:v>
                </c:pt>
                <c:pt idx="4">
                  <c:v>27084.531847945134</c:v>
                </c:pt>
                <c:pt idx="5">
                  <c:v>51915.838309090192</c:v>
                </c:pt>
                <c:pt idx="6">
                  <c:v>164.49851507916026</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43877.592303852252</c:v>
                </c:pt>
                <c:pt idx="1">
                  <c:v>15124.606739314671</c:v>
                </c:pt>
                <c:pt idx="2">
                  <c:v>452.68737103321376</c:v>
                </c:pt>
                <c:pt idx="3">
                  <c:v>4192.4173038665722</c:v>
                </c:pt>
                <c:pt idx="4">
                  <c:v>27084.531847945134</c:v>
                </c:pt>
                <c:pt idx="5">
                  <c:v>51915.838309090192</c:v>
                </c:pt>
                <c:pt idx="6">
                  <c:v>164.49851507916026</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36008</v>
      </c>
      <c r="B6" s="382"/>
      <c r="C6" s="383"/>
    </row>
    <row r="7" spans="1:7" s="380" customFormat="1" ht="15.75" customHeight="1">
      <c r="A7" s="384" t="str">
        <f>txtMunicipality</f>
        <v>IZEGEM</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0.17892335923382688</v>
      </c>
      <c r="C17" s="492">
        <f ca="1">'EF ele_warmte'!B22</f>
        <v>0.23764705882352941</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0.17892335923382688</v>
      </c>
      <c r="C29" s="493">
        <f ca="1">'EF ele_warmte'!B22</f>
        <v>0.23764705882352941</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12138</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880.56000000000097</v>
      </c>
      <c r="C14" s="324"/>
      <c r="D14" s="324"/>
      <c r="E14" s="324"/>
      <c r="F14" s="324"/>
    </row>
    <row r="15" spans="1:6">
      <c r="A15" s="1257" t="s">
        <v>177</v>
      </c>
      <c r="B15" s="1258">
        <v>3</v>
      </c>
      <c r="C15" s="324"/>
      <c r="D15" s="324"/>
      <c r="E15" s="324"/>
      <c r="F15" s="324"/>
    </row>
    <row r="16" spans="1:6">
      <c r="A16" s="1257" t="s">
        <v>6</v>
      </c>
      <c r="B16" s="1258">
        <v>26</v>
      </c>
      <c r="C16" s="324"/>
      <c r="D16" s="324"/>
      <c r="E16" s="324"/>
      <c r="F16" s="324"/>
    </row>
    <row r="17" spans="1:6">
      <c r="A17" s="1257" t="s">
        <v>7</v>
      </c>
      <c r="B17" s="1258">
        <v>170</v>
      </c>
      <c r="C17" s="324"/>
      <c r="D17" s="324"/>
      <c r="E17" s="324"/>
      <c r="F17" s="324"/>
    </row>
    <row r="18" spans="1:6">
      <c r="A18" s="1257" t="s">
        <v>8</v>
      </c>
      <c r="B18" s="1258">
        <v>176</v>
      </c>
      <c r="C18" s="324"/>
      <c r="D18" s="324"/>
      <c r="E18" s="324"/>
      <c r="F18" s="324"/>
    </row>
    <row r="19" spans="1:6">
      <c r="A19" s="1257" t="s">
        <v>9</v>
      </c>
      <c r="B19" s="1258">
        <v>152</v>
      </c>
      <c r="C19" s="324"/>
      <c r="D19" s="324"/>
      <c r="E19" s="324"/>
      <c r="F19" s="324"/>
    </row>
    <row r="20" spans="1:6">
      <c r="A20" s="1257" t="s">
        <v>10</v>
      </c>
      <c r="B20" s="1258">
        <v>110</v>
      </c>
      <c r="C20" s="324"/>
      <c r="D20" s="324"/>
      <c r="E20" s="324"/>
      <c r="F20" s="324"/>
    </row>
    <row r="21" spans="1:6">
      <c r="A21" s="1257" t="s">
        <v>11</v>
      </c>
      <c r="B21" s="1258">
        <v>2939</v>
      </c>
      <c r="C21" s="324"/>
      <c r="D21" s="324"/>
      <c r="E21" s="324"/>
      <c r="F21" s="324"/>
    </row>
    <row r="22" spans="1:6">
      <c r="A22" s="1257" t="s">
        <v>12</v>
      </c>
      <c r="B22" s="1258">
        <v>16392</v>
      </c>
      <c r="C22" s="324"/>
      <c r="D22" s="324"/>
      <c r="E22" s="324"/>
      <c r="F22" s="324"/>
    </row>
    <row r="23" spans="1:6">
      <c r="A23" s="1257" t="s">
        <v>13</v>
      </c>
      <c r="B23" s="1258">
        <v>104</v>
      </c>
      <c r="C23" s="324"/>
      <c r="D23" s="324"/>
      <c r="E23" s="324"/>
      <c r="F23" s="324"/>
    </row>
    <row r="24" spans="1:6">
      <c r="A24" s="1257" t="s">
        <v>14</v>
      </c>
      <c r="B24" s="1258">
        <v>3</v>
      </c>
      <c r="C24" s="324"/>
      <c r="D24" s="324"/>
      <c r="E24" s="324"/>
      <c r="F24" s="324"/>
    </row>
    <row r="25" spans="1:6">
      <c r="A25" s="1257" t="s">
        <v>15</v>
      </c>
      <c r="B25" s="1258">
        <v>645</v>
      </c>
      <c r="C25" s="324"/>
      <c r="D25" s="324"/>
      <c r="E25" s="324"/>
      <c r="F25" s="324"/>
    </row>
    <row r="26" spans="1:6">
      <c r="A26" s="1257" t="s">
        <v>16</v>
      </c>
      <c r="B26" s="1258">
        <v>205</v>
      </c>
      <c r="C26" s="324"/>
      <c r="D26" s="324"/>
      <c r="E26" s="324"/>
      <c r="F26" s="324"/>
    </row>
    <row r="27" spans="1:6">
      <c r="A27" s="1257" t="s">
        <v>17</v>
      </c>
      <c r="B27" s="1258">
        <v>6</v>
      </c>
      <c r="C27" s="324"/>
      <c r="D27" s="324"/>
      <c r="E27" s="324"/>
      <c r="F27" s="324"/>
    </row>
    <row r="28" spans="1:6">
      <c r="A28" s="1257" t="s">
        <v>18</v>
      </c>
      <c r="B28" s="1259">
        <v>70450</v>
      </c>
      <c r="C28" s="324"/>
      <c r="D28" s="324"/>
      <c r="E28" s="324"/>
      <c r="F28" s="324"/>
    </row>
    <row r="29" spans="1:6">
      <c r="A29" s="1257" t="s">
        <v>664</v>
      </c>
      <c r="B29" s="1259">
        <v>35</v>
      </c>
      <c r="C29" s="324"/>
      <c r="D29" s="324"/>
      <c r="E29" s="324"/>
      <c r="F29" s="324"/>
    </row>
    <row r="30" spans="1:6">
      <c r="A30" s="1252" t="s">
        <v>665</v>
      </c>
      <c r="B30" s="1260">
        <v>25</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12</v>
      </c>
      <c r="F36" s="1258">
        <v>153039</v>
      </c>
    </row>
    <row r="37" spans="1:6">
      <c r="A37" s="1257" t="s">
        <v>24</v>
      </c>
      <c r="B37" s="1257" t="s">
        <v>27</v>
      </c>
      <c r="C37" s="1258">
        <v>0</v>
      </c>
      <c r="D37" s="1258">
        <v>0</v>
      </c>
      <c r="E37" s="1258">
        <v>0</v>
      </c>
      <c r="F37" s="1258">
        <v>0</v>
      </c>
    </row>
    <row r="38" spans="1:6">
      <c r="A38" s="1257" t="s">
        <v>24</v>
      </c>
      <c r="B38" s="1257" t="s">
        <v>28</v>
      </c>
      <c r="C38" s="1258">
        <v>1</v>
      </c>
      <c r="D38" s="1258">
        <v>115933.802</v>
      </c>
      <c r="E38" s="1258">
        <v>0</v>
      </c>
      <c r="F38" s="1258">
        <v>0</v>
      </c>
    </row>
    <row r="39" spans="1:6">
      <c r="A39" s="1257" t="s">
        <v>29</v>
      </c>
      <c r="B39" s="1257" t="s">
        <v>30</v>
      </c>
      <c r="C39" s="1258">
        <v>9624</v>
      </c>
      <c r="D39" s="1258">
        <v>138569757.80000001</v>
      </c>
      <c r="E39" s="1258">
        <v>11993</v>
      </c>
      <c r="F39" s="1258">
        <v>36177604.100000001</v>
      </c>
    </row>
    <row r="40" spans="1:6">
      <c r="A40" s="1257" t="s">
        <v>29</v>
      </c>
      <c r="B40" s="1257" t="s">
        <v>28</v>
      </c>
      <c r="C40" s="1258">
        <v>1</v>
      </c>
      <c r="D40" s="1258">
        <v>27691.855</v>
      </c>
      <c r="E40" s="1258">
        <v>1</v>
      </c>
      <c r="F40" s="1258">
        <v>10889</v>
      </c>
    </row>
    <row r="41" spans="1:6">
      <c r="A41" s="1257" t="s">
        <v>31</v>
      </c>
      <c r="B41" s="1257" t="s">
        <v>32</v>
      </c>
      <c r="C41" s="1258">
        <v>226</v>
      </c>
      <c r="D41" s="1258">
        <v>8971850.7190000005</v>
      </c>
      <c r="E41" s="1258">
        <v>474</v>
      </c>
      <c r="F41" s="1258">
        <v>15553254.138</v>
      </c>
    </row>
    <row r="42" spans="1:6">
      <c r="A42" s="1257" t="s">
        <v>31</v>
      </c>
      <c r="B42" s="1257" t="s">
        <v>33</v>
      </c>
      <c r="C42" s="1258">
        <v>0</v>
      </c>
      <c r="D42" s="1258">
        <v>0</v>
      </c>
      <c r="E42" s="1258">
        <v>0</v>
      </c>
      <c r="F42" s="1258">
        <v>0</v>
      </c>
    </row>
    <row r="43" spans="1:6">
      <c r="A43" s="1257" t="s">
        <v>31</v>
      </c>
      <c r="B43" s="1257" t="s">
        <v>34</v>
      </c>
      <c r="C43" s="1258">
        <v>0</v>
      </c>
      <c r="D43" s="1258">
        <v>0</v>
      </c>
      <c r="E43" s="1258">
        <v>5</v>
      </c>
      <c r="F43" s="1258">
        <v>146233</v>
      </c>
    </row>
    <row r="44" spans="1:6">
      <c r="A44" s="1257" t="s">
        <v>31</v>
      </c>
      <c r="B44" s="1257" t="s">
        <v>35</v>
      </c>
      <c r="C44" s="1258">
        <v>18</v>
      </c>
      <c r="D44" s="1258">
        <v>1080205.9569999999</v>
      </c>
      <c r="E44" s="1258">
        <v>82</v>
      </c>
      <c r="F44" s="1258">
        <v>16478709</v>
      </c>
    </row>
    <row r="45" spans="1:6">
      <c r="A45" s="1257" t="s">
        <v>31</v>
      </c>
      <c r="B45" s="1257" t="s">
        <v>36</v>
      </c>
      <c r="C45" s="1258">
        <v>0</v>
      </c>
      <c r="D45" s="1258">
        <v>0</v>
      </c>
      <c r="E45" s="1258">
        <v>7</v>
      </c>
      <c r="F45" s="1258">
        <v>196273.33300000001</v>
      </c>
    </row>
    <row r="46" spans="1:6">
      <c r="A46" s="1257" t="s">
        <v>31</v>
      </c>
      <c r="B46" s="1257" t="s">
        <v>37</v>
      </c>
      <c r="C46" s="1258">
        <v>0</v>
      </c>
      <c r="D46" s="1258">
        <v>0</v>
      </c>
      <c r="E46" s="1258">
        <v>0</v>
      </c>
      <c r="F46" s="1258">
        <v>0</v>
      </c>
    </row>
    <row r="47" spans="1:6">
      <c r="A47" s="1257" t="s">
        <v>31</v>
      </c>
      <c r="B47" s="1257" t="s">
        <v>38</v>
      </c>
      <c r="C47" s="1258">
        <v>5</v>
      </c>
      <c r="D47" s="1258">
        <v>250416.826</v>
      </c>
      <c r="E47" s="1258">
        <v>8</v>
      </c>
      <c r="F47" s="1258">
        <v>101144</v>
      </c>
    </row>
    <row r="48" spans="1:6">
      <c r="A48" s="1257" t="s">
        <v>31</v>
      </c>
      <c r="B48" s="1257" t="s">
        <v>28</v>
      </c>
      <c r="C48" s="1258">
        <v>56</v>
      </c>
      <c r="D48" s="1258">
        <v>32023418.920000002</v>
      </c>
      <c r="E48" s="1258">
        <v>2</v>
      </c>
      <c r="F48" s="1258">
        <v>14571</v>
      </c>
    </row>
    <row r="49" spans="1:6">
      <c r="A49" s="1257" t="s">
        <v>31</v>
      </c>
      <c r="B49" s="1257" t="s">
        <v>39</v>
      </c>
      <c r="C49" s="1258">
        <v>3</v>
      </c>
      <c r="D49" s="1258">
        <v>144608.454</v>
      </c>
      <c r="E49" s="1258">
        <v>18</v>
      </c>
      <c r="F49" s="1258">
        <v>5849115</v>
      </c>
    </row>
    <row r="50" spans="1:6">
      <c r="A50" s="1257" t="s">
        <v>31</v>
      </c>
      <c r="B50" s="1257" t="s">
        <v>40</v>
      </c>
      <c r="C50" s="1258">
        <v>18</v>
      </c>
      <c r="D50" s="1258">
        <v>8356501.7340000002</v>
      </c>
      <c r="E50" s="1258">
        <v>44</v>
      </c>
      <c r="F50" s="1258">
        <v>40171315.25</v>
      </c>
    </row>
    <row r="51" spans="1:6">
      <c r="A51" s="1257" t="s">
        <v>41</v>
      </c>
      <c r="B51" s="1257" t="s">
        <v>42</v>
      </c>
      <c r="C51" s="1258">
        <v>17</v>
      </c>
      <c r="D51" s="1258">
        <v>11379075.630000001</v>
      </c>
      <c r="E51" s="1258">
        <v>90</v>
      </c>
      <c r="F51" s="1258">
        <v>2366442.8459999999</v>
      </c>
    </row>
    <row r="52" spans="1:6">
      <c r="A52" s="1257" t="s">
        <v>41</v>
      </c>
      <c r="B52" s="1257" t="s">
        <v>28</v>
      </c>
      <c r="C52" s="1258">
        <v>6</v>
      </c>
      <c r="D52" s="1258">
        <v>392780.99300000002</v>
      </c>
      <c r="E52" s="1258">
        <v>0</v>
      </c>
      <c r="F52" s="1258">
        <v>0</v>
      </c>
    </row>
    <row r="53" spans="1:6">
      <c r="A53" s="1257" t="s">
        <v>43</v>
      </c>
      <c r="B53" s="1257" t="s">
        <v>44</v>
      </c>
      <c r="C53" s="1258">
        <v>190</v>
      </c>
      <c r="D53" s="1258">
        <v>2949417.66</v>
      </c>
      <c r="E53" s="1258">
        <v>250</v>
      </c>
      <c r="F53" s="1258">
        <v>1059545.905</v>
      </c>
    </row>
    <row r="54" spans="1:6">
      <c r="A54" s="1257" t="s">
        <v>45</v>
      </c>
      <c r="B54" s="1257" t="s">
        <v>46</v>
      </c>
      <c r="C54" s="1258">
        <v>0</v>
      </c>
      <c r="D54" s="1258">
        <v>0</v>
      </c>
      <c r="E54" s="1258">
        <v>1</v>
      </c>
      <c r="F54" s="1258">
        <v>2530063</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88</v>
      </c>
      <c r="D57" s="1258">
        <v>4736839.7290000003</v>
      </c>
      <c r="E57" s="1258">
        <v>173</v>
      </c>
      <c r="F57" s="1258">
        <v>2835234.909</v>
      </c>
    </row>
    <row r="58" spans="1:6">
      <c r="A58" s="1257" t="s">
        <v>48</v>
      </c>
      <c r="B58" s="1257" t="s">
        <v>50</v>
      </c>
      <c r="C58" s="1258">
        <v>71</v>
      </c>
      <c r="D58" s="1258">
        <v>8100951.6859999998</v>
      </c>
      <c r="E58" s="1258">
        <v>103</v>
      </c>
      <c r="F58" s="1258">
        <v>5033258</v>
      </c>
    </row>
    <row r="59" spans="1:6">
      <c r="A59" s="1257" t="s">
        <v>48</v>
      </c>
      <c r="B59" s="1257" t="s">
        <v>51</v>
      </c>
      <c r="C59" s="1258">
        <v>219</v>
      </c>
      <c r="D59" s="1258">
        <v>8936614.2420000006</v>
      </c>
      <c r="E59" s="1258">
        <v>467</v>
      </c>
      <c r="F59" s="1258">
        <v>16591452.796</v>
      </c>
    </row>
    <row r="60" spans="1:6">
      <c r="A60" s="1257" t="s">
        <v>48</v>
      </c>
      <c r="B60" s="1257" t="s">
        <v>52</v>
      </c>
      <c r="C60" s="1258">
        <v>111</v>
      </c>
      <c r="D60" s="1258">
        <v>4268716.66</v>
      </c>
      <c r="E60" s="1258">
        <v>150</v>
      </c>
      <c r="F60" s="1258">
        <v>3221239.2689999999</v>
      </c>
    </row>
    <row r="61" spans="1:6">
      <c r="A61" s="1257" t="s">
        <v>48</v>
      </c>
      <c r="B61" s="1257" t="s">
        <v>53</v>
      </c>
      <c r="C61" s="1258">
        <v>256</v>
      </c>
      <c r="D61" s="1258">
        <v>7699444.824</v>
      </c>
      <c r="E61" s="1258">
        <v>473</v>
      </c>
      <c r="F61" s="1258">
        <v>4668101.8990000002</v>
      </c>
    </row>
    <row r="62" spans="1:6">
      <c r="A62" s="1257" t="s">
        <v>48</v>
      </c>
      <c r="B62" s="1257" t="s">
        <v>54</v>
      </c>
      <c r="C62" s="1258">
        <v>34</v>
      </c>
      <c r="D62" s="1258">
        <v>4910801.801</v>
      </c>
      <c r="E62" s="1258">
        <v>35</v>
      </c>
      <c r="F62" s="1258">
        <v>1127719.162</v>
      </c>
    </row>
    <row r="63" spans="1:6">
      <c r="A63" s="1257" t="s">
        <v>48</v>
      </c>
      <c r="B63" s="1257" t="s">
        <v>28</v>
      </c>
      <c r="C63" s="1258">
        <v>84</v>
      </c>
      <c r="D63" s="1258">
        <v>3999528.3029999998</v>
      </c>
      <c r="E63" s="1258">
        <v>0</v>
      </c>
      <c r="F63" s="1258">
        <v>0</v>
      </c>
    </row>
    <row r="64" spans="1:6">
      <c r="A64" s="1257" t="s">
        <v>55</v>
      </c>
      <c r="B64" s="1257" t="s">
        <v>56</v>
      </c>
      <c r="C64" s="1258">
        <v>0</v>
      </c>
      <c r="D64" s="1258">
        <v>0</v>
      </c>
      <c r="E64" s="1258">
        <v>0</v>
      </c>
      <c r="F64" s="1258">
        <v>0</v>
      </c>
    </row>
    <row r="65" spans="1:6">
      <c r="A65" s="1257" t="s">
        <v>55</v>
      </c>
      <c r="B65" s="1257" t="s">
        <v>28</v>
      </c>
      <c r="C65" s="1258">
        <v>2</v>
      </c>
      <c r="D65" s="1258">
        <v>124565.351</v>
      </c>
      <c r="E65" s="1258">
        <v>0</v>
      </c>
      <c r="F65" s="1258">
        <v>0</v>
      </c>
    </row>
    <row r="66" spans="1:6">
      <c r="A66" s="1257" t="s">
        <v>55</v>
      </c>
      <c r="B66" s="1257" t="s">
        <v>57</v>
      </c>
      <c r="C66" s="1258">
        <v>0</v>
      </c>
      <c r="D66" s="1258">
        <v>0</v>
      </c>
      <c r="E66" s="1258">
        <v>11</v>
      </c>
      <c r="F66" s="1258">
        <v>530914.30700000003</v>
      </c>
    </row>
    <row r="67" spans="1:6">
      <c r="A67" s="1257" t="s">
        <v>55</v>
      </c>
      <c r="B67" s="1257" t="s">
        <v>58</v>
      </c>
      <c r="C67" s="1258">
        <v>43</v>
      </c>
      <c r="D67" s="1258">
        <v>5191820.3660000004</v>
      </c>
      <c r="E67" s="1258">
        <v>96</v>
      </c>
      <c r="F67" s="1258">
        <v>1747238</v>
      </c>
    </row>
    <row r="68" spans="1:6">
      <c r="A68" s="1252" t="s">
        <v>55</v>
      </c>
      <c r="B68" s="1252" t="s">
        <v>59</v>
      </c>
      <c r="C68" s="1260">
        <v>11</v>
      </c>
      <c r="D68" s="1260">
        <v>753782.21</v>
      </c>
      <c r="E68" s="1260">
        <v>26</v>
      </c>
      <c r="F68" s="1260">
        <v>554940.9</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82993497</v>
      </c>
      <c r="E73" s="442"/>
      <c r="F73" s="324"/>
    </row>
    <row r="74" spans="1:6">
      <c r="A74" s="1257" t="s">
        <v>63</v>
      </c>
      <c r="B74" s="1257" t="s">
        <v>608</v>
      </c>
      <c r="C74" s="1270" t="s">
        <v>610</v>
      </c>
      <c r="D74" s="1258">
        <v>8242596.5</v>
      </c>
      <c r="E74" s="442"/>
      <c r="F74" s="324"/>
    </row>
    <row r="75" spans="1:6">
      <c r="A75" s="1257" t="s">
        <v>64</v>
      </c>
      <c r="B75" s="1257" t="s">
        <v>607</v>
      </c>
      <c r="C75" s="1270" t="s">
        <v>611</v>
      </c>
      <c r="D75" s="1258">
        <v>72995881</v>
      </c>
      <c r="E75" s="442"/>
      <c r="F75" s="324"/>
    </row>
    <row r="76" spans="1:6">
      <c r="A76" s="1257" t="s">
        <v>64</v>
      </c>
      <c r="B76" s="1257" t="s">
        <v>608</v>
      </c>
      <c r="C76" s="1270" t="s">
        <v>612</v>
      </c>
      <c r="D76" s="1258">
        <v>4698273.5</v>
      </c>
      <c r="E76" s="442"/>
      <c r="F76" s="324"/>
    </row>
    <row r="77" spans="1:6">
      <c r="A77" s="1257" t="s">
        <v>65</v>
      </c>
      <c r="B77" s="1257" t="s">
        <v>607</v>
      </c>
      <c r="C77" s="1270" t="s">
        <v>613</v>
      </c>
      <c r="D77" s="1258">
        <v>45047123</v>
      </c>
      <c r="E77" s="442"/>
      <c r="F77" s="324"/>
    </row>
    <row r="78" spans="1:6">
      <c r="A78" s="1252" t="s">
        <v>65</v>
      </c>
      <c r="B78" s="1252" t="s">
        <v>608</v>
      </c>
      <c r="C78" s="1252" t="s">
        <v>614</v>
      </c>
      <c r="D78" s="1260">
        <v>7506605</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179047</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22287.904640975485</v>
      </c>
      <c r="C90" s="324"/>
      <c r="D90" s="324"/>
      <c r="E90" s="324"/>
      <c r="F90" s="324"/>
    </row>
    <row r="91" spans="1:6">
      <c r="A91" s="1257" t="s">
        <v>67</v>
      </c>
      <c r="B91" s="1258">
        <v>5691.8668173148953</v>
      </c>
      <c r="C91" s="324"/>
      <c r="D91" s="324"/>
      <c r="E91" s="324"/>
      <c r="F91" s="324"/>
    </row>
    <row r="92" spans="1:6">
      <c r="A92" s="1252" t="s">
        <v>68</v>
      </c>
      <c r="B92" s="1253">
        <v>2774.5210938340224</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6493</v>
      </c>
      <c r="C97" s="324"/>
      <c r="D97" s="324"/>
      <c r="E97" s="324"/>
      <c r="F97" s="324"/>
    </row>
    <row r="98" spans="1:6">
      <c r="A98" s="1257" t="s">
        <v>71</v>
      </c>
      <c r="B98" s="1258">
        <v>1</v>
      </c>
      <c r="C98" s="324"/>
      <c r="D98" s="324"/>
      <c r="E98" s="324"/>
      <c r="F98" s="324"/>
    </row>
    <row r="99" spans="1:6">
      <c r="A99" s="1257" t="s">
        <v>72</v>
      </c>
      <c r="B99" s="1258">
        <v>111</v>
      </c>
      <c r="C99" s="324"/>
      <c r="D99" s="324"/>
      <c r="E99" s="324"/>
      <c r="F99" s="324"/>
    </row>
    <row r="100" spans="1:6">
      <c r="A100" s="1257" t="s">
        <v>73</v>
      </c>
      <c r="B100" s="1258">
        <v>642</v>
      </c>
      <c r="C100" s="324"/>
      <c r="D100" s="324"/>
      <c r="E100" s="324"/>
      <c r="F100" s="324"/>
    </row>
    <row r="101" spans="1:6">
      <c r="A101" s="1257" t="s">
        <v>74</v>
      </c>
      <c r="B101" s="1258">
        <v>159</v>
      </c>
      <c r="C101" s="324"/>
      <c r="D101" s="324"/>
      <c r="E101" s="324"/>
      <c r="F101" s="324"/>
    </row>
    <row r="102" spans="1:6">
      <c r="A102" s="1257" t="s">
        <v>75</v>
      </c>
      <c r="B102" s="1258">
        <v>177</v>
      </c>
      <c r="C102" s="324"/>
      <c r="D102" s="324"/>
      <c r="E102" s="324"/>
      <c r="F102" s="324"/>
    </row>
    <row r="103" spans="1:6">
      <c r="A103" s="1257" t="s">
        <v>76</v>
      </c>
      <c r="B103" s="1258">
        <v>221</v>
      </c>
      <c r="C103" s="324"/>
      <c r="D103" s="324"/>
      <c r="E103" s="324"/>
      <c r="F103" s="324"/>
    </row>
    <row r="104" spans="1:6">
      <c r="A104" s="1257" t="s">
        <v>77</v>
      </c>
      <c r="B104" s="1258">
        <v>2623</v>
      </c>
      <c r="C104" s="324"/>
      <c r="D104" s="324"/>
      <c r="E104" s="324"/>
      <c r="F104" s="324"/>
    </row>
    <row r="105" spans="1:6">
      <c r="A105" s="1252" t="s">
        <v>78</v>
      </c>
      <c r="B105" s="1260">
        <v>3</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2</v>
      </c>
      <c r="C110" s="324"/>
      <c r="D110" s="324"/>
      <c r="E110" s="324"/>
      <c r="F110" s="324"/>
    </row>
    <row r="111" spans="1:6">
      <c r="A111" s="1275" t="s">
        <v>599</v>
      </c>
      <c r="B111" s="1276">
        <v>1</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3</v>
      </c>
      <c r="C121" s="1258">
        <v>0</v>
      </c>
      <c r="D121" s="324"/>
      <c r="E121" s="324"/>
      <c r="F121" s="324"/>
    </row>
    <row r="122" spans="1:6">
      <c r="A122" s="1257" t="s">
        <v>86</v>
      </c>
      <c r="B122" s="1258">
        <v>0</v>
      </c>
      <c r="C122" s="1258">
        <v>0</v>
      </c>
      <c r="D122" s="324"/>
      <c r="E122" s="324"/>
      <c r="F122" s="324"/>
    </row>
    <row r="123" spans="1:6">
      <c r="A123" s="1257" t="s">
        <v>87</v>
      </c>
      <c r="B123" s="1258">
        <v>24</v>
      </c>
      <c r="C123" s="1258">
        <v>35</v>
      </c>
      <c r="D123" s="324"/>
      <c r="E123" s="324"/>
      <c r="F123" s="324"/>
    </row>
    <row r="124" spans="1:6">
      <c r="A124" s="1257" t="s">
        <v>88</v>
      </c>
      <c r="B124" s="1258">
        <v>0</v>
      </c>
      <c r="C124" s="1258">
        <v>4</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359</v>
      </c>
      <c r="C129" s="324"/>
      <c r="D129" s="324"/>
      <c r="E129" s="324"/>
      <c r="F129" s="324"/>
    </row>
    <row r="130" spans="1:6">
      <c r="A130" s="1257" t="s">
        <v>283</v>
      </c>
      <c r="B130" s="1258">
        <v>6</v>
      </c>
      <c r="C130" s="324"/>
      <c r="D130" s="324"/>
      <c r="E130" s="324"/>
      <c r="F130" s="324"/>
    </row>
    <row r="131" spans="1:6">
      <c r="A131" s="1257" t="s">
        <v>284</v>
      </c>
      <c r="B131" s="1258">
        <v>3</v>
      </c>
      <c r="C131" s="324"/>
      <c r="D131" s="324"/>
      <c r="E131" s="324"/>
      <c r="F131" s="324"/>
    </row>
    <row r="132" spans="1:6">
      <c r="A132" s="1252" t="s">
        <v>285</v>
      </c>
      <c r="B132" s="1253">
        <v>15</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160046.57500293278</v>
      </c>
      <c r="C3" s="43" t="s">
        <v>163</v>
      </c>
      <c r="D3" s="43"/>
      <c r="E3" s="153"/>
      <c r="F3" s="43"/>
      <c r="G3" s="43"/>
      <c r="H3" s="43"/>
      <c r="I3" s="43"/>
      <c r="J3" s="43"/>
      <c r="K3" s="96"/>
    </row>
    <row r="4" spans="1:11">
      <c r="A4" s="350" t="s">
        <v>164</v>
      </c>
      <c r="B4" s="49">
        <f>IF(ISERROR('SEAP template'!B78+'SEAP template'!C78),0,'SEAP template'!B78+'SEAP template'!C78)</f>
        <v>34507.292552124403</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891.88941176470587</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0.17892335923382688</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1274.127731092437</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5361.4285714285716</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0.23764705882352941</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2530.0630000000001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2530.0630000000001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0.17892335923382688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452.68737103321376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36188.4931</v>
      </c>
      <c r="C5" s="17">
        <f>IF(ISERROR('Eigen informatie GS &amp; warmtenet'!B59),0,'Eigen informatie GS &amp; warmtenet'!B59)</f>
        <v>0</v>
      </c>
      <c r="D5" s="30">
        <f>(SUM(HH_hh_gas_kWh,HH_rest_gas_kWh)/1000)*0.902</f>
        <v>125014.89958881</v>
      </c>
      <c r="E5" s="17">
        <f>B32*B41</f>
        <v>2061.3012847148075</v>
      </c>
      <c r="F5" s="17">
        <f>B36*B45</f>
        <v>39668.296449789246</v>
      </c>
      <c r="G5" s="18"/>
      <c r="H5" s="17"/>
      <c r="I5" s="17"/>
      <c r="J5" s="17">
        <f>B35*B44+C35*C44</f>
        <v>202.98689508740296</v>
      </c>
      <c r="K5" s="17"/>
      <c r="L5" s="17"/>
      <c r="M5" s="17"/>
      <c r="N5" s="17">
        <f>B34*B43+C34*C43</f>
        <v>14565.662577732212</v>
      </c>
      <c r="O5" s="17">
        <f>B52*B53*B54</f>
        <v>789.6153713160387</v>
      </c>
      <c r="P5" s="17">
        <f>B60*B61*B62/1000-B60*B61*B62/1000/B63</f>
        <v>410.82441299971589</v>
      </c>
    </row>
    <row r="6" spans="1:16">
      <c r="A6" s="16" t="s">
        <v>573</v>
      </c>
      <c r="B6" s="738">
        <f>kWh_PV_kleiner_dan_10kW</f>
        <v>5691.8668173148953</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41880.359917314898</v>
      </c>
      <c r="C8" s="21">
        <f>C5</f>
        <v>0</v>
      </c>
      <c r="D8" s="21">
        <f>D5</f>
        <v>125014.89958881</v>
      </c>
      <c r="E8" s="21">
        <f>E5</f>
        <v>2061.3012847148075</v>
      </c>
      <c r="F8" s="21">
        <f>F5</f>
        <v>39668.296449789246</v>
      </c>
      <c r="G8" s="21"/>
      <c r="H8" s="21"/>
      <c r="I8" s="21"/>
      <c r="J8" s="21">
        <f>J5</f>
        <v>202.98689508740296</v>
      </c>
      <c r="K8" s="21"/>
      <c r="L8" s="21">
        <f>L5</f>
        <v>0</v>
      </c>
      <c r="M8" s="21">
        <f>M5</f>
        <v>0</v>
      </c>
      <c r="N8" s="21">
        <f>N5</f>
        <v>14565.662577732212</v>
      </c>
      <c r="O8" s="21">
        <f>O5</f>
        <v>789.6153713160387</v>
      </c>
      <c r="P8" s="21">
        <f>P5</f>
        <v>410.82441299971589</v>
      </c>
    </row>
    <row r="9" spans="1:16">
      <c r="B9" s="19"/>
      <c r="C9" s="19"/>
      <c r="D9" s="255"/>
      <c r="E9" s="19"/>
      <c r="F9" s="19"/>
      <c r="G9" s="19"/>
      <c r="H9" s="19"/>
      <c r="I9" s="19"/>
      <c r="J9" s="19"/>
      <c r="K9" s="19"/>
      <c r="L9" s="19"/>
      <c r="M9" s="19"/>
      <c r="N9" s="19"/>
      <c r="O9" s="19"/>
      <c r="P9" s="19"/>
    </row>
    <row r="10" spans="1:16">
      <c r="A10" s="24" t="s">
        <v>207</v>
      </c>
      <c r="B10" s="25">
        <f ca="1">'EF ele_warmte'!B12</f>
        <v>0.17892335923382688</v>
      </c>
      <c r="C10" s="25">
        <f ca="1">'EF ele_warmte'!B22</f>
        <v>0.23764705882352941</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7493.3746823276979</v>
      </c>
      <c r="C12" s="23">
        <f ca="1">C10*C8</f>
        <v>0</v>
      </c>
      <c r="D12" s="23">
        <f>D8*D10</f>
        <v>25253.009716939621</v>
      </c>
      <c r="E12" s="23">
        <f>E10*E8</f>
        <v>467.9153916302613</v>
      </c>
      <c r="F12" s="23">
        <f>F10*F8</f>
        <v>10591.435152093729</v>
      </c>
      <c r="G12" s="23"/>
      <c r="H12" s="23"/>
      <c r="I12" s="23"/>
      <c r="J12" s="23">
        <f>J10*J8</f>
        <v>71.857360860940645</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12138</v>
      </c>
      <c r="C26" s="36"/>
      <c r="D26" s="225"/>
    </row>
    <row r="27" spans="1:7" s="15" customFormat="1">
      <c r="A27" s="227" t="s">
        <v>774</v>
      </c>
      <c r="B27" s="37">
        <f>SUM(HH_hh_gas_aantal,HH_rest_gas_aantal)</f>
        <v>9625</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9143.75</v>
      </c>
      <c r="C31" s="165" t="s">
        <v>104</v>
      </c>
      <c r="D31" s="230"/>
      <c r="G31" s="15"/>
    </row>
    <row r="32" spans="1:7">
      <c r="A32" s="168" t="s">
        <v>72</v>
      </c>
      <c r="B32" s="165">
        <f>IF((B21*($B$26-($B$27-0.05*$B$27)-$B$60))&lt;0,0,B21*($B$26-($B$27-0.05*$B$27)-$B$60))</f>
        <v>33.315027752587589</v>
      </c>
      <c r="C32" s="165" t="s">
        <v>104</v>
      </c>
      <c r="D32" s="230"/>
      <c r="G32" s="15"/>
    </row>
    <row r="33" spans="1:7">
      <c r="A33" s="168" t="s">
        <v>73</v>
      </c>
      <c r="B33" s="165">
        <f>IF((B22*($B$26-($B$27-0.05*$B$27)-$B$60))&lt;0,0,B22*($B$26-($B$27-0.05*$B$27)-$B$60))</f>
        <v>692.64740391327848</v>
      </c>
      <c r="C33" s="165" t="s">
        <v>104</v>
      </c>
      <c r="D33" s="230"/>
      <c r="G33" s="15"/>
    </row>
    <row r="34" spans="1:7">
      <c r="A34" s="168" t="s">
        <v>74</v>
      </c>
      <c r="B34" s="165">
        <f>IF((B24*($B$26-($B$27-0.05*$B$27)-$B$60))&lt;0,0,B24*($B$26-($B$27-0.05*$B$27)-$B$60))</f>
        <v>292.46628748261759</v>
      </c>
      <c r="C34" s="165">
        <f>B26*C24</f>
        <v>2094.5631131725472</v>
      </c>
      <c r="D34" s="230"/>
      <c r="G34" s="15"/>
    </row>
    <row r="35" spans="1:7">
      <c r="A35" s="168" t="s">
        <v>76</v>
      </c>
      <c r="B35" s="165">
        <f>IF((B19*($B$26-($B$27-0.05*$B$27)-$B$60))&lt;0,0,B19*($B$26-($B$27-0.05*$B$27)-$B$60))</f>
        <v>25.215883626695792</v>
      </c>
      <c r="C35" s="165">
        <f>B35/2</f>
        <v>12.607941813347896</v>
      </c>
      <c r="D35" s="231"/>
      <c r="G35" s="15"/>
    </row>
    <row r="36" spans="1:7">
      <c r="A36" s="168" t="s">
        <v>77</v>
      </c>
      <c r="B36" s="165">
        <f>IF((B18*($B$26-($B$27-0.05*$B$27)-$B$60))&lt;0,0,B18*($B$26-($B$27-0.05*$B$27)-$B$60))</f>
        <v>1911.6053972248205</v>
      </c>
      <c r="C36" s="165" t="s">
        <v>104</v>
      </c>
      <c r="D36" s="231"/>
      <c r="G36" s="15"/>
    </row>
    <row r="37" spans="1:7">
      <c r="A37" s="168" t="s">
        <v>78</v>
      </c>
      <c r="B37" s="165">
        <f>B60</f>
        <v>39</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398</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39</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33477.006034999999</v>
      </c>
      <c r="C5" s="17">
        <f>IF(ISERROR('Eigen informatie GS &amp; warmtenet'!B60),0,'Eigen informatie GS &amp; warmtenet'!B60)</f>
        <v>0</v>
      </c>
      <c r="D5" s="30">
        <f>SUM(D6:D12)</f>
        <v>38472.913314990001</v>
      </c>
      <c r="E5" s="17">
        <f>SUM(E6:E12)</f>
        <v>87.906276147082693</v>
      </c>
      <c r="F5" s="17">
        <f>SUM(F6:F12)</f>
        <v>5031.0682181624352</v>
      </c>
      <c r="G5" s="18"/>
      <c r="H5" s="17"/>
      <c r="I5" s="17"/>
      <c r="J5" s="17">
        <f>SUM(J6:J12)</f>
        <v>2.8061804059782133E-2</v>
      </c>
      <c r="K5" s="17"/>
      <c r="L5" s="17"/>
      <c r="M5" s="17"/>
      <c r="N5" s="17">
        <f>SUM(N6:N12)</f>
        <v>1092.9454574378103</v>
      </c>
      <c r="O5" s="17">
        <f>B38*B39*B40</f>
        <v>29.383564595046927</v>
      </c>
      <c r="P5" s="17">
        <f>B46*B47*B48/1000-B46*B47*B48/1000/B49</f>
        <v>315.23482983897009</v>
      </c>
      <c r="R5" s="32"/>
    </row>
    <row r="6" spans="1:18">
      <c r="A6" s="32" t="s">
        <v>53</v>
      </c>
      <c r="B6" s="37">
        <f>B26</f>
        <v>4668.1018990000002</v>
      </c>
      <c r="C6" s="33"/>
      <c r="D6" s="37">
        <f>IF(ISERROR(TER_kantoor_gas_kWh/1000),0,TER_kantoor_gas_kWh/1000)*0.902</f>
        <v>6944.8992312480004</v>
      </c>
      <c r="E6" s="33">
        <f>$C$26*'E Balans VL '!I12/100/3.6*1000000</f>
        <v>1.2189752578365181</v>
      </c>
      <c r="F6" s="33">
        <f>$C$26*('E Balans VL '!L12+'E Balans VL '!N12)/100/3.6*1000000</f>
        <v>466.41899839143736</v>
      </c>
      <c r="G6" s="34"/>
      <c r="H6" s="33"/>
      <c r="I6" s="33"/>
      <c r="J6" s="33">
        <f>$C$26*('E Balans VL '!D12+'E Balans VL '!E12)/100/3.6*1000000</f>
        <v>0</v>
      </c>
      <c r="K6" s="33"/>
      <c r="L6" s="33"/>
      <c r="M6" s="33"/>
      <c r="N6" s="33">
        <f>$C$26*'E Balans VL '!Y12/100/3.6*1000000</f>
        <v>3.3096598999986564</v>
      </c>
      <c r="O6" s="33"/>
      <c r="P6" s="33"/>
      <c r="R6" s="32"/>
    </row>
    <row r="7" spans="1:18">
      <c r="A7" s="32" t="s">
        <v>52</v>
      </c>
      <c r="B7" s="37">
        <f t="shared" ref="B7:B12" si="0">B27</f>
        <v>3221.2392689999997</v>
      </c>
      <c r="C7" s="33"/>
      <c r="D7" s="37">
        <f>IF(ISERROR(TER_horeca_gas_kWh/1000),0,TER_horeca_gas_kWh/1000)*0.902</f>
        <v>3850.3824273200003</v>
      </c>
      <c r="E7" s="33">
        <f>$C$27*'E Balans VL '!I9/100/3.6*1000000</f>
        <v>0</v>
      </c>
      <c r="F7" s="33">
        <f>$C$27*('E Balans VL '!L9+'E Balans VL '!N9)/100/3.6*1000000</f>
        <v>264.54901656088896</v>
      </c>
      <c r="G7" s="34"/>
      <c r="H7" s="33"/>
      <c r="I7" s="33"/>
      <c r="J7" s="33">
        <f>$C$27*('E Balans VL '!D9+'E Balans VL '!E9)/100/3.6*1000000</f>
        <v>0</v>
      </c>
      <c r="K7" s="33"/>
      <c r="L7" s="33"/>
      <c r="M7" s="33"/>
      <c r="N7" s="33">
        <f>$C$27*'E Balans VL '!Y9/100/3.6*1000000</f>
        <v>40.707033820875324</v>
      </c>
      <c r="O7" s="33"/>
      <c r="P7" s="33"/>
      <c r="R7" s="32"/>
    </row>
    <row r="8" spans="1:18">
      <c r="A8" s="6" t="s">
        <v>51</v>
      </c>
      <c r="B8" s="37">
        <f t="shared" si="0"/>
        <v>16591.452796000001</v>
      </c>
      <c r="C8" s="33"/>
      <c r="D8" s="37">
        <f>IF(ISERROR(TER_handel_gas_kWh/1000),0,TER_handel_gas_kWh/1000)*0.902</f>
        <v>8060.8260462839999</v>
      </c>
      <c r="E8" s="33">
        <f>$C$28*'E Balans VL '!I13/100/3.6*1000000</f>
        <v>60.977942781422442</v>
      </c>
      <c r="F8" s="33">
        <f>$C$28*('E Balans VL '!L13+'E Balans VL '!N13)/100/3.6*1000000</f>
        <v>1584.7633160380985</v>
      </c>
      <c r="G8" s="34"/>
      <c r="H8" s="33"/>
      <c r="I8" s="33"/>
      <c r="J8" s="33">
        <f>$C$28*('E Balans VL '!D13+'E Balans VL '!E13)/100/3.6*1000000</f>
        <v>0</v>
      </c>
      <c r="K8" s="33"/>
      <c r="L8" s="33"/>
      <c r="M8" s="33"/>
      <c r="N8" s="33">
        <f>$C$28*'E Balans VL '!Y13/100/3.6*1000000</f>
        <v>6.5648480133976088</v>
      </c>
      <c r="O8" s="33"/>
      <c r="P8" s="33"/>
      <c r="R8" s="32"/>
    </row>
    <row r="9" spans="1:18">
      <c r="A9" s="32" t="s">
        <v>50</v>
      </c>
      <c r="B9" s="37">
        <f t="shared" si="0"/>
        <v>5033.2579999999998</v>
      </c>
      <c r="C9" s="33"/>
      <c r="D9" s="37">
        <f>IF(ISERROR(TER_gezond_gas_kWh/1000),0,TER_gezond_gas_kWh/1000)*0.902</f>
        <v>7307.0584207719994</v>
      </c>
      <c r="E9" s="33">
        <f>$C$29*'E Balans VL '!I10/100/3.6*1000000</f>
        <v>0</v>
      </c>
      <c r="F9" s="33">
        <f>$C$29*('E Balans VL '!L10+'E Balans VL '!N10)/100/3.6*1000000</f>
        <v>340.02001769534564</v>
      </c>
      <c r="G9" s="34"/>
      <c r="H9" s="33"/>
      <c r="I9" s="33"/>
      <c r="J9" s="33">
        <f>$C$29*('E Balans VL '!D10+'E Balans VL '!E10)/100/3.6*1000000</f>
        <v>0</v>
      </c>
      <c r="K9" s="33"/>
      <c r="L9" s="33"/>
      <c r="M9" s="33"/>
      <c r="N9" s="33">
        <f>$C$29*'E Balans VL '!Y10/100/3.6*1000000</f>
        <v>39.162502590062815</v>
      </c>
      <c r="O9" s="33"/>
      <c r="P9" s="33"/>
      <c r="R9" s="32"/>
    </row>
    <row r="10" spans="1:18">
      <c r="A10" s="32" t="s">
        <v>49</v>
      </c>
      <c r="B10" s="37">
        <f t="shared" si="0"/>
        <v>2835.2349089999998</v>
      </c>
      <c r="C10" s="33"/>
      <c r="D10" s="37">
        <f>IF(ISERROR(TER_ander_gas_kWh/1000),0,TER_ander_gas_kWh/1000)*0.902</f>
        <v>4272.6294355580003</v>
      </c>
      <c r="E10" s="33">
        <f>$C$30*'E Balans VL '!I14/100/3.6*1000000</f>
        <v>25.709358107823729</v>
      </c>
      <c r="F10" s="33">
        <f>$C$30*('E Balans VL '!L14+'E Balans VL '!N14)/100/3.6*1000000</f>
        <v>2241.1031267279031</v>
      </c>
      <c r="G10" s="34"/>
      <c r="H10" s="33"/>
      <c r="I10" s="33"/>
      <c r="J10" s="33">
        <f>$C$30*('E Balans VL '!D14+'E Balans VL '!E14)/100/3.6*1000000</f>
        <v>2.8061804059782133E-2</v>
      </c>
      <c r="K10" s="33"/>
      <c r="L10" s="33"/>
      <c r="M10" s="33"/>
      <c r="N10" s="33">
        <f>$C$30*'E Balans VL '!Y14/100/3.6*1000000</f>
        <v>1000.6933932137725</v>
      </c>
      <c r="O10" s="33"/>
      <c r="P10" s="33"/>
      <c r="R10" s="32"/>
    </row>
    <row r="11" spans="1:18">
      <c r="A11" s="32" t="s">
        <v>54</v>
      </c>
      <c r="B11" s="37">
        <f t="shared" si="0"/>
        <v>1127.7191620000001</v>
      </c>
      <c r="C11" s="33"/>
      <c r="D11" s="37">
        <f>IF(ISERROR(TER_onderwijs_gas_kWh/1000),0,TER_onderwijs_gas_kWh/1000)*0.902</f>
        <v>4429.5432245020002</v>
      </c>
      <c r="E11" s="33">
        <f>$C$31*'E Balans VL '!I11/100/3.6*1000000</f>
        <v>0</v>
      </c>
      <c r="F11" s="33">
        <f>$C$31*('E Balans VL '!L11+'E Balans VL '!N11)/100/3.6*1000000</f>
        <v>134.21374274876118</v>
      </c>
      <c r="G11" s="34"/>
      <c r="H11" s="33"/>
      <c r="I11" s="33"/>
      <c r="J11" s="33">
        <f>$C$31*('E Balans VL '!D11+'E Balans VL '!E11)/100/3.6*1000000</f>
        <v>0</v>
      </c>
      <c r="K11" s="33"/>
      <c r="L11" s="33"/>
      <c r="M11" s="33"/>
      <c r="N11" s="33">
        <f>$C$31*'E Balans VL '!Y11/100/3.6*1000000</f>
        <v>2.5080198997033456</v>
      </c>
      <c r="O11" s="33"/>
      <c r="P11" s="33"/>
      <c r="R11" s="32"/>
    </row>
    <row r="12" spans="1:18">
      <c r="A12" s="32" t="s">
        <v>248</v>
      </c>
      <c r="B12" s="37">
        <f t="shared" si="0"/>
        <v>0</v>
      </c>
      <c r="C12" s="33"/>
      <c r="D12" s="37">
        <f>IF(ISERROR(TER_rest_gas_kWh/1000),0,TER_rest_gas_kWh/1000)*0.902</f>
        <v>3607.5745293059999</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464</v>
      </c>
      <c r="B13" s="244">
        <f ca="1">'lokale energieproductie'!N38+'lokale energieproductie'!N31</f>
        <v>0</v>
      </c>
      <c r="C13" s="244">
        <f ca="1">'lokale energieproductie'!O38+'lokale energieproductie'!O31</f>
        <v>0</v>
      </c>
      <c r="D13" s="302">
        <f ca="1">('lokale energieproductie'!P31+'lokale energieproductie'!P38)*(-1)</f>
        <v>0</v>
      </c>
      <c r="E13" s="245"/>
      <c r="F13" s="302">
        <f ca="1">('lokale energieproductie'!S31+'lokale energieproductie'!S38)*(-1)</f>
        <v>0</v>
      </c>
      <c r="G13" s="246"/>
      <c r="H13" s="245"/>
      <c r="I13" s="245"/>
      <c r="J13" s="245"/>
      <c r="K13" s="245"/>
      <c r="L13" s="302">
        <f ca="1">('lokale energieproductie'!U31+'lokale energieproductie'!T31+'lokale energieproductie'!U38+'lokale energieproductie'!T38)*(-1)</f>
        <v>0</v>
      </c>
      <c r="M13" s="245"/>
      <c r="N13" s="302">
        <f ca="1">('lokale energieproductie'!Q31+'lokale energieproductie'!R31+'lokale energieproductie'!V31+'lokale energieproductie'!Q38+'lokale energieproductie'!R38+'lokale energieproductie'!V38)*(-1)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33477.006034999999</v>
      </c>
      <c r="C16" s="21">
        <f t="shared" ca="1" si="1"/>
        <v>0</v>
      </c>
      <c r="D16" s="21">
        <f t="shared" ca="1" si="1"/>
        <v>38472.913314990001</v>
      </c>
      <c r="E16" s="21">
        <f t="shared" si="1"/>
        <v>87.906276147082693</v>
      </c>
      <c r="F16" s="21">
        <f t="shared" ca="1" si="1"/>
        <v>5031.0682181624352</v>
      </c>
      <c r="G16" s="21">
        <f t="shared" si="1"/>
        <v>0</v>
      </c>
      <c r="H16" s="21">
        <f t="shared" si="1"/>
        <v>0</v>
      </c>
      <c r="I16" s="21">
        <f t="shared" si="1"/>
        <v>0</v>
      </c>
      <c r="J16" s="21">
        <f t="shared" si="1"/>
        <v>2.8061804059782133E-2</v>
      </c>
      <c r="K16" s="21">
        <f t="shared" si="1"/>
        <v>0</v>
      </c>
      <c r="L16" s="21">
        <f t="shared" ca="1" si="1"/>
        <v>0</v>
      </c>
      <c r="M16" s="21">
        <f t="shared" si="1"/>
        <v>0</v>
      </c>
      <c r="N16" s="21">
        <f t="shared" ca="1" si="1"/>
        <v>1092.9454574378103</v>
      </c>
      <c r="O16" s="21">
        <f>O5</f>
        <v>29.383564595046927</v>
      </c>
      <c r="P16" s="21">
        <f>P5</f>
        <v>315.23482983897009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0.17892335923382688</v>
      </c>
      <c r="C18" s="25">
        <f ca="1">'EF ele_warmte'!B22</f>
        <v>0.23764705882352941</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5989.8183768732952</v>
      </c>
      <c r="C20" s="23">
        <f t="shared" ref="C20:P20" ca="1" si="2">C16*C18</f>
        <v>0</v>
      </c>
      <c r="D20" s="23">
        <f t="shared" ca="1" si="2"/>
        <v>7771.5284896279809</v>
      </c>
      <c r="E20" s="23">
        <f t="shared" si="2"/>
        <v>19.95472468538777</v>
      </c>
      <c r="F20" s="23">
        <f t="shared" ca="1" si="2"/>
        <v>1343.2952142493702</v>
      </c>
      <c r="G20" s="23">
        <f t="shared" si="2"/>
        <v>0</v>
      </c>
      <c r="H20" s="23">
        <f t="shared" si="2"/>
        <v>0</v>
      </c>
      <c r="I20" s="23">
        <f t="shared" si="2"/>
        <v>0</v>
      </c>
      <c r="J20" s="23">
        <f t="shared" si="2"/>
        <v>9.9338786371628747E-3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4668.1018990000002</v>
      </c>
      <c r="C26" s="39">
        <f>IF(ISERROR(B26*3.6/1000000/'E Balans VL '!Z12*100),0,B26*3.6/1000000/'E Balans VL '!Z12*100)</f>
        <v>0.13063784186938479</v>
      </c>
      <c r="D26" s="234" t="s">
        <v>667</v>
      </c>
      <c r="F26" s="6"/>
    </row>
    <row r="27" spans="1:18">
      <c r="A27" s="228" t="s">
        <v>52</v>
      </c>
      <c r="B27" s="33">
        <f>IF(ISERROR(TER_horeca_ele_kWh/1000),0,TER_horeca_ele_kWh/1000)</f>
        <v>3221.2392689999997</v>
      </c>
      <c r="C27" s="39">
        <f>IF(ISERROR(B27*3.6/1000000/'E Balans VL '!Z9*100),0,B27*3.6/1000000/'E Balans VL '!Z9*100)</f>
        <v>0.24008681831411793</v>
      </c>
      <c r="D27" s="234" t="s">
        <v>667</v>
      </c>
      <c r="F27" s="6"/>
    </row>
    <row r="28" spans="1:18">
      <c r="A28" s="168" t="s">
        <v>51</v>
      </c>
      <c r="B28" s="33">
        <f>IF(ISERROR(TER_handel_ele_kWh/1000),0,TER_handel_ele_kWh/1000)</f>
        <v>16591.452796000001</v>
      </c>
      <c r="C28" s="39">
        <f>IF(ISERROR(B28*3.6/1000000/'E Balans VL '!Z13*100),0,B28*3.6/1000000/'E Balans VL '!Z13*100)</f>
        <v>0.48069831239263006</v>
      </c>
      <c r="D28" s="234" t="s">
        <v>667</v>
      </c>
      <c r="F28" s="6"/>
    </row>
    <row r="29" spans="1:18">
      <c r="A29" s="228" t="s">
        <v>50</v>
      </c>
      <c r="B29" s="33">
        <f>IF(ISERROR(TER_gezond_ele_kWh/1000),0,TER_gezond_ele_kWh/1000)</f>
        <v>5033.2579999999998</v>
      </c>
      <c r="C29" s="39">
        <f>IF(ISERROR(B29*3.6/1000000/'E Balans VL '!Z10*100),0,B29*3.6/1000000/'E Balans VL '!Z10*100)</f>
        <v>0.50761007170463768</v>
      </c>
      <c r="D29" s="234" t="s">
        <v>667</v>
      </c>
      <c r="F29" s="6"/>
    </row>
    <row r="30" spans="1:18">
      <c r="A30" s="228" t="s">
        <v>49</v>
      </c>
      <c r="B30" s="33">
        <f>IF(ISERROR(TER_ander_ele_kWh/1000),0,TER_ander_ele_kWh/1000)</f>
        <v>2835.2349089999998</v>
      </c>
      <c r="C30" s="39">
        <f>IF(ISERROR(B30*3.6/1000000/'E Balans VL '!Z14*100),0,B30*3.6/1000000/'E Balans VL '!Z14*100)</f>
        <v>0.11492889034723057</v>
      </c>
      <c r="D30" s="234" t="s">
        <v>667</v>
      </c>
      <c r="F30" s="6"/>
    </row>
    <row r="31" spans="1:18">
      <c r="A31" s="228" t="s">
        <v>54</v>
      </c>
      <c r="B31" s="33">
        <f>IF(ISERROR(TER_onderwijs_ele_kWh/1000),0,TER_onderwijs_ele_kWh/1000)</f>
        <v>1127.7191620000001</v>
      </c>
      <c r="C31" s="39">
        <f>IF(ISERROR(B31*3.6/1000000/'E Balans VL '!Z11*100),0,B31*3.6/1000000/'E Balans VL '!Z11*100)</f>
        <v>0.32144588403261165</v>
      </c>
      <c r="D31" s="234" t="s">
        <v>667</v>
      </c>
    </row>
    <row r="32" spans="1:18">
      <c r="A32" s="228" t="s">
        <v>248</v>
      </c>
      <c r="B32" s="33">
        <f>IF(ISERROR(TER_rest_ele_kWh/1000),0,TER_rest_ele_kWh/1000)</f>
        <v>0</v>
      </c>
      <c r="C32" s="39">
        <f>IF(ISERROR(B32*3.6/1000000/'E Balans VL '!Z8*100),0,B32*3.6/1000000/'E Balans VL '!Z8*100)</f>
        <v>0</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6</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6</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78510.614721000005</v>
      </c>
      <c r="C5" s="17">
        <f>IF(ISERROR('Eigen informatie GS &amp; warmtenet'!B61),0,'Eigen informatie GS &amp; warmtenet'!B61)</f>
        <v>0</v>
      </c>
      <c r="D5" s="30">
        <f>SUM(D6:D15)</f>
        <v>45845.956354220005</v>
      </c>
      <c r="E5" s="17">
        <f>SUM(E6:E15)</f>
        <v>251.21831708595357</v>
      </c>
      <c r="F5" s="17">
        <f>SUM(F6:F15)</f>
        <v>13908.407952807722</v>
      </c>
      <c r="G5" s="18"/>
      <c r="H5" s="17"/>
      <c r="I5" s="17"/>
      <c r="J5" s="17">
        <f>SUM(J6:J15)</f>
        <v>16.085484803554071</v>
      </c>
      <c r="K5" s="17"/>
      <c r="L5" s="17"/>
      <c r="M5" s="17"/>
      <c r="N5" s="17">
        <f>SUM(N6:N15)</f>
        <v>3332.9740460498065</v>
      </c>
      <c r="O5" s="17">
        <f>B43*B44*B45</f>
        <v>0</v>
      </c>
      <c r="P5" s="17">
        <f>B51*B52*B53/1000-B51*B52*B53/1000/B54</f>
        <v>0</v>
      </c>
      <c r="R5" s="32"/>
    </row>
    <row r="6" spans="1:18">
      <c r="A6" s="6" t="s">
        <v>34</v>
      </c>
      <c r="B6" s="37">
        <f>IF( ISERROR(IND_ijzer_ele_kWh/1000),0,IND_ijzer_ele_kWh/1000)</f>
        <v>146.233</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16478.708999999999</v>
      </c>
      <c r="C8" s="33"/>
      <c r="D8" s="37">
        <f>IF( ISERROR(IND_metaal_Gas_kWH/1000),0,IND_metaal_Gas_kWH/1000)*0.902</f>
        <v>974.34577321399991</v>
      </c>
      <c r="E8" s="33">
        <f>C30*'E Balans VL '!I18/100/3.6*1000000</f>
        <v>118.25515056633773</v>
      </c>
      <c r="F8" s="33">
        <f>C30*'E Balans VL '!L18/100/3.6*1000000+C30*'E Balans VL '!N18/100/3.6*1000000</f>
        <v>1096.8110738237015</v>
      </c>
      <c r="G8" s="34"/>
      <c r="H8" s="33"/>
      <c r="I8" s="33"/>
      <c r="J8" s="40">
        <f>C30*'E Balans VL '!D18/100/3.6*1000000+C30*'E Balans VL '!E18/100/3.6*1000000</f>
        <v>15.886180124291059</v>
      </c>
      <c r="K8" s="33"/>
      <c r="L8" s="33"/>
      <c r="M8" s="33"/>
      <c r="N8" s="33">
        <f>C30*'E Balans VL '!Y18/100/3.6*1000000</f>
        <v>199.68401973623801</v>
      </c>
      <c r="O8" s="33"/>
      <c r="P8" s="33"/>
      <c r="R8" s="32"/>
    </row>
    <row r="9" spans="1:18">
      <c r="A9" s="6" t="s">
        <v>32</v>
      </c>
      <c r="B9" s="37">
        <f t="shared" si="0"/>
        <v>15553.254138</v>
      </c>
      <c r="C9" s="33"/>
      <c r="D9" s="37">
        <f>IF( ISERROR(IND_andere_gas_kWh/1000),0,IND_andere_gas_kWh/1000)*0.902</f>
        <v>8092.6093485380006</v>
      </c>
      <c r="E9" s="33">
        <f>C31*'E Balans VL '!I19/100/3.6*1000000</f>
        <v>40.892249006583583</v>
      </c>
      <c r="F9" s="33">
        <f>C31*'E Balans VL '!L19/100/3.6*1000000+C31*'E Balans VL '!N19/100/3.6*1000000</f>
        <v>10271.441656110032</v>
      </c>
      <c r="G9" s="34"/>
      <c r="H9" s="33"/>
      <c r="I9" s="33"/>
      <c r="J9" s="40">
        <f>C31*'E Balans VL '!D19/100/3.6*1000000+C31*'E Balans VL '!E19/100/3.6*1000000</f>
        <v>0</v>
      </c>
      <c r="K9" s="33"/>
      <c r="L9" s="33"/>
      <c r="M9" s="33"/>
      <c r="N9" s="33">
        <f>C31*'E Balans VL '!Y19/100/3.6*1000000</f>
        <v>830.36349077040381</v>
      </c>
      <c r="O9" s="33"/>
      <c r="P9" s="33"/>
      <c r="R9" s="32"/>
    </row>
    <row r="10" spans="1:18">
      <c r="A10" s="6" t="s">
        <v>40</v>
      </c>
      <c r="B10" s="37">
        <f t="shared" si="0"/>
        <v>40171.31525</v>
      </c>
      <c r="C10" s="33"/>
      <c r="D10" s="37">
        <f>IF( ISERROR(IND_voed_gas_kWh/1000),0,IND_voed_gas_kWh/1000)*0.902</f>
        <v>7537.5645640679995</v>
      </c>
      <c r="E10" s="33">
        <f>C32*'E Balans VL '!I20/100/3.6*1000000</f>
        <v>67.818363346402009</v>
      </c>
      <c r="F10" s="33">
        <f>C32*'E Balans VL '!L20/100/3.6*1000000+C32*'E Balans VL '!N20/100/3.6*1000000</f>
        <v>2357.8808825443643</v>
      </c>
      <c r="G10" s="34"/>
      <c r="H10" s="33"/>
      <c r="I10" s="33"/>
      <c r="J10" s="40">
        <f>C32*'E Balans VL '!D20/100/3.6*1000000+C32*'E Balans VL '!E20/100/3.6*1000000</f>
        <v>0</v>
      </c>
      <c r="K10" s="33"/>
      <c r="L10" s="33"/>
      <c r="M10" s="33"/>
      <c r="N10" s="33">
        <f>C32*'E Balans VL '!Y20/100/3.6*1000000</f>
        <v>2187.1270177277725</v>
      </c>
      <c r="O10" s="33"/>
      <c r="P10" s="33"/>
      <c r="R10" s="32"/>
    </row>
    <row r="11" spans="1:18">
      <c r="A11" s="6" t="s">
        <v>39</v>
      </c>
      <c r="B11" s="37">
        <f t="shared" si="0"/>
        <v>5849.1149999999998</v>
      </c>
      <c r="C11" s="33"/>
      <c r="D11" s="37">
        <f>IF( ISERROR(IND_textiel_gas_kWh/1000),0,IND_textiel_gas_kWh/1000)*0.902</f>
        <v>130.436825508</v>
      </c>
      <c r="E11" s="33">
        <f>C33*'E Balans VL '!I21/100/3.6*1000000</f>
        <v>20.373979738952421</v>
      </c>
      <c r="F11" s="33">
        <f>C33*'E Balans VL '!L21/100/3.6*1000000+C33*'E Balans VL '!N21/100/3.6*1000000</f>
        <v>155.43516426747897</v>
      </c>
      <c r="G11" s="34"/>
      <c r="H11" s="33"/>
      <c r="I11" s="33"/>
      <c r="J11" s="40">
        <f>C33*'E Balans VL '!D21/100/3.6*1000000+C33*'E Balans VL '!E21/100/3.6*1000000</f>
        <v>0</v>
      </c>
      <c r="K11" s="33"/>
      <c r="L11" s="33"/>
      <c r="M11" s="33"/>
      <c r="N11" s="33">
        <f>C33*'E Balans VL '!Y21/100/3.6*1000000</f>
        <v>0.72306617364256154</v>
      </c>
      <c r="O11" s="33"/>
      <c r="P11" s="33"/>
      <c r="R11" s="32"/>
    </row>
    <row r="12" spans="1:18">
      <c r="A12" s="6" t="s">
        <v>36</v>
      </c>
      <c r="B12" s="37">
        <f t="shared" si="0"/>
        <v>196.27333300000001</v>
      </c>
      <c r="C12" s="33"/>
      <c r="D12" s="37">
        <f>IF( ISERROR(IND_min_gas_kWh/1000),0,IND_min_gas_kWh/1000)*0.902</f>
        <v>0</v>
      </c>
      <c r="E12" s="33">
        <f>C34*'E Balans VL '!I22/100/3.6*1000000</f>
        <v>2.8256249877746775</v>
      </c>
      <c r="F12" s="33">
        <f>C34*'E Balans VL '!L22/100/3.6*1000000+C34*'E Balans VL '!N22/100/3.6*1000000</f>
        <v>23.597658630402783</v>
      </c>
      <c r="G12" s="34"/>
      <c r="H12" s="33"/>
      <c r="I12" s="33"/>
      <c r="J12" s="40">
        <f>C34*'E Balans VL '!D22/100/3.6*1000000+C34*'E Balans VL '!E22/100/3.6*1000000</f>
        <v>0.14330418455070415</v>
      </c>
      <c r="K12" s="33"/>
      <c r="L12" s="33"/>
      <c r="M12" s="33"/>
      <c r="N12" s="33">
        <f>C34*'E Balans VL '!Y22/100/3.6*1000000</f>
        <v>116.74889205861442</v>
      </c>
      <c r="O12" s="33"/>
      <c r="P12" s="33"/>
      <c r="R12" s="32"/>
    </row>
    <row r="13" spans="1:18">
      <c r="A13" s="6" t="s">
        <v>38</v>
      </c>
      <c r="B13" s="37">
        <f t="shared" si="0"/>
        <v>101.14400000000001</v>
      </c>
      <c r="C13" s="33"/>
      <c r="D13" s="37">
        <f>IF( ISERROR(IND_papier_gas_kWh/1000),0,IND_papier_gas_kWh/1000)*0.902</f>
        <v>225.87597705200002</v>
      </c>
      <c r="E13" s="33">
        <f>C35*'E Balans VL '!I23/100/3.6*1000000</f>
        <v>0.35784845084488492</v>
      </c>
      <c r="F13" s="33">
        <f>C35*'E Balans VL '!L23/100/3.6*1000000+C35*'E Balans VL '!N23/100/3.6*1000000</f>
        <v>0.93768270975176826</v>
      </c>
      <c r="G13" s="34"/>
      <c r="H13" s="33"/>
      <c r="I13" s="33"/>
      <c r="J13" s="40">
        <f>C35*'E Balans VL '!D23/100/3.6*1000000+C35*'E Balans VL '!E23/100/3.6*1000000</f>
        <v>0</v>
      </c>
      <c r="K13" s="33"/>
      <c r="L13" s="33"/>
      <c r="M13" s="33"/>
      <c r="N13" s="33">
        <f>C35*'E Balans VL '!Y23/100/3.6*1000000</f>
        <v>-2.2032928407876273</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14.571</v>
      </c>
      <c r="C15" s="33"/>
      <c r="D15" s="37">
        <f>IF( ISERROR(IND_rest_gas_kWh/1000),0,IND_rest_gas_kWh/1000)*0.902</f>
        <v>28885.12386584</v>
      </c>
      <c r="E15" s="33">
        <f>C37*'E Balans VL '!I15/100/3.6*1000000</f>
        <v>0.69510098905826345</v>
      </c>
      <c r="F15" s="33">
        <f>C37*'E Balans VL '!L15/100/3.6*1000000+C37*'E Balans VL '!N15/100/3.6*1000000</f>
        <v>2.3038347219909334</v>
      </c>
      <c r="G15" s="34"/>
      <c r="H15" s="33"/>
      <c r="I15" s="33"/>
      <c r="J15" s="40">
        <f>C37*'E Balans VL '!D15/100/3.6*1000000+C37*'E Balans VL '!E15/100/3.6*1000000</f>
        <v>5.600049471230694E-2</v>
      </c>
      <c r="K15" s="33"/>
      <c r="L15" s="33"/>
      <c r="M15" s="33"/>
      <c r="N15" s="33">
        <f>C37*'E Balans VL '!Y15/100/3.6*1000000</f>
        <v>0.53085242392261867</v>
      </c>
      <c r="O15" s="33"/>
      <c r="P15" s="33"/>
      <c r="R15" s="32"/>
    </row>
    <row r="16" spans="1:18">
      <c r="A16" s="16" t="s">
        <v>464</v>
      </c>
      <c r="B16" s="244">
        <f>'lokale energieproductie'!N37+'lokale energieproductie'!N30</f>
        <v>0</v>
      </c>
      <c r="C16" s="244">
        <f>'lokale energieproductie'!O37+'lokale energieproductie'!O30</f>
        <v>0</v>
      </c>
      <c r="D16" s="302">
        <f>('lokale energieproductie'!P30+'lokale energieproductie'!P37)*(-1)</f>
        <v>0</v>
      </c>
      <c r="E16" s="245"/>
      <c r="F16" s="302">
        <f>('lokale energieproductie'!S30+'lokale energieproductie'!S37)*(-1)</f>
        <v>0</v>
      </c>
      <c r="G16" s="246"/>
      <c r="H16" s="245"/>
      <c r="I16" s="245"/>
      <c r="J16" s="245"/>
      <c r="K16" s="245"/>
      <c r="L16" s="302">
        <f>('lokale energieproductie'!T30+'lokale energieproductie'!U30+'lokale energieproductie'!T37+'lokale energieproductie'!U37)*(-1)</f>
        <v>0</v>
      </c>
      <c r="M16" s="245"/>
      <c r="N16" s="302">
        <f>('lokale energieproductie'!Q30+'lokale energieproductie'!R30+'lokale energieproductie'!V30+'lokale energieproductie'!Q37+'lokale energieproductie'!R37+'lokale energieproductie'!V37)*(-1)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78510.614721000005</v>
      </c>
      <c r="C18" s="21">
        <f>C5+C16</f>
        <v>0</v>
      </c>
      <c r="D18" s="21">
        <f>MAX((D5+D16),0)</f>
        <v>45845.956354220005</v>
      </c>
      <c r="E18" s="21">
        <f>MAX((E5+E16),0)</f>
        <v>251.21831708595357</v>
      </c>
      <c r="F18" s="21">
        <f>MAX((F5+F16),0)</f>
        <v>13908.407952807722</v>
      </c>
      <c r="G18" s="21"/>
      <c r="H18" s="21"/>
      <c r="I18" s="21"/>
      <c r="J18" s="21">
        <f>MAX((J5+J16),0)</f>
        <v>16.085484803554071</v>
      </c>
      <c r="K18" s="21"/>
      <c r="L18" s="21">
        <f>MAX((L5+L16),0)</f>
        <v>0</v>
      </c>
      <c r="M18" s="21"/>
      <c r="N18" s="21">
        <f>MAX((N5+N16),0)</f>
        <v>3332.9740460498065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0.17892335923382688</v>
      </c>
      <c r="C20" s="25">
        <f ca="1">'EF ele_warmte'!B22</f>
        <v>0.23764705882352941</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14047.382921394061</v>
      </c>
      <c r="C22" s="23">
        <f ca="1">C18*C20</f>
        <v>0</v>
      </c>
      <c r="D22" s="23">
        <f>D18*D20</f>
        <v>9260.8831835524416</v>
      </c>
      <c r="E22" s="23">
        <f>E18*E20</f>
        <v>57.026557978511462</v>
      </c>
      <c r="F22" s="23">
        <f>F18*F20</f>
        <v>3713.5449233996619</v>
      </c>
      <c r="G22" s="23"/>
      <c r="H22" s="23"/>
      <c r="I22" s="23"/>
      <c r="J22" s="23">
        <f>J18*J20</f>
        <v>5.6942616204581409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16478.708999999999</v>
      </c>
      <c r="C30" s="39">
        <f>IF(ISERROR(B30*3.6/1000000/'E Balans VL '!Z18*100),0,B30*3.6/1000000/'E Balans VL '!Z18*100)</f>
        <v>0.91179070592044364</v>
      </c>
      <c r="D30" s="234" t="s">
        <v>667</v>
      </c>
    </row>
    <row r="31" spans="1:18">
      <c r="A31" s="6" t="s">
        <v>32</v>
      </c>
      <c r="B31" s="37">
        <f>IF( ISERROR(IND_ander_ele_kWh/1000),0,IND_ander_ele_kWh/1000)</f>
        <v>15553.254138</v>
      </c>
      <c r="C31" s="39">
        <f>IF(ISERROR(B31*3.6/1000000/'E Balans VL '!Z19*100),0,B31*3.6/1000000/'E Balans VL '!Z19*100)</f>
        <v>0.67848154281634743</v>
      </c>
      <c r="D31" s="234" t="s">
        <v>667</v>
      </c>
    </row>
    <row r="32" spans="1:18">
      <c r="A32" s="168" t="s">
        <v>40</v>
      </c>
      <c r="B32" s="37">
        <f>IF( ISERROR(IND_voed_ele_kWh/1000),0,IND_voed_ele_kWh/1000)</f>
        <v>40171.31525</v>
      </c>
      <c r="C32" s="39">
        <f>IF(ISERROR(B32*3.6/1000000/'E Balans VL '!Z20*100),0,B32*3.6/1000000/'E Balans VL '!Z20*100)</f>
        <v>1.260949087268245</v>
      </c>
      <c r="D32" s="234" t="s">
        <v>667</v>
      </c>
    </row>
    <row r="33" spans="1:5">
      <c r="A33" s="168" t="s">
        <v>39</v>
      </c>
      <c r="B33" s="37">
        <f>IF( ISERROR(IND_textiel_ele_kWh/1000),0,IND_textiel_ele_kWh/1000)</f>
        <v>5849.1149999999998</v>
      </c>
      <c r="C33" s="39">
        <f>IF(ISERROR(B33*3.6/1000000/'E Balans VL '!Z21*100),0,B33*3.6/1000000/'E Balans VL '!Z21*100)</f>
        <v>0.90839360996992613</v>
      </c>
      <c r="D33" s="234" t="s">
        <v>667</v>
      </c>
    </row>
    <row r="34" spans="1:5">
      <c r="A34" s="168" t="s">
        <v>36</v>
      </c>
      <c r="B34" s="37">
        <f>IF( ISERROR(IND_min_ele_kWh/1000),0,IND_min_ele_kWh/1000)</f>
        <v>196.27333300000001</v>
      </c>
      <c r="C34" s="39">
        <f>IF(ISERROR(B34*3.6/1000000/'E Balans VL '!Z22*100),0,B34*3.6/1000000/'E Balans VL '!Z22*100)</f>
        <v>8.8036700406571272E-2</v>
      </c>
      <c r="D34" s="234" t="s">
        <v>667</v>
      </c>
    </row>
    <row r="35" spans="1:5">
      <c r="A35" s="168" t="s">
        <v>38</v>
      </c>
      <c r="B35" s="37">
        <f>IF( ISERROR(IND_papier_ele_kWh/1000),0,IND_papier_ele_kWh/1000)</f>
        <v>101.14400000000001</v>
      </c>
      <c r="C35" s="39">
        <f>IF(ISERROR(B35*3.6/1000000/'E Balans VL '!Z22*100),0,B35*3.6/1000000/'E Balans VL '!Z22*100)</f>
        <v>4.5367263549359729E-2</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14.571</v>
      </c>
      <c r="C37" s="39">
        <f>IF(ISERROR(B37*3.6/1000000/'E Balans VL '!Z15*100),0,B37*3.6/1000000/'E Balans VL '!Z15*100)</f>
        <v>1.1858488830373043E-4</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2366.4428459999999</v>
      </c>
      <c r="C5" s="17">
        <f>'Eigen informatie GS &amp; warmtenet'!B62</f>
        <v>0</v>
      </c>
      <c r="D5" s="30">
        <f>IF(ISERROR(SUM(LB_lb_gas_kWh,LB_rest_gas_kWh)/1000),0,SUM(LB_lb_gas_kWh,LB_rest_gas_kWh)/1000)*0.902</f>
        <v>10618.214673946002</v>
      </c>
      <c r="E5" s="17">
        <f>B17*'E Balans VL '!I25/3.6*1000000/100</f>
        <v>96.140171741741995</v>
      </c>
      <c r="F5" s="17">
        <f>B17*('E Balans VL '!L25/3.6*1000000+'E Balans VL '!N25/3.6*1000000)/100</f>
        <v>8370.9363870566776</v>
      </c>
      <c r="G5" s="18"/>
      <c r="H5" s="17"/>
      <c r="I5" s="17"/>
      <c r="J5" s="17">
        <f>('E Balans VL '!D25+'E Balans VL '!E25)/3.6*1000000*landbouw!B17/100</f>
        <v>672.35546611143775</v>
      </c>
      <c r="K5" s="17"/>
      <c r="L5" s="17">
        <f>L6*(-1)</f>
        <v>0</v>
      </c>
      <c r="M5" s="17"/>
      <c r="N5" s="17">
        <f>N6*(-1)</f>
        <v>0</v>
      </c>
      <c r="O5" s="17"/>
      <c r="P5" s="17"/>
      <c r="R5" s="32"/>
    </row>
    <row r="6" spans="1:18">
      <c r="A6" s="16" t="s">
        <v>464</v>
      </c>
      <c r="B6" s="17" t="s">
        <v>204</v>
      </c>
      <c r="C6" s="17">
        <f>'lokale energieproductie'!O39+'lokale energieproductie'!O32</f>
        <v>5361.4285714285716</v>
      </c>
      <c r="D6" s="302">
        <f>('lokale energieproductie'!P32+'lokale energieproductie'!P39)*(-1)</f>
        <v>-10722.857142857143</v>
      </c>
      <c r="E6" s="245"/>
      <c r="F6" s="302">
        <f>('lokale energieproductie'!S32+'lokale energieproductie'!S39)*(-1)</f>
        <v>0</v>
      </c>
      <c r="G6" s="246"/>
      <c r="H6" s="245"/>
      <c r="I6" s="245"/>
      <c r="J6" s="245"/>
      <c r="K6" s="245"/>
      <c r="L6" s="302">
        <f>('lokale energieproductie'!T32+'lokale energieproductie'!U32+'lokale energieproductie'!T39+'lokale energieproductie'!U39)*(-1)</f>
        <v>0</v>
      </c>
      <c r="M6" s="245"/>
      <c r="N6" s="302">
        <f>('lokale energieproductie'!V32+'lokale energieproductie'!R32+'lokale energieproductie'!Q32+'lokale energieproductie'!Q39+'lokale energieproductie'!R39+'lokale energieproductie'!V39)*(-1)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2366.4428459999999</v>
      </c>
      <c r="C8" s="21">
        <f>C5+C6</f>
        <v>5361.4285714285716</v>
      </c>
      <c r="D8" s="21">
        <f>MAX((D5+D6),0)</f>
        <v>0</v>
      </c>
      <c r="E8" s="21">
        <f>MAX((E5+E6),0)</f>
        <v>96.140171741741995</v>
      </c>
      <c r="F8" s="21">
        <f>MAX((F5+F6),0)</f>
        <v>8370.9363870566776</v>
      </c>
      <c r="G8" s="21"/>
      <c r="H8" s="21"/>
      <c r="I8" s="21"/>
      <c r="J8" s="21">
        <f>MAX((J5+J6),0)</f>
        <v>672.35546611143775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0.17892335923382688</v>
      </c>
      <c r="C10" s="31">
        <f ca="1">'EF ele_warmte'!B22</f>
        <v>0.23764705882352941</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423.41190344117763</v>
      </c>
      <c r="C12" s="23">
        <f ca="1">C8*C10</f>
        <v>1274.127731092437</v>
      </c>
      <c r="D12" s="23">
        <f>D8*D10</f>
        <v>0</v>
      </c>
      <c r="E12" s="23">
        <f>E8*E10</f>
        <v>21.823818985375432</v>
      </c>
      <c r="F12" s="23">
        <f>F8*F10</f>
        <v>2235.0400153441333</v>
      </c>
      <c r="G12" s="23"/>
      <c r="H12" s="23"/>
      <c r="I12" s="23"/>
      <c r="J12" s="23">
        <f>J8*J10</f>
        <v>238.01383500344895</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0.3517886933271126</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65.27417486780665</v>
      </c>
      <c r="C26" s="244">
        <f>B26*'GWP N2O_CH4'!B5</f>
        <v>1370.7576722239396</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96.706904269991156</v>
      </c>
      <c r="C27" s="244">
        <f>B27*'GWP N2O_CH4'!B5</f>
        <v>2030.8449896698144</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1.2667459328862753</v>
      </c>
      <c r="C28" s="244">
        <f>B28*'GWP N2O_CH4'!B4</f>
        <v>392.69123919474538</v>
      </c>
      <c r="D28" s="50"/>
    </row>
    <row r="29" spans="1:4">
      <c r="A29" s="41" t="s">
        <v>265</v>
      </c>
      <c r="B29" s="244">
        <f>B34*'ha_N2O bodem landbouw'!B4</f>
        <v>5.9454166354742908</v>
      </c>
      <c r="C29" s="244">
        <f>B29*'GWP N2O_CH4'!B4</f>
        <v>1843.0791569970302</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1.3037228233398733E-3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7.7082084319856422E-4</v>
      </c>
      <c r="C5" s="429" t="s">
        <v>204</v>
      </c>
      <c r="D5" s="414">
        <f>SUM(D6:D11)</f>
        <v>1.3874864561338406E-3</v>
      </c>
      <c r="E5" s="414">
        <f>SUM(E6:E11)</f>
        <v>1.2245732745987047E-3</v>
      </c>
      <c r="F5" s="427" t="s">
        <v>204</v>
      </c>
      <c r="G5" s="414">
        <f>SUM(G6:G11)</f>
        <v>0.57282990017095303</v>
      </c>
      <c r="H5" s="414">
        <f>SUM(H6:H11)</f>
        <v>0.13355528640552106</v>
      </c>
      <c r="I5" s="429" t="s">
        <v>204</v>
      </c>
      <c r="J5" s="429" t="s">
        <v>204</v>
      </c>
      <c r="K5" s="429" t="s">
        <v>204</v>
      </c>
      <c r="L5" s="429" t="s">
        <v>204</v>
      </c>
      <c r="M5" s="414">
        <f>SUM(M6:M11)</f>
        <v>4.1861680705374403E-2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2.6925831588458404E-4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4.5681097032432532E-4</v>
      </c>
      <c r="E6" s="843">
        <f>vkm_GW_PW*SUMIFS(TableVerdeelsleutelVkm[LPG],TableVerdeelsleutelVkm[Voertuigtype],"Lichte voertuigen")*SUMIFS(TableECFTransport[EnergieConsumptieFactor (PJ per km)],TableECFTransport[Index],CONCATENATE($A6,"_LPG_LPG"))</f>
        <v>3.9551122284164447E-4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0.12634286774716269</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4.3953103546040401E-2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1.0192799188558385E-2</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2.0492471247661447E-6</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7.8213778318818289E-2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1.2465307324338705E-6</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4.5084388738233054E-3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3.1526629659168857E-4</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6.8190296744077155E-4</v>
      </c>
      <c r="E8" s="417">
        <f>vkm_NGW_PW*SUMIFS(TableVerdeelsleutelVkm[LPG],TableVerdeelsleutelVkm[Voertuigtype],"Lichte voertuigen")*SUMIFS(TableECFTransport[EnergieConsumptieFactor (PJ per km)],TableECFTransport[Index],CONCATENATE($A8,"_LPG_LPG"))</f>
        <v>5.638913746624886E-4</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0.16713313867430662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6.4469379656541176E-2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1.3902428477693853E-2</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1.1680692438650822E-6</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5.7313339579712012E-2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8.5761761148955359E-7</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3.3036813291476828E-3</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1.8121264700537943E-4</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2.4877251836874384E-4</v>
      </c>
      <c r="E10" s="417">
        <f>vkm_SW_PW*SUMIFS(TableVerdeelsleutelVkm[LPG],TableVerdeelsleutelVkm[Voertuigtype],"Lichte voertuigen")*SUMIFS(TableECFTransport[EnergieConsumptieFactor (PJ per km)],TableECFTransport[Index],CONCATENATE($A10,"_LPG_LPG"))</f>
        <v>2.6517067709457177E-4</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7.6268494238891996E-2</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2.5129530597008211E-2</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6.0600975140440968E-3</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1.8662673482809896E-6</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6.7558281612061497E-2</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1.1684575873410082E-6</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3.894235322107083E-3</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214.11690088849008</v>
      </c>
      <c r="C14" s="21"/>
      <c r="D14" s="21">
        <f t="shared" ref="D14:M14" si="0">((D5)*10^9/3600)+D12</f>
        <v>385.41290448162238</v>
      </c>
      <c r="E14" s="21">
        <f t="shared" si="0"/>
        <v>340.15924294408461</v>
      </c>
      <c r="F14" s="21"/>
      <c r="G14" s="21">
        <f t="shared" si="0"/>
        <v>159119.41671415363</v>
      </c>
      <c r="H14" s="21">
        <f t="shared" si="0"/>
        <v>37098.690668200288</v>
      </c>
      <c r="I14" s="21"/>
      <c r="J14" s="21"/>
      <c r="K14" s="21"/>
      <c r="L14" s="21"/>
      <c r="M14" s="21">
        <f t="shared" si="0"/>
        <v>11628.244640381779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0.17892335923382688</v>
      </c>
      <c r="C16" s="56">
        <f ca="1">'EF ele_warmte'!B22</f>
        <v>0.23764705882352941</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38.310515175705014</v>
      </c>
      <c r="C18" s="23"/>
      <c r="D18" s="23">
        <f t="shared" ref="D18:M18" si="1">D14*D16</f>
        <v>77.853406705287725</v>
      </c>
      <c r="E18" s="23">
        <f t="shared" si="1"/>
        <v>77.216148148307212</v>
      </c>
      <c r="F18" s="23"/>
      <c r="G18" s="23">
        <f t="shared" si="1"/>
        <v>42484.884262679021</v>
      </c>
      <c r="H18" s="23">
        <f t="shared" si="1"/>
        <v>9237.573976381871</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3.0332439825773465E-5</v>
      </c>
      <c r="C50" s="313">
        <f t="shared" ref="C50:P50" si="2">SUM(C51:C52)</f>
        <v>0</v>
      </c>
      <c r="D50" s="313">
        <f t="shared" si="2"/>
        <v>0</v>
      </c>
      <c r="E50" s="313">
        <f t="shared" si="2"/>
        <v>0</v>
      </c>
      <c r="F50" s="313">
        <f t="shared" si="2"/>
        <v>0</v>
      </c>
      <c r="G50" s="313">
        <f t="shared" si="2"/>
        <v>2.1976309822381705E-3</v>
      </c>
      <c r="H50" s="313">
        <f t="shared" si="2"/>
        <v>0</v>
      </c>
      <c r="I50" s="313">
        <f t="shared" si="2"/>
        <v>0</v>
      </c>
      <c r="J50" s="313">
        <f t="shared" si="2"/>
        <v>0</v>
      </c>
      <c r="K50" s="313">
        <f t="shared" si="2"/>
        <v>0</v>
      </c>
      <c r="L50" s="313">
        <f t="shared" si="2"/>
        <v>0</v>
      </c>
      <c r="M50" s="313">
        <f t="shared" si="2"/>
        <v>1.2430455297378015E-4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3.0332439825773465E-5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2.1976309822381705E-3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1.2430455297378015E-4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8.4256777293815173</v>
      </c>
      <c r="C54" s="21">
        <f t="shared" ref="C54:P54" si="3">(C50)*10^9/3600</f>
        <v>0</v>
      </c>
      <c r="D54" s="21">
        <f t="shared" si="3"/>
        <v>0</v>
      </c>
      <c r="E54" s="21">
        <f t="shared" si="3"/>
        <v>0</v>
      </c>
      <c r="F54" s="21">
        <f t="shared" si="3"/>
        <v>0</v>
      </c>
      <c r="G54" s="21">
        <f t="shared" si="3"/>
        <v>610.45305062171406</v>
      </c>
      <c r="H54" s="21">
        <f t="shared" si="3"/>
        <v>0</v>
      </c>
      <c r="I54" s="21">
        <f t="shared" si="3"/>
        <v>0</v>
      </c>
      <c r="J54" s="21">
        <f t="shared" si="3"/>
        <v>0</v>
      </c>
      <c r="K54" s="21">
        <f t="shared" si="3"/>
        <v>0</v>
      </c>
      <c r="L54" s="21">
        <f t="shared" si="3"/>
        <v>0</v>
      </c>
      <c r="M54" s="21">
        <f t="shared" si="3"/>
        <v>34.529042492716712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0.17892335923382688</v>
      </c>
      <c r="C56" s="56">
        <f ca="1">'EF ele_warmte'!B22</f>
        <v>0.23764705882352941</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1.5075505631625841</v>
      </c>
      <c r="C58" s="23">
        <f t="shared" ref="C58:P58" ca="1" si="4">C54*C56</f>
        <v>0</v>
      </c>
      <c r="D58" s="23">
        <f t="shared" si="4"/>
        <v>0</v>
      </c>
      <c r="E58" s="23">
        <f t="shared" si="4"/>
        <v>0</v>
      </c>
      <c r="F58" s="23">
        <f t="shared" si="4"/>
        <v>0</v>
      </c>
      <c r="G58" s="23">
        <f t="shared" si="4"/>
        <v>162.99096451599766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22287.904640975485</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8466.3879111489186</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N29</f>
        <v>3753</v>
      </c>
      <c r="C8" s="539">
        <f>B48</f>
        <v>4415.2941176470586</v>
      </c>
      <c r="D8" s="540"/>
      <c r="E8" s="540">
        <f>E48</f>
        <v>0</v>
      </c>
      <c r="F8" s="541"/>
      <c r="G8" s="542"/>
      <c r="H8" s="540">
        <f>I48</f>
        <v>0</v>
      </c>
      <c r="I8" s="540">
        <f>G48+F48</f>
        <v>0</v>
      </c>
      <c r="J8" s="540">
        <f>H48+D48+C48</f>
        <v>0</v>
      </c>
      <c r="K8" s="540"/>
      <c r="L8" s="540"/>
      <c r="M8" s="540"/>
      <c r="N8" s="543"/>
      <c r="O8" s="544">
        <f>C8*$C$12+D8*$D$12+E8*$E$12+F8*$F$12+G8*$G$12+H8*$H$12+I8*$I$12+J8*$J$12</f>
        <v>891.88941176470587</v>
      </c>
      <c r="P8" s="1230"/>
      <c r="Q8" s="1231"/>
      <c r="S8" s="534"/>
      <c r="T8" s="1227"/>
      <c r="U8" s="1227"/>
    </row>
    <row r="9" spans="1:21" s="525" customFormat="1" ht="17.45" customHeight="1" thickBot="1">
      <c r="A9" s="545" t="s">
        <v>236</v>
      </c>
      <c r="B9" s="546">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34507.292552124403</v>
      </c>
      <c r="C10" s="554">
        <f t="shared" ref="C10:L10" si="0">SUM(C8:C9)</f>
        <v>4415.2941176470586</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23"/>
      <c r="N10" s="923"/>
      <c r="O10" s="555">
        <f>SUM(O4:O9)</f>
        <v>891.88941176470587</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O29</f>
        <v>5361.4285714285716</v>
      </c>
      <c r="C17" s="570">
        <f>B49</f>
        <v>6307.5630252100837</v>
      </c>
      <c r="D17" s="571"/>
      <c r="E17" s="571">
        <f>E49</f>
        <v>0</v>
      </c>
      <c r="F17" s="572"/>
      <c r="G17" s="573"/>
      <c r="H17" s="570">
        <f>I49</f>
        <v>0</v>
      </c>
      <c r="I17" s="571">
        <f>G49+F49</f>
        <v>0</v>
      </c>
      <c r="J17" s="571">
        <f>H49+D49+C49</f>
        <v>0</v>
      </c>
      <c r="K17" s="571"/>
      <c r="L17" s="571"/>
      <c r="M17" s="571"/>
      <c r="N17" s="924"/>
      <c r="O17" s="574">
        <f>C17*$C$22+E17*$E$22+H17*$H$22+I17*$I$22+J17*$J$22+D17*$D$22+F17*$F$22+G17*$G$22+K17*$K$22+L17*$L$22</f>
        <v>1274.127731092437</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5361.4285714285716</v>
      </c>
      <c r="C20" s="553">
        <f>SUM(C17:C19)</f>
        <v>6307.5630252100837</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1274.127731092437</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25.5" hidden="1">
      <c r="A28" s="583"/>
      <c r="B28" s="745">
        <v>36008</v>
      </c>
      <c r="C28" s="745">
        <v>8870</v>
      </c>
      <c r="D28" s="631"/>
      <c r="E28" s="630"/>
      <c r="F28" s="630"/>
      <c r="G28" s="630" t="s">
        <v>883</v>
      </c>
      <c r="H28" s="630" t="s">
        <v>884</v>
      </c>
      <c r="I28" s="630"/>
      <c r="J28" s="744"/>
      <c r="K28" s="744"/>
      <c r="L28" s="630" t="s">
        <v>885</v>
      </c>
      <c r="M28" s="630">
        <v>834</v>
      </c>
      <c r="N28" s="630">
        <v>3753</v>
      </c>
      <c r="O28" s="630">
        <v>5361.4285714285716</v>
      </c>
      <c r="P28" s="630">
        <v>10722.857142857143</v>
      </c>
      <c r="Q28" s="630">
        <v>0</v>
      </c>
      <c r="R28" s="630">
        <v>0</v>
      </c>
      <c r="S28" s="630">
        <v>0</v>
      </c>
      <c r="T28" s="630">
        <v>0</v>
      </c>
      <c r="U28" s="630">
        <v>0</v>
      </c>
      <c r="V28" s="630">
        <v>0</v>
      </c>
      <c r="W28" s="630">
        <v>0</v>
      </c>
      <c r="X28" s="630"/>
      <c r="Y28" s="630">
        <v>10</v>
      </c>
      <c r="Z28" s="630" t="s">
        <v>105</v>
      </c>
      <c r="AA28" s="632" t="s">
        <v>105</v>
      </c>
    </row>
    <row r="29" spans="1:27" s="564" customFormat="1" hidden="1">
      <c r="A29" s="586" t="s">
        <v>268</v>
      </c>
      <c r="B29" s="587"/>
      <c r="C29" s="587"/>
      <c r="D29" s="587"/>
      <c r="E29" s="587"/>
      <c r="F29" s="587"/>
      <c r="G29" s="587"/>
      <c r="H29" s="587"/>
      <c r="I29" s="587"/>
      <c r="J29" s="587"/>
      <c r="K29" s="587"/>
      <c r="L29" s="588"/>
      <c r="M29" s="588">
        <f>SUM(M28:M28)</f>
        <v>834</v>
      </c>
      <c r="N29" s="588">
        <f>SUM(N28:N28)</f>
        <v>3753</v>
      </c>
      <c r="O29" s="588">
        <f>SUM(O28:O28)</f>
        <v>5361.4285714285716</v>
      </c>
      <c r="P29" s="588">
        <f>SUM(P28:P28)</f>
        <v>10722.857142857143</v>
      </c>
      <c r="Q29" s="588">
        <f>SUM(Q28:Q28)</f>
        <v>0</v>
      </c>
      <c r="R29" s="588">
        <f>SUM(R28:R28)</f>
        <v>0</v>
      </c>
      <c r="S29" s="588">
        <f>SUM(S28:S28)</f>
        <v>0</v>
      </c>
      <c r="T29" s="588">
        <f>SUM(T28:T28)</f>
        <v>0</v>
      </c>
      <c r="U29" s="588">
        <f>SUM(U28:U28)</f>
        <v>0</v>
      </c>
      <c r="V29" s="588">
        <f>SUM(V28:V28)</f>
        <v>0</v>
      </c>
      <c r="W29" s="588">
        <f>SUM(W28:W28)</f>
        <v>0</v>
      </c>
      <c r="X29" s="588"/>
      <c r="Y29" s="589"/>
      <c r="Z29" s="589"/>
      <c r="AA29" s="590"/>
    </row>
    <row r="30" spans="1:27" s="564" customFormat="1">
      <c r="A30" s="586" t="s">
        <v>275</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c r="Y30" s="589"/>
      <c r="Z30" s="589"/>
      <c r="AA30" s="590"/>
    </row>
    <row r="31" spans="1:27" s="564" customFormat="1">
      <c r="A31" s="586" t="s">
        <v>276</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c r="Y31" s="589"/>
      <c r="Z31" s="589"/>
      <c r="AA31" s="590"/>
    </row>
    <row r="32" spans="1:27" s="564" customFormat="1" ht="15.75" thickBot="1">
      <c r="A32" s="591" t="s">
        <v>277</v>
      </c>
      <c r="B32" s="592"/>
      <c r="C32" s="592"/>
      <c r="D32" s="592"/>
      <c r="E32" s="592"/>
      <c r="F32" s="592"/>
      <c r="G32" s="592"/>
      <c r="H32" s="592"/>
      <c r="I32" s="592"/>
      <c r="J32" s="592"/>
      <c r="K32" s="592"/>
      <c r="L32" s="593"/>
      <c r="M32" s="593">
        <f>SUMIF($AA$28:$AA$28,"landbouw",M28:M28)</f>
        <v>834</v>
      </c>
      <c r="N32" s="593">
        <f>SUMIF($AA$28:$AA$28,"landbouw",N28:N28)</f>
        <v>3753</v>
      </c>
      <c r="O32" s="593">
        <f>SUMIF($AA$28:$AA$28,"landbouw",O28:O28)</f>
        <v>5361.4285714285716</v>
      </c>
      <c r="P32" s="593">
        <f>SUMIF($AA$28:$AA$28,"landbouw",P28:P28)</f>
        <v>10722.857142857143</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98" t="s">
        <v>269</v>
      </c>
      <c r="B34" s="627" t="s">
        <v>89</v>
      </c>
      <c r="C34" s="627" t="s">
        <v>90</v>
      </c>
      <c r="D34" s="627"/>
      <c r="E34" s="627"/>
      <c r="F34" s="627"/>
      <c r="G34" s="627" t="s">
        <v>91</v>
      </c>
      <c r="H34" s="627" t="s">
        <v>92</v>
      </c>
      <c r="I34" s="627"/>
      <c r="J34" s="627"/>
      <c r="K34" s="627"/>
      <c r="L34" s="627" t="s">
        <v>93</v>
      </c>
      <c r="M34" s="628" t="s">
        <v>286</v>
      </c>
      <c r="N34" s="628" t="s">
        <v>94</v>
      </c>
      <c r="O34" s="628" t="s">
        <v>95</v>
      </c>
      <c r="P34" s="628" t="s">
        <v>509</v>
      </c>
      <c r="Q34" s="628" t="s">
        <v>96</v>
      </c>
      <c r="R34" s="628" t="s">
        <v>97</v>
      </c>
      <c r="S34" s="628" t="s">
        <v>98</v>
      </c>
      <c r="T34" s="628" t="s">
        <v>99</v>
      </c>
      <c r="U34" s="628" t="s">
        <v>100</v>
      </c>
      <c r="V34" s="628" t="s">
        <v>101</v>
      </c>
      <c r="W34" s="627" t="s">
        <v>102</v>
      </c>
      <c r="X34" s="627" t="s">
        <v>882</v>
      </c>
      <c r="Y34" s="627" t="s">
        <v>287</v>
      </c>
      <c r="Z34" s="627" t="s">
        <v>103</v>
      </c>
      <c r="AA34" s="629" t="s">
        <v>288</v>
      </c>
    </row>
    <row r="35" spans="1:28" s="599" customFormat="1" ht="12.75" hidden="1">
      <c r="A35" s="585"/>
      <c r="B35" s="745"/>
      <c r="C35" s="745"/>
      <c r="D35" s="633"/>
      <c r="E35" s="633"/>
      <c r="F35" s="633"/>
      <c r="G35" s="633"/>
      <c r="H35" s="633"/>
      <c r="I35" s="633"/>
      <c r="J35" s="744"/>
      <c r="K35" s="744"/>
      <c r="L35" s="633"/>
      <c r="M35" s="633"/>
      <c r="N35" s="633"/>
      <c r="O35" s="633"/>
      <c r="P35" s="633"/>
      <c r="Q35" s="633"/>
      <c r="R35" s="633"/>
      <c r="S35" s="633"/>
      <c r="T35" s="633"/>
      <c r="U35" s="633"/>
      <c r="V35" s="633"/>
      <c r="W35" s="633"/>
      <c r="X35" s="633"/>
      <c r="Y35" s="633"/>
      <c r="Z35" s="633"/>
      <c r="AA35" s="634"/>
    </row>
    <row r="36" spans="1:28" s="564" customFormat="1" hidden="1">
      <c r="A36" s="586" t="s">
        <v>268</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c r="Y36" s="589"/>
      <c r="Z36" s="589"/>
      <c r="AA36" s="590"/>
    </row>
    <row r="37" spans="1:28" s="564" customFormat="1">
      <c r="A37" s="586" t="s">
        <v>275</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c r="Y37" s="589"/>
      <c r="Z37" s="589"/>
      <c r="AA37" s="590"/>
    </row>
    <row r="38" spans="1:28" s="564" customFormat="1">
      <c r="A38" s="586" t="s">
        <v>276</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c r="Y38" s="589"/>
      <c r="Z38" s="589"/>
      <c r="AA38" s="590"/>
    </row>
    <row r="39" spans="1:28" s="564" customFormat="1" ht="15.75" thickBot="1">
      <c r="A39" s="591" t="s">
        <v>277</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c r="Y39" s="594"/>
      <c r="Z39" s="594"/>
      <c r="AA39" s="595"/>
    </row>
    <row r="40" spans="1:28" s="600"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600"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1" t="s">
        <v>270</v>
      </c>
      <c r="B42" s="602"/>
      <c r="C42" s="602"/>
      <c r="D42" s="602"/>
      <c r="E42" s="602"/>
      <c r="F42" s="602"/>
      <c r="G42" s="602"/>
      <c r="H42" s="602"/>
      <c r="I42" s="603"/>
      <c r="J42" s="604"/>
      <c r="K42" s="604"/>
      <c r="L42" s="605"/>
      <c r="M42" s="605"/>
      <c r="N42" s="605"/>
      <c r="O42" s="605"/>
      <c r="P42" s="605"/>
    </row>
    <row r="43" spans="1:28">
      <c r="A43" s="607"/>
      <c r="B43" s="597"/>
      <c r="C43" s="597"/>
      <c r="D43" s="597"/>
      <c r="E43" s="597"/>
      <c r="F43" s="597"/>
      <c r="G43" s="597"/>
      <c r="H43" s="597"/>
      <c r="I43" s="608"/>
      <c r="J43" s="597"/>
      <c r="K43" s="597"/>
      <c r="L43" s="605"/>
      <c r="M43" s="605"/>
      <c r="N43" s="605"/>
      <c r="O43" s="605"/>
      <c r="P43" s="605"/>
    </row>
    <row r="44" spans="1:28">
      <c r="A44" s="609"/>
      <c r="B44" s="610" t="s">
        <v>271</v>
      </c>
      <c r="C44" s="610" t="s">
        <v>272</v>
      </c>
      <c r="D44" s="610"/>
      <c r="E44" s="610"/>
      <c r="F44" s="610"/>
      <c r="G44" s="610"/>
      <c r="H44" s="610"/>
      <c r="I44" s="611"/>
      <c r="J44" s="610"/>
      <c r="K44" s="610"/>
      <c r="L44" s="610"/>
      <c r="M44" s="610"/>
      <c r="N44" s="610"/>
      <c r="O44" s="610"/>
      <c r="P44" s="605"/>
    </row>
    <row r="45" spans="1:28">
      <c r="A45" s="607" t="s">
        <v>268</v>
      </c>
      <c r="B45" s="612">
        <f>IF(ISERROR(O29/(O29+N29)),0,O29/(O29+N29))</f>
        <v>0.58823529411764697</v>
      </c>
      <c r="C45" s="613">
        <f>IF(ISERROR(N29/(O29+N29)),0,N29/(N29+O29))</f>
        <v>0.41176470588235292</v>
      </c>
      <c r="D45" s="580"/>
      <c r="E45" s="580"/>
      <c r="F45" s="580"/>
      <c r="G45" s="580"/>
      <c r="H45" s="580"/>
      <c r="I45" s="614"/>
      <c r="J45" s="580"/>
      <c r="K45" s="580"/>
      <c r="L45" s="615"/>
      <c r="M45" s="615"/>
      <c r="N45" s="615"/>
      <c r="O45" s="615"/>
      <c r="P45" s="605"/>
    </row>
    <row r="46" spans="1:28">
      <c r="A46" s="607"/>
      <c r="B46" s="616"/>
      <c r="C46" s="616"/>
      <c r="D46" s="616"/>
      <c r="E46" s="616"/>
      <c r="F46" s="616"/>
      <c r="G46" s="616"/>
      <c r="H46" s="616"/>
      <c r="I46" s="617"/>
      <c r="J46" s="616"/>
      <c r="K46" s="616"/>
      <c r="L46" s="618"/>
      <c r="M46" s="618"/>
      <c r="N46" s="618"/>
      <c r="O46" s="618"/>
      <c r="P46" s="605"/>
    </row>
    <row r="47" spans="1:28" ht="30">
      <c r="A47" s="619"/>
      <c r="B47" s="620" t="s">
        <v>509</v>
      </c>
      <c r="C47" s="620" t="s">
        <v>96</v>
      </c>
      <c r="D47" s="620" t="s">
        <v>97</v>
      </c>
      <c r="E47" s="620" t="s">
        <v>98</v>
      </c>
      <c r="F47" s="620" t="s">
        <v>99</v>
      </c>
      <c r="G47" s="620" t="s">
        <v>100</v>
      </c>
      <c r="H47" s="620" t="s">
        <v>101</v>
      </c>
      <c r="I47" s="621" t="s">
        <v>102</v>
      </c>
      <c r="J47" s="610"/>
      <c r="K47" s="610"/>
      <c r="L47" s="618"/>
      <c r="M47" s="618"/>
      <c r="N47" s="618"/>
      <c r="O47" s="605"/>
      <c r="P47" s="605"/>
    </row>
    <row r="48" spans="1:28">
      <c r="A48" s="609" t="s">
        <v>273</v>
      </c>
      <c r="B48" s="622">
        <f t="shared" ref="B48:I48" si="2">$C$45*P29</f>
        <v>4415.2941176470586</v>
      </c>
      <c r="C48" s="622">
        <f t="shared" si="2"/>
        <v>0</v>
      </c>
      <c r="D48" s="622">
        <f t="shared" si="2"/>
        <v>0</v>
      </c>
      <c r="E48" s="622">
        <f t="shared" si="2"/>
        <v>0</v>
      </c>
      <c r="F48" s="622">
        <f t="shared" si="2"/>
        <v>0</v>
      </c>
      <c r="G48" s="622">
        <f t="shared" si="2"/>
        <v>0</v>
      </c>
      <c r="H48" s="622">
        <f t="shared" si="2"/>
        <v>0</v>
      </c>
      <c r="I48" s="623">
        <f t="shared" si="2"/>
        <v>0</v>
      </c>
      <c r="J48" s="580"/>
      <c r="K48" s="580"/>
      <c r="L48" s="618"/>
      <c r="M48" s="618"/>
      <c r="N48" s="618"/>
      <c r="O48" s="605"/>
      <c r="P48" s="605"/>
    </row>
    <row r="49" spans="1:16" ht="15.75" thickBot="1">
      <c r="A49" s="624" t="s">
        <v>274</v>
      </c>
      <c r="B49" s="625">
        <f t="shared" ref="B49:I49" si="3">$B$45*P29</f>
        <v>6307.5630252100837</v>
      </c>
      <c r="C49" s="625">
        <f t="shared" si="3"/>
        <v>0</v>
      </c>
      <c r="D49" s="625">
        <f t="shared" si="3"/>
        <v>0</v>
      </c>
      <c r="E49" s="625">
        <f t="shared" si="3"/>
        <v>0</v>
      </c>
      <c r="F49" s="625">
        <f t="shared" si="3"/>
        <v>0</v>
      </c>
      <c r="G49" s="625">
        <f t="shared" si="3"/>
        <v>0</v>
      </c>
      <c r="H49" s="625">
        <f t="shared" si="3"/>
        <v>0</v>
      </c>
      <c r="I49" s="626">
        <f t="shared" si="3"/>
        <v>0</v>
      </c>
      <c r="J49" s="580"/>
      <c r="K49" s="580"/>
      <c r="L49" s="618"/>
      <c r="M49" s="618"/>
      <c r="N49" s="618"/>
      <c r="O49" s="605"/>
      <c r="P49" s="605"/>
    </row>
    <row r="50" spans="1:16">
      <c r="J50" s="560"/>
      <c r="K50" s="560"/>
      <c r="L50" s="560"/>
      <c r="M50" s="560"/>
      <c r="N50" s="560"/>
    </row>
    <row r="51" spans="1:16">
      <c r="J51" s="560"/>
      <c r="K51" s="560"/>
      <c r="L51" s="560"/>
      <c r="M51" s="560"/>
      <c r="N51"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36007.069035</v>
      </c>
      <c r="D10" s="641">
        <f ca="1">tertiair!C16</f>
        <v>0</v>
      </c>
      <c r="E10" s="641">
        <f ca="1">tertiair!D16</f>
        <v>38472.913314990001</v>
      </c>
      <c r="F10" s="641">
        <f>tertiair!E16</f>
        <v>87.906276147082693</v>
      </c>
      <c r="G10" s="641">
        <f ca="1">tertiair!F16</f>
        <v>5031.0682181624352</v>
      </c>
      <c r="H10" s="641">
        <f>tertiair!G16</f>
        <v>0</v>
      </c>
      <c r="I10" s="641">
        <f>tertiair!H16</f>
        <v>0</v>
      </c>
      <c r="J10" s="641">
        <f>tertiair!I16</f>
        <v>0</v>
      </c>
      <c r="K10" s="641">
        <f>tertiair!J16</f>
        <v>2.8061804059782133E-2</v>
      </c>
      <c r="L10" s="641">
        <f>tertiair!K16</f>
        <v>0</v>
      </c>
      <c r="M10" s="641">
        <f ca="1">tertiair!L16</f>
        <v>0</v>
      </c>
      <c r="N10" s="641">
        <f>tertiair!M16</f>
        <v>0</v>
      </c>
      <c r="O10" s="641">
        <f ca="1">tertiair!N16</f>
        <v>1092.9454574378103</v>
      </c>
      <c r="P10" s="641">
        <f>tertiair!O16</f>
        <v>29.383564595046927</v>
      </c>
      <c r="Q10" s="642">
        <f>tertiair!P16</f>
        <v>315.23482983897009</v>
      </c>
      <c r="R10" s="644">
        <f ca="1">SUM(C10:Q10)</f>
        <v>81036.548757975383</v>
      </c>
      <c r="S10" s="67"/>
    </row>
    <row r="11" spans="1:19" s="440" customFormat="1">
      <c r="A11" s="761" t="s">
        <v>213</v>
      </c>
      <c r="B11" s="766"/>
      <c r="C11" s="641">
        <f>huishoudens!B8</f>
        <v>41880.359917314898</v>
      </c>
      <c r="D11" s="641">
        <f>huishoudens!C8</f>
        <v>0</v>
      </c>
      <c r="E11" s="641">
        <f>huishoudens!D8</f>
        <v>125014.89958881</v>
      </c>
      <c r="F11" s="641">
        <f>huishoudens!E8</f>
        <v>2061.3012847148075</v>
      </c>
      <c r="G11" s="641">
        <f>huishoudens!F8</f>
        <v>39668.296449789246</v>
      </c>
      <c r="H11" s="641">
        <f>huishoudens!G8</f>
        <v>0</v>
      </c>
      <c r="I11" s="641">
        <f>huishoudens!H8</f>
        <v>0</v>
      </c>
      <c r="J11" s="641">
        <f>huishoudens!I8</f>
        <v>0</v>
      </c>
      <c r="K11" s="641">
        <f>huishoudens!J8</f>
        <v>202.98689508740296</v>
      </c>
      <c r="L11" s="641">
        <f>huishoudens!K8</f>
        <v>0</v>
      </c>
      <c r="M11" s="641">
        <f>huishoudens!L8</f>
        <v>0</v>
      </c>
      <c r="N11" s="641">
        <f>huishoudens!M8</f>
        <v>0</v>
      </c>
      <c r="O11" s="641">
        <f>huishoudens!N8</f>
        <v>14565.662577732212</v>
      </c>
      <c r="P11" s="641">
        <f>huishoudens!O8</f>
        <v>789.6153713160387</v>
      </c>
      <c r="Q11" s="642">
        <f>huishoudens!P8</f>
        <v>410.82441299971589</v>
      </c>
      <c r="R11" s="644">
        <f>SUM(C11:Q11)</f>
        <v>224593.94649776429</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78510.614721000005</v>
      </c>
      <c r="D13" s="641">
        <f>industrie!C18</f>
        <v>0</v>
      </c>
      <c r="E13" s="641">
        <f>industrie!D18</f>
        <v>45845.956354220005</v>
      </c>
      <c r="F13" s="641">
        <f>industrie!E18</f>
        <v>251.21831708595357</v>
      </c>
      <c r="G13" s="641">
        <f>industrie!F18</f>
        <v>13908.407952807722</v>
      </c>
      <c r="H13" s="641">
        <f>industrie!G18</f>
        <v>0</v>
      </c>
      <c r="I13" s="641">
        <f>industrie!H18</f>
        <v>0</v>
      </c>
      <c r="J13" s="641">
        <f>industrie!I18</f>
        <v>0</v>
      </c>
      <c r="K13" s="641">
        <f>industrie!J18</f>
        <v>16.085484803554071</v>
      </c>
      <c r="L13" s="641">
        <f>industrie!K18</f>
        <v>0</v>
      </c>
      <c r="M13" s="641">
        <f>industrie!L18</f>
        <v>0</v>
      </c>
      <c r="N13" s="641">
        <f>industrie!M18</f>
        <v>0</v>
      </c>
      <c r="O13" s="641">
        <f>industrie!N18</f>
        <v>3332.9740460498065</v>
      </c>
      <c r="P13" s="641">
        <f>industrie!O18</f>
        <v>0</v>
      </c>
      <c r="Q13" s="642">
        <f>industrie!P18</f>
        <v>0</v>
      </c>
      <c r="R13" s="644">
        <f>SUM(C13:Q13)</f>
        <v>141865.25687596705</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156398.04367331491</v>
      </c>
      <c r="D16" s="677">
        <f t="shared" ref="D16:R16" ca="1" si="0">SUM(D9:D15)</f>
        <v>0</v>
      </c>
      <c r="E16" s="677">
        <f t="shared" ca="1" si="0"/>
        <v>209333.76925801998</v>
      </c>
      <c r="F16" s="677">
        <f t="shared" si="0"/>
        <v>2400.4258779478437</v>
      </c>
      <c r="G16" s="677">
        <f t="shared" ca="1" si="0"/>
        <v>58607.772620759402</v>
      </c>
      <c r="H16" s="677">
        <f t="shared" si="0"/>
        <v>0</v>
      </c>
      <c r="I16" s="677">
        <f t="shared" si="0"/>
        <v>0</v>
      </c>
      <c r="J16" s="677">
        <f t="shared" si="0"/>
        <v>0</v>
      </c>
      <c r="K16" s="677">
        <f t="shared" si="0"/>
        <v>219.1004416950168</v>
      </c>
      <c r="L16" s="677">
        <f t="shared" si="0"/>
        <v>0</v>
      </c>
      <c r="M16" s="677">
        <f t="shared" ca="1" si="0"/>
        <v>0</v>
      </c>
      <c r="N16" s="677">
        <f t="shared" si="0"/>
        <v>0</v>
      </c>
      <c r="O16" s="677">
        <f t="shared" ca="1" si="0"/>
        <v>18991.582081219829</v>
      </c>
      <c r="P16" s="677">
        <f t="shared" si="0"/>
        <v>818.9989359110856</v>
      </c>
      <c r="Q16" s="677">
        <f t="shared" si="0"/>
        <v>726.05924283868603</v>
      </c>
      <c r="R16" s="677">
        <f t="shared" ca="1" si="0"/>
        <v>447495.75213170669</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8.4256777293815173</v>
      </c>
      <c r="D19" s="641">
        <f>transport!C54</f>
        <v>0</v>
      </c>
      <c r="E19" s="641">
        <f>transport!D54</f>
        <v>0</v>
      </c>
      <c r="F19" s="641">
        <f>transport!E54</f>
        <v>0</v>
      </c>
      <c r="G19" s="641">
        <f>transport!F54</f>
        <v>0</v>
      </c>
      <c r="H19" s="641">
        <f>transport!G54</f>
        <v>610.45305062171406</v>
      </c>
      <c r="I19" s="641">
        <f>transport!H54</f>
        <v>0</v>
      </c>
      <c r="J19" s="641">
        <f>transport!I54</f>
        <v>0</v>
      </c>
      <c r="K19" s="641">
        <f>transport!J54</f>
        <v>0</v>
      </c>
      <c r="L19" s="641">
        <f>transport!K54</f>
        <v>0</v>
      </c>
      <c r="M19" s="641">
        <f>transport!L54</f>
        <v>0</v>
      </c>
      <c r="N19" s="641">
        <f>transport!M54</f>
        <v>34.529042492716712</v>
      </c>
      <c r="O19" s="641">
        <f>transport!N54</f>
        <v>0</v>
      </c>
      <c r="P19" s="641">
        <f>transport!O54</f>
        <v>0</v>
      </c>
      <c r="Q19" s="642">
        <f>transport!P54</f>
        <v>0</v>
      </c>
      <c r="R19" s="644">
        <f>SUM(C19:Q19)</f>
        <v>653.40777084381227</v>
      </c>
      <c r="S19" s="67"/>
    </row>
    <row r="20" spans="1:19" s="440" customFormat="1">
      <c r="A20" s="761" t="s">
        <v>295</v>
      </c>
      <c r="B20" s="766"/>
      <c r="C20" s="641">
        <f>transport!B14</f>
        <v>214.11690088849008</v>
      </c>
      <c r="D20" s="641">
        <f>transport!C14</f>
        <v>0</v>
      </c>
      <c r="E20" s="641">
        <f>transport!D14</f>
        <v>385.41290448162238</v>
      </c>
      <c r="F20" s="641">
        <f>transport!E14</f>
        <v>340.15924294408461</v>
      </c>
      <c r="G20" s="641">
        <f>transport!F14</f>
        <v>0</v>
      </c>
      <c r="H20" s="641">
        <f>transport!G14</f>
        <v>159119.41671415363</v>
      </c>
      <c r="I20" s="641">
        <f>transport!H14</f>
        <v>37098.690668200288</v>
      </c>
      <c r="J20" s="641">
        <f>transport!I14</f>
        <v>0</v>
      </c>
      <c r="K20" s="641">
        <f>transport!J14</f>
        <v>0</v>
      </c>
      <c r="L20" s="641">
        <f>transport!K14</f>
        <v>0</v>
      </c>
      <c r="M20" s="641">
        <f>transport!L14</f>
        <v>0</v>
      </c>
      <c r="N20" s="641">
        <f>transport!M14</f>
        <v>11628.244640381779</v>
      </c>
      <c r="O20" s="641">
        <f>transport!N14</f>
        <v>0</v>
      </c>
      <c r="P20" s="641">
        <f>transport!O14</f>
        <v>0</v>
      </c>
      <c r="Q20" s="642">
        <f>transport!P14</f>
        <v>0</v>
      </c>
      <c r="R20" s="644">
        <f>SUM(C20:Q20)</f>
        <v>208786.0410710499</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222.54257861787158</v>
      </c>
      <c r="D22" s="764">
        <f t="shared" ref="D22:R22" si="1">SUM(D18:D21)</f>
        <v>0</v>
      </c>
      <c r="E22" s="764">
        <f t="shared" si="1"/>
        <v>385.41290448162238</v>
      </c>
      <c r="F22" s="764">
        <f t="shared" si="1"/>
        <v>340.15924294408461</v>
      </c>
      <c r="G22" s="764">
        <f t="shared" si="1"/>
        <v>0</v>
      </c>
      <c r="H22" s="764">
        <f t="shared" si="1"/>
        <v>159729.86976477536</v>
      </c>
      <c r="I22" s="764">
        <f t="shared" si="1"/>
        <v>37098.690668200288</v>
      </c>
      <c r="J22" s="764">
        <f t="shared" si="1"/>
        <v>0</v>
      </c>
      <c r="K22" s="764">
        <f t="shared" si="1"/>
        <v>0</v>
      </c>
      <c r="L22" s="764">
        <f t="shared" si="1"/>
        <v>0</v>
      </c>
      <c r="M22" s="764">
        <f t="shared" si="1"/>
        <v>0</v>
      </c>
      <c r="N22" s="764">
        <f t="shared" si="1"/>
        <v>11662.773682874496</v>
      </c>
      <c r="O22" s="764">
        <f t="shared" si="1"/>
        <v>0</v>
      </c>
      <c r="P22" s="764">
        <f t="shared" si="1"/>
        <v>0</v>
      </c>
      <c r="Q22" s="764">
        <f t="shared" si="1"/>
        <v>0</v>
      </c>
      <c r="R22" s="764">
        <f t="shared" si="1"/>
        <v>209439.4488418937</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2366.4428459999999</v>
      </c>
      <c r="D24" s="641">
        <f>+landbouw!C8</f>
        <v>5361.4285714285716</v>
      </c>
      <c r="E24" s="641">
        <f>+landbouw!D8</f>
        <v>0</v>
      </c>
      <c r="F24" s="641">
        <f>+landbouw!E8</f>
        <v>96.140171741741995</v>
      </c>
      <c r="G24" s="641">
        <f>+landbouw!F8</f>
        <v>8370.9363870566776</v>
      </c>
      <c r="H24" s="641">
        <f>+landbouw!G8</f>
        <v>0</v>
      </c>
      <c r="I24" s="641">
        <f>+landbouw!H8</f>
        <v>0</v>
      </c>
      <c r="J24" s="641">
        <f>+landbouw!I8</f>
        <v>0</v>
      </c>
      <c r="K24" s="641">
        <f>+landbouw!J8</f>
        <v>672.35546611143775</v>
      </c>
      <c r="L24" s="641">
        <f>+landbouw!K8</f>
        <v>0</v>
      </c>
      <c r="M24" s="641">
        <f>+landbouw!L8</f>
        <v>0</v>
      </c>
      <c r="N24" s="641">
        <f>+landbouw!M8</f>
        <v>0</v>
      </c>
      <c r="O24" s="641">
        <f>+landbouw!N8</f>
        <v>0</v>
      </c>
      <c r="P24" s="641">
        <f>+landbouw!O8</f>
        <v>0</v>
      </c>
      <c r="Q24" s="642">
        <f>+landbouw!P8</f>
        <v>0</v>
      </c>
      <c r="R24" s="644">
        <f>SUM(C24:Q24)</f>
        <v>16867.303442338431</v>
      </c>
      <c r="S24" s="67"/>
    </row>
    <row r="25" spans="1:19" s="440" customFormat="1" ht="15" thickBot="1">
      <c r="A25" s="783" t="s">
        <v>683</v>
      </c>
      <c r="B25" s="901"/>
      <c r="C25" s="902">
        <f>IF(Onbekend_ele_kWh="---",0,Onbekend_ele_kWh)/1000+IF(REST_rest_ele_kWh="---",0,REST_rest_ele_kWh)/1000</f>
        <v>1059.5459049999999</v>
      </c>
      <c r="D25" s="902"/>
      <c r="E25" s="902">
        <f>IF(onbekend_gas_kWh="---",0,onbekend_gas_kWh)/1000+IF(REST_rest_gas_kWh="---",0,REST_rest_gas_kWh)/1000</f>
        <v>2949.4176600000001</v>
      </c>
      <c r="F25" s="902"/>
      <c r="G25" s="902"/>
      <c r="H25" s="902"/>
      <c r="I25" s="902"/>
      <c r="J25" s="902"/>
      <c r="K25" s="902"/>
      <c r="L25" s="902"/>
      <c r="M25" s="902"/>
      <c r="N25" s="902"/>
      <c r="O25" s="902"/>
      <c r="P25" s="902"/>
      <c r="Q25" s="903"/>
      <c r="R25" s="644">
        <f>SUM(C25:Q25)</f>
        <v>4008.963565</v>
      </c>
      <c r="S25" s="67"/>
    </row>
    <row r="26" spans="1:19" s="440" customFormat="1" ht="15.75" thickBot="1">
      <c r="A26" s="649" t="s">
        <v>684</v>
      </c>
      <c r="B26" s="769"/>
      <c r="C26" s="764">
        <f>SUM(C24:C25)</f>
        <v>3425.9887509999999</v>
      </c>
      <c r="D26" s="764">
        <f t="shared" ref="D26:R26" si="2">SUM(D24:D25)</f>
        <v>5361.4285714285716</v>
      </c>
      <c r="E26" s="764">
        <f t="shared" si="2"/>
        <v>2949.4176600000001</v>
      </c>
      <c r="F26" s="764">
        <f t="shared" si="2"/>
        <v>96.140171741741995</v>
      </c>
      <c r="G26" s="764">
        <f t="shared" si="2"/>
        <v>8370.9363870566776</v>
      </c>
      <c r="H26" s="764">
        <f t="shared" si="2"/>
        <v>0</v>
      </c>
      <c r="I26" s="764">
        <f t="shared" si="2"/>
        <v>0</v>
      </c>
      <c r="J26" s="764">
        <f t="shared" si="2"/>
        <v>0</v>
      </c>
      <c r="K26" s="764">
        <f t="shared" si="2"/>
        <v>672.35546611143775</v>
      </c>
      <c r="L26" s="764">
        <f t="shared" si="2"/>
        <v>0</v>
      </c>
      <c r="M26" s="764">
        <f t="shared" si="2"/>
        <v>0</v>
      </c>
      <c r="N26" s="764">
        <f t="shared" si="2"/>
        <v>0</v>
      </c>
      <c r="O26" s="764">
        <f t="shared" si="2"/>
        <v>0</v>
      </c>
      <c r="P26" s="764">
        <f t="shared" si="2"/>
        <v>0</v>
      </c>
      <c r="Q26" s="764">
        <f t="shared" si="2"/>
        <v>0</v>
      </c>
      <c r="R26" s="764">
        <f t="shared" si="2"/>
        <v>20876.267007338429</v>
      </c>
      <c r="S26" s="67"/>
    </row>
    <row r="27" spans="1:19" s="440" customFormat="1" ht="17.25" thickTop="1" thickBot="1">
      <c r="A27" s="650" t="s">
        <v>109</v>
      </c>
      <c r="B27" s="756"/>
      <c r="C27" s="651">
        <f ca="1">C22+C16+C26</f>
        <v>160046.57500293278</v>
      </c>
      <c r="D27" s="651">
        <f t="shared" ref="D27:R27" ca="1" si="3">D22+D16+D26</f>
        <v>5361.4285714285716</v>
      </c>
      <c r="E27" s="651">
        <f t="shared" ca="1" si="3"/>
        <v>212668.59982250162</v>
      </c>
      <c r="F27" s="651">
        <f t="shared" si="3"/>
        <v>2836.7252926336705</v>
      </c>
      <c r="G27" s="651">
        <f t="shared" ca="1" si="3"/>
        <v>66978.709007816084</v>
      </c>
      <c r="H27" s="651">
        <f t="shared" si="3"/>
        <v>159729.86976477536</v>
      </c>
      <c r="I27" s="651">
        <f t="shared" si="3"/>
        <v>37098.690668200288</v>
      </c>
      <c r="J27" s="651">
        <f t="shared" si="3"/>
        <v>0</v>
      </c>
      <c r="K27" s="651">
        <f t="shared" si="3"/>
        <v>891.45590780645455</v>
      </c>
      <c r="L27" s="651">
        <f t="shared" si="3"/>
        <v>0</v>
      </c>
      <c r="M27" s="651">
        <f t="shared" ca="1" si="3"/>
        <v>0</v>
      </c>
      <c r="N27" s="651">
        <f t="shared" si="3"/>
        <v>11662.773682874496</v>
      </c>
      <c r="O27" s="651">
        <f t="shared" ca="1" si="3"/>
        <v>18991.582081219829</v>
      </c>
      <c r="P27" s="651">
        <f t="shared" si="3"/>
        <v>818.9989359110856</v>
      </c>
      <c r="Q27" s="651">
        <f t="shared" si="3"/>
        <v>726.05924283868603</v>
      </c>
      <c r="R27" s="651">
        <f t="shared" ca="1" si="3"/>
        <v>677811.46798093885</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6442.505747906509</v>
      </c>
      <c r="D40" s="641">
        <f ca="1">tertiair!C20</f>
        <v>0</v>
      </c>
      <c r="E40" s="641">
        <f ca="1">tertiair!D20</f>
        <v>7771.5284896279809</v>
      </c>
      <c r="F40" s="641">
        <f>tertiair!E20</f>
        <v>19.95472468538777</v>
      </c>
      <c r="G40" s="641">
        <f ca="1">tertiair!F20</f>
        <v>1343.2952142493702</v>
      </c>
      <c r="H40" s="641">
        <f>tertiair!G20</f>
        <v>0</v>
      </c>
      <c r="I40" s="641">
        <f>tertiair!H20</f>
        <v>0</v>
      </c>
      <c r="J40" s="641">
        <f>tertiair!I20</f>
        <v>0</v>
      </c>
      <c r="K40" s="641">
        <f>tertiair!J20</f>
        <v>9.9338786371628747E-3</v>
      </c>
      <c r="L40" s="641">
        <f>tertiair!K20</f>
        <v>0</v>
      </c>
      <c r="M40" s="641">
        <f ca="1">tertiair!L20</f>
        <v>0</v>
      </c>
      <c r="N40" s="641">
        <f>tertiair!M20</f>
        <v>0</v>
      </c>
      <c r="O40" s="641">
        <f ca="1">tertiair!N20</f>
        <v>0</v>
      </c>
      <c r="P40" s="641">
        <f>tertiair!O20</f>
        <v>0</v>
      </c>
      <c r="Q40" s="724">
        <f>tertiair!P20</f>
        <v>0</v>
      </c>
      <c r="R40" s="802">
        <f t="shared" ca="1" si="4"/>
        <v>15577.294110347884</v>
      </c>
    </row>
    <row r="41" spans="1:18">
      <c r="A41" s="774" t="s">
        <v>213</v>
      </c>
      <c r="B41" s="781"/>
      <c r="C41" s="641">
        <f ca="1">huishoudens!B12</f>
        <v>7493.3746823276979</v>
      </c>
      <c r="D41" s="641">
        <f ca="1">huishoudens!C12</f>
        <v>0</v>
      </c>
      <c r="E41" s="641">
        <f>huishoudens!D12</f>
        <v>25253.009716939621</v>
      </c>
      <c r="F41" s="641">
        <f>huishoudens!E12</f>
        <v>467.9153916302613</v>
      </c>
      <c r="G41" s="641">
        <f>huishoudens!F12</f>
        <v>10591.435152093729</v>
      </c>
      <c r="H41" s="641">
        <f>huishoudens!G12</f>
        <v>0</v>
      </c>
      <c r="I41" s="641">
        <f>huishoudens!H12</f>
        <v>0</v>
      </c>
      <c r="J41" s="641">
        <f>huishoudens!I12</f>
        <v>0</v>
      </c>
      <c r="K41" s="641">
        <f>huishoudens!J12</f>
        <v>71.857360860940645</v>
      </c>
      <c r="L41" s="641">
        <f>huishoudens!K12</f>
        <v>0</v>
      </c>
      <c r="M41" s="641">
        <f>huishoudens!L12</f>
        <v>0</v>
      </c>
      <c r="N41" s="641">
        <f>huishoudens!M12</f>
        <v>0</v>
      </c>
      <c r="O41" s="641">
        <f>huishoudens!N12</f>
        <v>0</v>
      </c>
      <c r="P41" s="641">
        <f>huishoudens!O12</f>
        <v>0</v>
      </c>
      <c r="Q41" s="724">
        <f>huishoudens!P12</f>
        <v>0</v>
      </c>
      <c r="R41" s="802">
        <f t="shared" ca="1" si="4"/>
        <v>43877.592303852252</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14047.382921394061</v>
      </c>
      <c r="D43" s="641">
        <f ca="1">industrie!C22</f>
        <v>0</v>
      </c>
      <c r="E43" s="641">
        <f>industrie!D22</f>
        <v>9260.8831835524416</v>
      </c>
      <c r="F43" s="641">
        <f>industrie!E22</f>
        <v>57.026557978511462</v>
      </c>
      <c r="G43" s="641">
        <f>industrie!F22</f>
        <v>3713.5449233996619</v>
      </c>
      <c r="H43" s="641">
        <f>industrie!G22</f>
        <v>0</v>
      </c>
      <c r="I43" s="641">
        <f>industrie!H22</f>
        <v>0</v>
      </c>
      <c r="J43" s="641">
        <f>industrie!I22</f>
        <v>0</v>
      </c>
      <c r="K43" s="641">
        <f>industrie!J22</f>
        <v>5.6942616204581409</v>
      </c>
      <c r="L43" s="641">
        <f>industrie!K22</f>
        <v>0</v>
      </c>
      <c r="M43" s="641">
        <f>industrie!L22</f>
        <v>0</v>
      </c>
      <c r="N43" s="641">
        <f>industrie!M22</f>
        <v>0</v>
      </c>
      <c r="O43" s="641">
        <f>industrie!N22</f>
        <v>0</v>
      </c>
      <c r="P43" s="641">
        <f>industrie!O22</f>
        <v>0</v>
      </c>
      <c r="Q43" s="724">
        <f>industrie!P22</f>
        <v>0</v>
      </c>
      <c r="R43" s="801">
        <f t="shared" ca="1" si="4"/>
        <v>27084.531847945134</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27983.263351628266</v>
      </c>
      <c r="D46" s="677">
        <f t="shared" ref="D46:Q46" ca="1" si="5">SUM(D39:D45)</f>
        <v>0</v>
      </c>
      <c r="E46" s="677">
        <f t="shared" ca="1" si="5"/>
        <v>42285.421390120042</v>
      </c>
      <c r="F46" s="677">
        <f t="shared" si="5"/>
        <v>544.89667429416056</v>
      </c>
      <c r="G46" s="677">
        <f t="shared" ca="1" si="5"/>
        <v>15648.275289742762</v>
      </c>
      <c r="H46" s="677">
        <f t="shared" si="5"/>
        <v>0</v>
      </c>
      <c r="I46" s="677">
        <f t="shared" si="5"/>
        <v>0</v>
      </c>
      <c r="J46" s="677">
        <f t="shared" si="5"/>
        <v>0</v>
      </c>
      <c r="K46" s="677">
        <f t="shared" si="5"/>
        <v>77.561556360035937</v>
      </c>
      <c r="L46" s="677">
        <f t="shared" si="5"/>
        <v>0</v>
      </c>
      <c r="M46" s="677">
        <f t="shared" ca="1" si="5"/>
        <v>0</v>
      </c>
      <c r="N46" s="677">
        <f t="shared" si="5"/>
        <v>0</v>
      </c>
      <c r="O46" s="677">
        <f t="shared" ca="1" si="5"/>
        <v>0</v>
      </c>
      <c r="P46" s="677">
        <f t="shared" si="5"/>
        <v>0</v>
      </c>
      <c r="Q46" s="677">
        <f t="shared" si="5"/>
        <v>0</v>
      </c>
      <c r="R46" s="677">
        <f ca="1">SUM(R39:R45)</f>
        <v>86539.418262145278</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1.5075505631625841</v>
      </c>
      <c r="D49" s="641">
        <f ca="1">transport!C58</f>
        <v>0</v>
      </c>
      <c r="E49" s="641">
        <f>transport!D58</f>
        <v>0</v>
      </c>
      <c r="F49" s="641">
        <f>transport!E58</f>
        <v>0</v>
      </c>
      <c r="G49" s="641">
        <f>transport!F58</f>
        <v>0</v>
      </c>
      <c r="H49" s="641">
        <f>transport!G58</f>
        <v>162.99096451599766</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164.49851507916026</v>
      </c>
    </row>
    <row r="50" spans="1:18">
      <c r="A50" s="777" t="s">
        <v>295</v>
      </c>
      <c r="B50" s="787"/>
      <c r="C50" s="647">
        <f ca="1">transport!B18</f>
        <v>38.310515175705014</v>
      </c>
      <c r="D50" s="647">
        <f>transport!C18</f>
        <v>0</v>
      </c>
      <c r="E50" s="647">
        <f>transport!D18</f>
        <v>77.853406705287725</v>
      </c>
      <c r="F50" s="647">
        <f>transport!E18</f>
        <v>77.216148148307212</v>
      </c>
      <c r="G50" s="647">
        <f>transport!F18</f>
        <v>0</v>
      </c>
      <c r="H50" s="647">
        <f>transport!G18</f>
        <v>42484.884262679021</v>
      </c>
      <c r="I50" s="647">
        <f>transport!H18</f>
        <v>9237.573976381871</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51915.838309090192</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39.818065738867595</v>
      </c>
      <c r="D52" s="677">
        <f t="shared" ref="D52:Q52" ca="1" si="6">SUM(D48:D51)</f>
        <v>0</v>
      </c>
      <c r="E52" s="677">
        <f t="shared" si="6"/>
        <v>77.853406705287725</v>
      </c>
      <c r="F52" s="677">
        <f t="shared" si="6"/>
        <v>77.216148148307212</v>
      </c>
      <c r="G52" s="677">
        <f t="shared" si="6"/>
        <v>0</v>
      </c>
      <c r="H52" s="677">
        <f t="shared" si="6"/>
        <v>42647.875227195022</v>
      </c>
      <c r="I52" s="677">
        <f t="shared" si="6"/>
        <v>9237.573976381871</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52080.336824169353</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423.41190344117763</v>
      </c>
      <c r="D54" s="647">
        <f ca="1">+landbouw!C12</f>
        <v>1274.127731092437</v>
      </c>
      <c r="E54" s="647">
        <f>+landbouw!D12</f>
        <v>0</v>
      </c>
      <c r="F54" s="647">
        <f>+landbouw!E12</f>
        <v>21.823818985375432</v>
      </c>
      <c r="G54" s="647">
        <f>+landbouw!F12</f>
        <v>2235.0400153441333</v>
      </c>
      <c r="H54" s="647">
        <f>+landbouw!G12</f>
        <v>0</v>
      </c>
      <c r="I54" s="647">
        <f>+landbouw!H12</f>
        <v>0</v>
      </c>
      <c r="J54" s="647">
        <f>+landbouw!I12</f>
        <v>0</v>
      </c>
      <c r="K54" s="647">
        <f>+landbouw!J12</f>
        <v>238.01383500344895</v>
      </c>
      <c r="L54" s="647">
        <f>+landbouw!K12</f>
        <v>0</v>
      </c>
      <c r="M54" s="647">
        <f>+landbouw!L12</f>
        <v>0</v>
      </c>
      <c r="N54" s="647">
        <f>+landbouw!M12</f>
        <v>0</v>
      </c>
      <c r="O54" s="647">
        <f>+landbouw!N12</f>
        <v>0</v>
      </c>
      <c r="P54" s="647">
        <f>+landbouw!O12</f>
        <v>0</v>
      </c>
      <c r="Q54" s="648">
        <f>+landbouw!P12</f>
        <v>0</v>
      </c>
      <c r="R54" s="676">
        <f ca="1">SUM(C54:Q54)</f>
        <v>4192.4173038665722</v>
      </c>
    </row>
    <row r="55" spans="1:18" ht="15" thickBot="1">
      <c r="A55" s="777" t="s">
        <v>683</v>
      </c>
      <c r="B55" s="787"/>
      <c r="C55" s="647">
        <f ca="1">C25*'EF ele_warmte'!B12</f>
        <v>189.57751258504518</v>
      </c>
      <c r="D55" s="647"/>
      <c r="E55" s="647">
        <f>E25*EF_CO2_aardgas</f>
        <v>595.78236732000005</v>
      </c>
      <c r="F55" s="647"/>
      <c r="G55" s="647"/>
      <c r="H55" s="647"/>
      <c r="I55" s="647"/>
      <c r="J55" s="647"/>
      <c r="K55" s="647"/>
      <c r="L55" s="647"/>
      <c r="M55" s="647"/>
      <c r="N55" s="647"/>
      <c r="O55" s="647"/>
      <c r="P55" s="647"/>
      <c r="Q55" s="648"/>
      <c r="R55" s="676">
        <f ca="1">SUM(C55:Q55)</f>
        <v>785.3598799050452</v>
      </c>
    </row>
    <row r="56" spans="1:18" ht="15.75" thickBot="1">
      <c r="A56" s="775" t="s">
        <v>684</v>
      </c>
      <c r="B56" s="788"/>
      <c r="C56" s="677">
        <f ca="1">SUM(C54:C55)</f>
        <v>612.98941602622278</v>
      </c>
      <c r="D56" s="677">
        <f t="shared" ref="D56:Q56" ca="1" si="7">SUM(D54:D55)</f>
        <v>1274.127731092437</v>
      </c>
      <c r="E56" s="677">
        <f t="shared" si="7"/>
        <v>595.78236732000005</v>
      </c>
      <c r="F56" s="677">
        <f t="shared" si="7"/>
        <v>21.823818985375432</v>
      </c>
      <c r="G56" s="677">
        <f t="shared" si="7"/>
        <v>2235.0400153441333</v>
      </c>
      <c r="H56" s="677">
        <f t="shared" si="7"/>
        <v>0</v>
      </c>
      <c r="I56" s="677">
        <f t="shared" si="7"/>
        <v>0</v>
      </c>
      <c r="J56" s="677">
        <f t="shared" si="7"/>
        <v>0</v>
      </c>
      <c r="K56" s="677">
        <f t="shared" si="7"/>
        <v>238.01383500344895</v>
      </c>
      <c r="L56" s="677">
        <f t="shared" si="7"/>
        <v>0</v>
      </c>
      <c r="M56" s="677">
        <f t="shared" si="7"/>
        <v>0</v>
      </c>
      <c r="N56" s="677">
        <f t="shared" si="7"/>
        <v>0</v>
      </c>
      <c r="O56" s="677">
        <f t="shared" si="7"/>
        <v>0</v>
      </c>
      <c r="P56" s="677">
        <f t="shared" si="7"/>
        <v>0</v>
      </c>
      <c r="Q56" s="678">
        <f t="shared" si="7"/>
        <v>0</v>
      </c>
      <c r="R56" s="679">
        <f ca="1">SUM(R54:R55)</f>
        <v>4977.7771837716173</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28636.070833393358</v>
      </c>
      <c r="D61" s="685">
        <f t="shared" ref="D61:Q61" ca="1" si="8">D46+D52+D56</f>
        <v>1274.127731092437</v>
      </c>
      <c r="E61" s="685">
        <f t="shared" ca="1" si="8"/>
        <v>42959.057164145328</v>
      </c>
      <c r="F61" s="685">
        <f t="shared" si="8"/>
        <v>643.93664142784314</v>
      </c>
      <c r="G61" s="685">
        <f t="shared" ca="1" si="8"/>
        <v>17883.315305086893</v>
      </c>
      <c r="H61" s="685">
        <f t="shared" si="8"/>
        <v>42647.875227195022</v>
      </c>
      <c r="I61" s="685">
        <f t="shared" si="8"/>
        <v>9237.573976381871</v>
      </c>
      <c r="J61" s="685">
        <f t="shared" si="8"/>
        <v>0</v>
      </c>
      <c r="K61" s="685">
        <f t="shared" si="8"/>
        <v>315.57539136348487</v>
      </c>
      <c r="L61" s="685">
        <f t="shared" si="8"/>
        <v>0</v>
      </c>
      <c r="M61" s="685">
        <f t="shared" ca="1" si="8"/>
        <v>0</v>
      </c>
      <c r="N61" s="685">
        <f t="shared" si="8"/>
        <v>0</v>
      </c>
      <c r="O61" s="685">
        <f t="shared" ca="1" si="8"/>
        <v>0</v>
      </c>
      <c r="P61" s="685">
        <f t="shared" si="8"/>
        <v>0</v>
      </c>
      <c r="Q61" s="685">
        <f t="shared" si="8"/>
        <v>0</v>
      </c>
      <c r="R61" s="685">
        <f ca="1">R46+R52+R56</f>
        <v>143597.53227008626</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0.17892335923382688</v>
      </c>
      <c r="D63" s="731">
        <f t="shared" ca="1" si="9"/>
        <v>0.23764705882352941</v>
      </c>
      <c r="E63" s="927">
        <f t="shared" ca="1" si="9"/>
        <v>0.20200000000000001</v>
      </c>
      <c r="F63" s="731">
        <f t="shared" si="9"/>
        <v>0.22699999999999998</v>
      </c>
      <c r="G63" s="731">
        <f t="shared" ca="1" si="9"/>
        <v>0.26699999999999996</v>
      </c>
      <c r="H63" s="731">
        <f t="shared" si="9"/>
        <v>0.26700000000000002</v>
      </c>
      <c r="I63" s="731">
        <f t="shared" si="9"/>
        <v>0.24899999999999997</v>
      </c>
      <c r="J63" s="731">
        <f t="shared" si="9"/>
        <v>0</v>
      </c>
      <c r="K63" s="731">
        <f t="shared" si="9"/>
        <v>0.35399999999999998</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22287.904640975485</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8466.3879111489186</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0</v>
      </c>
      <c r="C76" s="698">
        <f>'lokale energieproductie'!B8*IFERROR(SUM(D76:H76)/SUM(D76:O76),0)</f>
        <v>3753</v>
      </c>
      <c r="D76" s="910">
        <f>'lokale energieproductie'!C8</f>
        <v>4415.2941176470586</v>
      </c>
      <c r="E76" s="911">
        <f>'lokale energieproductie'!D8</f>
        <v>0</v>
      </c>
      <c r="F76" s="911">
        <f>'lokale energieproductie'!E8</f>
        <v>0</v>
      </c>
      <c r="G76" s="911">
        <f>'lokale energieproductie'!F8</f>
        <v>0</v>
      </c>
      <c r="H76" s="911">
        <f>'lokale energieproductie'!G8</f>
        <v>0</v>
      </c>
      <c r="I76" s="911">
        <f>'lokale energieproductie'!I8</f>
        <v>0</v>
      </c>
      <c r="J76" s="911">
        <f>'lokale energieproductie'!J8</f>
        <v>0</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891.88941176470587</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30754.292552124403</v>
      </c>
      <c r="C78" s="703">
        <f>SUM(C72:C77)</f>
        <v>3753</v>
      </c>
      <c r="D78" s="704">
        <f t="shared" ref="D78:H78" si="10">SUM(D76:D77)</f>
        <v>4415.2941176470586</v>
      </c>
      <c r="E78" s="704">
        <f t="shared" si="10"/>
        <v>0</v>
      </c>
      <c r="F78" s="704">
        <f t="shared" si="10"/>
        <v>0</v>
      </c>
      <c r="G78" s="704">
        <f t="shared" si="10"/>
        <v>0</v>
      </c>
      <c r="H78" s="704">
        <f t="shared" si="10"/>
        <v>0</v>
      </c>
      <c r="I78" s="704">
        <f>SUM(I76:I77)</f>
        <v>0</v>
      </c>
      <c r="J78" s="704">
        <f>SUM(J76:J77)</f>
        <v>0</v>
      </c>
      <c r="K78" s="704">
        <f t="shared" ref="K78:L78" si="11">SUM(K76:K77)</f>
        <v>0</v>
      </c>
      <c r="L78" s="704">
        <f t="shared" si="11"/>
        <v>0</v>
      </c>
      <c r="M78" s="704">
        <f>SUM(M76:M77)</f>
        <v>0</v>
      </c>
      <c r="N78" s="704">
        <f>SUM(N76:N77)</f>
        <v>0</v>
      </c>
      <c r="O78" s="812">
        <f>SUM(O76:O77)</f>
        <v>0</v>
      </c>
      <c r="P78" s="705">
        <v>0</v>
      </c>
      <c r="Q78" s="705">
        <f>SUM(Q76:Q77)</f>
        <v>891.88941176470587</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0</v>
      </c>
      <c r="C87" s="716">
        <f>'lokale energieproductie'!B17*IFERROR(SUM(D87:H87)/SUM(D87:O87),0)</f>
        <v>5361.4285714285716</v>
      </c>
      <c r="D87" s="727">
        <f>'lokale energieproductie'!C17</f>
        <v>6307.5630252100837</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0</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1274.127731092437</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0</v>
      </c>
      <c r="C90" s="703">
        <f>SUM(C87:C89)</f>
        <v>5361.4285714285716</v>
      </c>
      <c r="D90" s="703">
        <f t="shared" ref="D90:H90" si="12">SUM(D87:D89)</f>
        <v>6307.5630252100837</v>
      </c>
      <c r="E90" s="703">
        <f t="shared" si="12"/>
        <v>0</v>
      </c>
      <c r="F90" s="703">
        <f t="shared" si="12"/>
        <v>0</v>
      </c>
      <c r="G90" s="703">
        <f t="shared" si="12"/>
        <v>0</v>
      </c>
      <c r="H90" s="703">
        <f t="shared" si="12"/>
        <v>0</v>
      </c>
      <c r="I90" s="703">
        <f>SUM(I87:I89)</f>
        <v>0</v>
      </c>
      <c r="J90" s="703">
        <f>SUM(J87:J89)</f>
        <v>0</v>
      </c>
      <c r="K90" s="703">
        <f t="shared" ref="K90:L90" si="13">SUM(K87:K89)</f>
        <v>0</v>
      </c>
      <c r="L90" s="703">
        <f t="shared" si="13"/>
        <v>0</v>
      </c>
      <c r="M90" s="703">
        <f>SUM(M87:M89)</f>
        <v>0</v>
      </c>
      <c r="N90" s="703">
        <f>SUM(N87:N89)</f>
        <v>0</v>
      </c>
      <c r="O90" s="703">
        <f>SUM(O87:O89)</f>
        <v>0</v>
      </c>
      <c r="P90" s="703">
        <v>0</v>
      </c>
      <c r="Q90" s="703">
        <f>SUM(Q87:Q89)</f>
        <v>1274.127731092437</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41880.359917314898</v>
      </c>
      <c r="C4" s="444">
        <f>huishoudens!C8</f>
        <v>0</v>
      </c>
      <c r="D4" s="444">
        <f>huishoudens!D8</f>
        <v>125014.89958881</v>
      </c>
      <c r="E4" s="444">
        <f>huishoudens!E8</f>
        <v>2061.3012847148075</v>
      </c>
      <c r="F4" s="444">
        <f>huishoudens!F8</f>
        <v>39668.296449789246</v>
      </c>
      <c r="G4" s="444">
        <f>huishoudens!G8</f>
        <v>0</v>
      </c>
      <c r="H4" s="444">
        <f>huishoudens!H8</f>
        <v>0</v>
      </c>
      <c r="I4" s="444">
        <f>huishoudens!I8</f>
        <v>0</v>
      </c>
      <c r="J4" s="444">
        <f>huishoudens!J8</f>
        <v>202.98689508740296</v>
      </c>
      <c r="K4" s="444">
        <f>huishoudens!K8</f>
        <v>0</v>
      </c>
      <c r="L4" s="444">
        <f>huishoudens!L8</f>
        <v>0</v>
      </c>
      <c r="M4" s="444">
        <f>huishoudens!M8</f>
        <v>0</v>
      </c>
      <c r="N4" s="444">
        <f>huishoudens!N8</f>
        <v>14565.662577732212</v>
      </c>
      <c r="O4" s="444">
        <f>huishoudens!O8</f>
        <v>789.6153713160387</v>
      </c>
      <c r="P4" s="445">
        <f>huishoudens!P8</f>
        <v>410.82441299971589</v>
      </c>
      <c r="Q4" s="446">
        <f>SUM(B4:P4)</f>
        <v>224593.94649776429</v>
      </c>
    </row>
    <row r="5" spans="1:17">
      <c r="A5" s="443" t="s">
        <v>149</v>
      </c>
      <c r="B5" s="444">
        <f ca="1">tertiair!B16</f>
        <v>33477.006034999999</v>
      </c>
      <c r="C5" s="444">
        <f ca="1">tertiair!C16</f>
        <v>0</v>
      </c>
      <c r="D5" s="444">
        <f ca="1">tertiair!D16</f>
        <v>38472.913314990001</v>
      </c>
      <c r="E5" s="444">
        <f>tertiair!E16</f>
        <v>87.906276147082693</v>
      </c>
      <c r="F5" s="444">
        <f ca="1">tertiair!F16</f>
        <v>5031.0682181624352</v>
      </c>
      <c r="G5" s="444">
        <f>tertiair!G16</f>
        <v>0</v>
      </c>
      <c r="H5" s="444">
        <f>tertiair!H16</f>
        <v>0</v>
      </c>
      <c r="I5" s="444">
        <f>tertiair!I16</f>
        <v>0</v>
      </c>
      <c r="J5" s="444">
        <f>tertiair!J16</f>
        <v>2.8061804059782133E-2</v>
      </c>
      <c r="K5" s="444">
        <f>tertiair!K16</f>
        <v>0</v>
      </c>
      <c r="L5" s="444">
        <f ca="1">tertiair!L16</f>
        <v>0</v>
      </c>
      <c r="M5" s="444">
        <f>tertiair!M16</f>
        <v>0</v>
      </c>
      <c r="N5" s="444">
        <f ca="1">tertiair!N16</f>
        <v>1092.9454574378103</v>
      </c>
      <c r="O5" s="444">
        <f>tertiair!O16</f>
        <v>29.383564595046927</v>
      </c>
      <c r="P5" s="445">
        <f>tertiair!P16</f>
        <v>315.23482983897009</v>
      </c>
      <c r="Q5" s="443">
        <f t="shared" ref="Q5:Q14" ca="1" si="0">SUM(B5:P5)</f>
        <v>78506.485757975388</v>
      </c>
    </row>
    <row r="6" spans="1:17">
      <c r="A6" s="443" t="s">
        <v>187</v>
      </c>
      <c r="B6" s="444">
        <f>'openbare verlichting'!B8</f>
        <v>2530.0630000000001</v>
      </c>
      <c r="C6" s="444"/>
      <c r="D6" s="444"/>
      <c r="E6" s="444"/>
      <c r="F6" s="444"/>
      <c r="G6" s="444"/>
      <c r="H6" s="444"/>
      <c r="I6" s="444"/>
      <c r="J6" s="444"/>
      <c r="K6" s="444"/>
      <c r="L6" s="444"/>
      <c r="M6" s="444"/>
      <c r="N6" s="444"/>
      <c r="O6" s="444"/>
      <c r="P6" s="445"/>
      <c r="Q6" s="443">
        <f t="shared" si="0"/>
        <v>2530.0630000000001</v>
      </c>
    </row>
    <row r="7" spans="1:17">
      <c r="A7" s="443" t="s">
        <v>105</v>
      </c>
      <c r="B7" s="444">
        <f>landbouw!B8</f>
        <v>2366.4428459999999</v>
      </c>
      <c r="C7" s="444">
        <f>landbouw!C8</f>
        <v>5361.4285714285716</v>
      </c>
      <c r="D7" s="444">
        <f>landbouw!D8</f>
        <v>0</v>
      </c>
      <c r="E7" s="444">
        <f>landbouw!E8</f>
        <v>96.140171741741995</v>
      </c>
      <c r="F7" s="444">
        <f>landbouw!F8</f>
        <v>8370.9363870566776</v>
      </c>
      <c r="G7" s="444">
        <f>landbouw!G8</f>
        <v>0</v>
      </c>
      <c r="H7" s="444">
        <f>landbouw!H8</f>
        <v>0</v>
      </c>
      <c r="I7" s="444">
        <f>landbouw!I8</f>
        <v>0</v>
      </c>
      <c r="J7" s="444">
        <f>landbouw!J8</f>
        <v>672.35546611143775</v>
      </c>
      <c r="K7" s="444">
        <f>landbouw!K8</f>
        <v>0</v>
      </c>
      <c r="L7" s="444">
        <f>landbouw!L8</f>
        <v>0</v>
      </c>
      <c r="M7" s="444">
        <f>landbouw!M8</f>
        <v>0</v>
      </c>
      <c r="N7" s="444">
        <f>landbouw!N8</f>
        <v>0</v>
      </c>
      <c r="O7" s="444">
        <f>landbouw!O8</f>
        <v>0</v>
      </c>
      <c r="P7" s="445">
        <f>landbouw!P8</f>
        <v>0</v>
      </c>
      <c r="Q7" s="443">
        <f t="shared" si="0"/>
        <v>16867.303442338431</v>
      </c>
    </row>
    <row r="8" spans="1:17">
      <c r="A8" s="443" t="s">
        <v>587</v>
      </c>
      <c r="B8" s="444">
        <f>industrie!B18</f>
        <v>78510.614721000005</v>
      </c>
      <c r="C8" s="444">
        <f>industrie!C18</f>
        <v>0</v>
      </c>
      <c r="D8" s="444">
        <f>industrie!D18</f>
        <v>45845.956354220005</v>
      </c>
      <c r="E8" s="444">
        <f>industrie!E18</f>
        <v>251.21831708595357</v>
      </c>
      <c r="F8" s="444">
        <f>industrie!F18</f>
        <v>13908.407952807722</v>
      </c>
      <c r="G8" s="444">
        <f>industrie!G18</f>
        <v>0</v>
      </c>
      <c r="H8" s="444">
        <f>industrie!H18</f>
        <v>0</v>
      </c>
      <c r="I8" s="444">
        <f>industrie!I18</f>
        <v>0</v>
      </c>
      <c r="J8" s="444">
        <f>industrie!J18</f>
        <v>16.085484803554071</v>
      </c>
      <c r="K8" s="444">
        <f>industrie!K18</f>
        <v>0</v>
      </c>
      <c r="L8" s="444">
        <f>industrie!L18</f>
        <v>0</v>
      </c>
      <c r="M8" s="444">
        <f>industrie!M18</f>
        <v>0</v>
      </c>
      <c r="N8" s="444">
        <f>industrie!N18</f>
        <v>3332.9740460498065</v>
      </c>
      <c r="O8" s="444">
        <f>industrie!O18</f>
        <v>0</v>
      </c>
      <c r="P8" s="445">
        <f>industrie!P18</f>
        <v>0</v>
      </c>
      <c r="Q8" s="443">
        <f t="shared" si="0"/>
        <v>141865.25687596705</v>
      </c>
    </row>
    <row r="9" spans="1:17" s="449" customFormat="1">
      <c r="A9" s="447" t="s">
        <v>536</v>
      </c>
      <c r="B9" s="448">
        <f>transport!B14</f>
        <v>214.11690088849008</v>
      </c>
      <c r="C9" s="448">
        <f>transport!C14</f>
        <v>0</v>
      </c>
      <c r="D9" s="448">
        <f>transport!D14</f>
        <v>385.41290448162238</v>
      </c>
      <c r="E9" s="448">
        <f>transport!E14</f>
        <v>340.15924294408461</v>
      </c>
      <c r="F9" s="448">
        <f>transport!F14</f>
        <v>0</v>
      </c>
      <c r="G9" s="448">
        <f>transport!G14</f>
        <v>159119.41671415363</v>
      </c>
      <c r="H9" s="448">
        <f>transport!H14</f>
        <v>37098.690668200288</v>
      </c>
      <c r="I9" s="448">
        <f>transport!I14</f>
        <v>0</v>
      </c>
      <c r="J9" s="448">
        <f>transport!J14</f>
        <v>0</v>
      </c>
      <c r="K9" s="448">
        <f>transport!K14</f>
        <v>0</v>
      </c>
      <c r="L9" s="448">
        <f>transport!L14</f>
        <v>0</v>
      </c>
      <c r="M9" s="448">
        <f>transport!M14</f>
        <v>11628.244640381779</v>
      </c>
      <c r="N9" s="448">
        <f>transport!N14</f>
        <v>0</v>
      </c>
      <c r="O9" s="448">
        <f>transport!O14</f>
        <v>0</v>
      </c>
      <c r="P9" s="448">
        <f>transport!P14</f>
        <v>0</v>
      </c>
      <c r="Q9" s="447">
        <f>SUM(B9:P9)</f>
        <v>208786.0410710499</v>
      </c>
    </row>
    <row r="10" spans="1:17">
      <c r="A10" s="443" t="s">
        <v>526</v>
      </c>
      <c r="B10" s="444">
        <f>transport!B54</f>
        <v>8.4256777293815173</v>
      </c>
      <c r="C10" s="444">
        <f>transport!C54</f>
        <v>0</v>
      </c>
      <c r="D10" s="444">
        <f>transport!D54</f>
        <v>0</v>
      </c>
      <c r="E10" s="444">
        <f>transport!E54</f>
        <v>0</v>
      </c>
      <c r="F10" s="444">
        <f>transport!F54</f>
        <v>0</v>
      </c>
      <c r="G10" s="444">
        <f>transport!G54</f>
        <v>610.45305062171406</v>
      </c>
      <c r="H10" s="444">
        <f>transport!H54</f>
        <v>0</v>
      </c>
      <c r="I10" s="444">
        <f>transport!I54</f>
        <v>0</v>
      </c>
      <c r="J10" s="444">
        <f>transport!J54</f>
        <v>0</v>
      </c>
      <c r="K10" s="444">
        <f>transport!K54</f>
        <v>0</v>
      </c>
      <c r="L10" s="444">
        <f>transport!L54</f>
        <v>0</v>
      </c>
      <c r="M10" s="444">
        <f>transport!M54</f>
        <v>34.529042492716712</v>
      </c>
      <c r="N10" s="444">
        <f>transport!N54</f>
        <v>0</v>
      </c>
      <c r="O10" s="444">
        <f>transport!O54</f>
        <v>0</v>
      </c>
      <c r="P10" s="445">
        <f>transport!P54</f>
        <v>0</v>
      </c>
      <c r="Q10" s="443">
        <f t="shared" si="0"/>
        <v>653.40777084381227</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1059.5459049999999</v>
      </c>
      <c r="C14" s="451"/>
      <c r="D14" s="451">
        <f>'SEAP template'!E25</f>
        <v>2949.4176600000001</v>
      </c>
      <c r="E14" s="451"/>
      <c r="F14" s="451"/>
      <c r="G14" s="451"/>
      <c r="H14" s="451"/>
      <c r="I14" s="451"/>
      <c r="J14" s="451"/>
      <c r="K14" s="451"/>
      <c r="L14" s="451"/>
      <c r="M14" s="451"/>
      <c r="N14" s="451"/>
      <c r="O14" s="451"/>
      <c r="P14" s="452"/>
      <c r="Q14" s="443">
        <f t="shared" si="0"/>
        <v>4008.963565</v>
      </c>
    </row>
    <row r="15" spans="1:17" s="455" customFormat="1">
      <c r="A15" s="453" t="s">
        <v>530</v>
      </c>
      <c r="B15" s="454">
        <f ca="1">SUM(B4:B14)</f>
        <v>160046.5750029328</v>
      </c>
      <c r="C15" s="454">
        <f t="shared" ref="C15:Q15" ca="1" si="1">SUM(C4:C14)</f>
        <v>5361.4285714285716</v>
      </c>
      <c r="D15" s="454">
        <f t="shared" ca="1" si="1"/>
        <v>212668.59982250162</v>
      </c>
      <c r="E15" s="454">
        <f t="shared" si="1"/>
        <v>2836.7252926336705</v>
      </c>
      <c r="F15" s="454">
        <f t="shared" ca="1" si="1"/>
        <v>66978.709007816084</v>
      </c>
      <c r="G15" s="454">
        <f t="shared" si="1"/>
        <v>159729.86976477536</v>
      </c>
      <c r="H15" s="454">
        <f t="shared" si="1"/>
        <v>37098.690668200288</v>
      </c>
      <c r="I15" s="454">
        <f t="shared" si="1"/>
        <v>0</v>
      </c>
      <c r="J15" s="454">
        <f t="shared" si="1"/>
        <v>891.45590780645455</v>
      </c>
      <c r="K15" s="454">
        <f t="shared" si="1"/>
        <v>0</v>
      </c>
      <c r="L15" s="454">
        <f t="shared" ca="1" si="1"/>
        <v>0</v>
      </c>
      <c r="M15" s="454">
        <f t="shared" si="1"/>
        <v>11662.773682874496</v>
      </c>
      <c r="N15" s="454">
        <f t="shared" ca="1" si="1"/>
        <v>18991.582081219829</v>
      </c>
      <c r="O15" s="454">
        <f t="shared" si="1"/>
        <v>818.9989359110856</v>
      </c>
      <c r="P15" s="454">
        <f t="shared" si="1"/>
        <v>726.05924283868603</v>
      </c>
      <c r="Q15" s="454">
        <f t="shared" ca="1" si="1"/>
        <v>677811.46798093885</v>
      </c>
    </row>
    <row r="17" spans="1:17">
      <c r="A17" s="456" t="s">
        <v>531</v>
      </c>
      <c r="B17" s="736">
        <f ca="1">huishoudens!B10</f>
        <v>0.17892335923382688</v>
      </c>
      <c r="C17" s="736">
        <f ca="1">huishoudens!C10</f>
        <v>0.23764705882352941</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7493.3746823276979</v>
      </c>
      <c r="C22" s="444">
        <f t="shared" ref="C22:C32" ca="1" si="3">C4*$C$17</f>
        <v>0</v>
      </c>
      <c r="D22" s="444">
        <f t="shared" ref="D22:D32" si="4">D4*$D$17</f>
        <v>25253.009716939621</v>
      </c>
      <c r="E22" s="444">
        <f t="shared" ref="E22:E32" si="5">E4*$E$17</f>
        <v>467.9153916302613</v>
      </c>
      <c r="F22" s="444">
        <f t="shared" ref="F22:F32" si="6">F4*$F$17</f>
        <v>10591.435152093729</v>
      </c>
      <c r="G22" s="444">
        <f t="shared" ref="G22:G32" si="7">G4*$G$17</f>
        <v>0</v>
      </c>
      <c r="H22" s="444">
        <f t="shared" ref="H22:H32" si="8">H4*$H$17</f>
        <v>0</v>
      </c>
      <c r="I22" s="444">
        <f t="shared" ref="I22:I32" si="9">I4*$I$17</f>
        <v>0</v>
      </c>
      <c r="J22" s="444">
        <f t="shared" ref="J22:J32" si="10">J4*$J$17</f>
        <v>71.857360860940645</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43877.592303852252</v>
      </c>
    </row>
    <row r="23" spans="1:17">
      <c r="A23" s="443" t="s">
        <v>149</v>
      </c>
      <c r="B23" s="444">
        <f t="shared" ca="1" si="2"/>
        <v>5989.8183768732952</v>
      </c>
      <c r="C23" s="444">
        <f t="shared" ca="1" si="3"/>
        <v>0</v>
      </c>
      <c r="D23" s="444">
        <f t="shared" ca="1" si="4"/>
        <v>7771.5284896279809</v>
      </c>
      <c r="E23" s="444">
        <f t="shared" si="5"/>
        <v>19.95472468538777</v>
      </c>
      <c r="F23" s="444">
        <f t="shared" ca="1" si="6"/>
        <v>1343.2952142493702</v>
      </c>
      <c r="G23" s="444">
        <f t="shared" si="7"/>
        <v>0</v>
      </c>
      <c r="H23" s="444">
        <f t="shared" si="8"/>
        <v>0</v>
      </c>
      <c r="I23" s="444">
        <f t="shared" si="9"/>
        <v>0</v>
      </c>
      <c r="J23" s="444">
        <f t="shared" si="10"/>
        <v>9.9338786371628747E-3</v>
      </c>
      <c r="K23" s="444">
        <f t="shared" si="11"/>
        <v>0</v>
      </c>
      <c r="L23" s="444">
        <f t="shared" ca="1" si="12"/>
        <v>0</v>
      </c>
      <c r="M23" s="444">
        <f t="shared" si="13"/>
        <v>0</v>
      </c>
      <c r="N23" s="444">
        <f t="shared" ca="1" si="14"/>
        <v>0</v>
      </c>
      <c r="O23" s="444">
        <f t="shared" si="15"/>
        <v>0</v>
      </c>
      <c r="P23" s="445">
        <f t="shared" si="16"/>
        <v>0</v>
      </c>
      <c r="Q23" s="443">
        <f t="shared" ref="Q23:Q31" ca="1" si="17">SUM(B23:P23)</f>
        <v>15124.606739314671</v>
      </c>
    </row>
    <row r="24" spans="1:17">
      <c r="A24" s="443" t="s">
        <v>187</v>
      </c>
      <c r="B24" s="444">
        <f t="shared" ca="1" si="2"/>
        <v>452.68737103321376</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452.68737103321376</v>
      </c>
    </row>
    <row r="25" spans="1:17">
      <c r="A25" s="443" t="s">
        <v>105</v>
      </c>
      <c r="B25" s="444">
        <f t="shared" ca="1" si="2"/>
        <v>423.41190344117763</v>
      </c>
      <c r="C25" s="444">
        <f t="shared" ca="1" si="3"/>
        <v>1274.127731092437</v>
      </c>
      <c r="D25" s="444">
        <f t="shared" si="4"/>
        <v>0</v>
      </c>
      <c r="E25" s="444">
        <f t="shared" si="5"/>
        <v>21.823818985375432</v>
      </c>
      <c r="F25" s="444">
        <f t="shared" si="6"/>
        <v>2235.0400153441333</v>
      </c>
      <c r="G25" s="444">
        <f t="shared" si="7"/>
        <v>0</v>
      </c>
      <c r="H25" s="444">
        <f t="shared" si="8"/>
        <v>0</v>
      </c>
      <c r="I25" s="444">
        <f t="shared" si="9"/>
        <v>0</v>
      </c>
      <c r="J25" s="444">
        <f t="shared" si="10"/>
        <v>238.01383500344895</v>
      </c>
      <c r="K25" s="444">
        <f t="shared" si="11"/>
        <v>0</v>
      </c>
      <c r="L25" s="444">
        <f t="shared" si="12"/>
        <v>0</v>
      </c>
      <c r="M25" s="444">
        <f t="shared" si="13"/>
        <v>0</v>
      </c>
      <c r="N25" s="444">
        <f t="shared" si="14"/>
        <v>0</v>
      </c>
      <c r="O25" s="444">
        <f t="shared" si="15"/>
        <v>0</v>
      </c>
      <c r="P25" s="445">
        <f t="shared" si="16"/>
        <v>0</v>
      </c>
      <c r="Q25" s="443">
        <f t="shared" ca="1" si="17"/>
        <v>4192.4173038665722</v>
      </c>
    </row>
    <row r="26" spans="1:17">
      <c r="A26" s="443" t="s">
        <v>587</v>
      </c>
      <c r="B26" s="444">
        <f t="shared" ca="1" si="2"/>
        <v>14047.382921394061</v>
      </c>
      <c r="C26" s="444">
        <f t="shared" ca="1" si="3"/>
        <v>0</v>
      </c>
      <c r="D26" s="444">
        <f t="shared" si="4"/>
        <v>9260.8831835524416</v>
      </c>
      <c r="E26" s="444">
        <f t="shared" si="5"/>
        <v>57.026557978511462</v>
      </c>
      <c r="F26" s="444">
        <f t="shared" si="6"/>
        <v>3713.5449233996619</v>
      </c>
      <c r="G26" s="444">
        <f t="shared" si="7"/>
        <v>0</v>
      </c>
      <c r="H26" s="444">
        <f t="shared" si="8"/>
        <v>0</v>
      </c>
      <c r="I26" s="444">
        <f t="shared" si="9"/>
        <v>0</v>
      </c>
      <c r="J26" s="444">
        <f t="shared" si="10"/>
        <v>5.6942616204581409</v>
      </c>
      <c r="K26" s="444">
        <f t="shared" si="11"/>
        <v>0</v>
      </c>
      <c r="L26" s="444">
        <f t="shared" si="12"/>
        <v>0</v>
      </c>
      <c r="M26" s="444">
        <f t="shared" si="13"/>
        <v>0</v>
      </c>
      <c r="N26" s="444">
        <f t="shared" si="14"/>
        <v>0</v>
      </c>
      <c r="O26" s="444">
        <f t="shared" si="15"/>
        <v>0</v>
      </c>
      <c r="P26" s="445">
        <f t="shared" si="16"/>
        <v>0</v>
      </c>
      <c r="Q26" s="443">
        <f t="shared" ca="1" si="17"/>
        <v>27084.531847945134</v>
      </c>
    </row>
    <row r="27" spans="1:17" s="449" customFormat="1">
      <c r="A27" s="447" t="s">
        <v>536</v>
      </c>
      <c r="B27" s="730">
        <f t="shared" ca="1" si="2"/>
        <v>38.310515175705014</v>
      </c>
      <c r="C27" s="448">
        <f t="shared" ca="1" si="3"/>
        <v>0</v>
      </c>
      <c r="D27" s="448">
        <f t="shared" si="4"/>
        <v>77.853406705287725</v>
      </c>
      <c r="E27" s="448">
        <f t="shared" si="5"/>
        <v>77.216148148307212</v>
      </c>
      <c r="F27" s="448">
        <f t="shared" si="6"/>
        <v>0</v>
      </c>
      <c r="G27" s="448">
        <f t="shared" si="7"/>
        <v>42484.884262679021</v>
      </c>
      <c r="H27" s="448">
        <f t="shared" si="8"/>
        <v>9237.573976381871</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51915.838309090192</v>
      </c>
    </row>
    <row r="28" spans="1:17" ht="16.5" customHeight="1">
      <c r="A28" s="443" t="s">
        <v>526</v>
      </c>
      <c r="B28" s="444">
        <f t="shared" ca="1" si="2"/>
        <v>1.5075505631625841</v>
      </c>
      <c r="C28" s="444">
        <f t="shared" ca="1" si="3"/>
        <v>0</v>
      </c>
      <c r="D28" s="444">
        <f t="shared" si="4"/>
        <v>0</v>
      </c>
      <c r="E28" s="444">
        <f t="shared" si="5"/>
        <v>0</v>
      </c>
      <c r="F28" s="444">
        <f t="shared" si="6"/>
        <v>0</v>
      </c>
      <c r="G28" s="444">
        <f t="shared" si="7"/>
        <v>162.99096451599766</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164.49851507916026</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189.57751258504518</v>
      </c>
      <c r="C32" s="444">
        <f t="shared" ca="1" si="3"/>
        <v>0</v>
      </c>
      <c r="D32" s="444">
        <f t="shared" si="4"/>
        <v>595.78236732000005</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785.3598799050452</v>
      </c>
    </row>
    <row r="33" spans="1:17" s="455" customFormat="1">
      <c r="A33" s="453" t="s">
        <v>530</v>
      </c>
      <c r="B33" s="454">
        <f ca="1">SUM(B22:B32)</f>
        <v>28636.070833393354</v>
      </c>
      <c r="C33" s="454">
        <f t="shared" ref="C33:Q33" ca="1" si="19">SUM(C22:C32)</f>
        <v>1274.127731092437</v>
      </c>
      <c r="D33" s="454">
        <f t="shared" ca="1" si="19"/>
        <v>42959.057164145328</v>
      </c>
      <c r="E33" s="454">
        <f t="shared" si="19"/>
        <v>643.93664142784314</v>
      </c>
      <c r="F33" s="454">
        <f t="shared" ca="1" si="19"/>
        <v>17883.315305086893</v>
      </c>
      <c r="G33" s="454">
        <f t="shared" si="19"/>
        <v>42647.875227195022</v>
      </c>
      <c r="H33" s="454">
        <f t="shared" si="19"/>
        <v>9237.573976381871</v>
      </c>
      <c r="I33" s="454">
        <f t="shared" si="19"/>
        <v>0</v>
      </c>
      <c r="J33" s="454">
        <f t="shared" si="19"/>
        <v>315.57539136348487</v>
      </c>
      <c r="K33" s="454">
        <f t="shared" si="19"/>
        <v>0</v>
      </c>
      <c r="L33" s="454">
        <f t="shared" ca="1" si="19"/>
        <v>0</v>
      </c>
      <c r="M33" s="454">
        <f t="shared" si="19"/>
        <v>0</v>
      </c>
      <c r="N33" s="454">
        <f t="shared" ca="1" si="19"/>
        <v>0</v>
      </c>
      <c r="O33" s="454">
        <f t="shared" si="19"/>
        <v>0</v>
      </c>
      <c r="P33" s="454">
        <f t="shared" si="19"/>
        <v>0</v>
      </c>
      <c r="Q33" s="454">
        <f t="shared" ca="1" si="19"/>
        <v>143597.53227008623</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22287.904640975485</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8466.3879111489186</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0</v>
      </c>
      <c r="C8" s="979">
        <f>'SEAP template'!C76</f>
        <v>3753</v>
      </c>
      <c r="D8" s="979">
        <f>'SEAP template'!D76</f>
        <v>4415.2941176470586</v>
      </c>
      <c r="E8" s="979">
        <f>'SEAP template'!E76</f>
        <v>0</v>
      </c>
      <c r="F8" s="979">
        <f>'SEAP template'!F76</f>
        <v>0</v>
      </c>
      <c r="G8" s="979">
        <f>'SEAP template'!G76</f>
        <v>0</v>
      </c>
      <c r="H8" s="979">
        <f>'SEAP template'!H76</f>
        <v>0</v>
      </c>
      <c r="I8" s="979">
        <f>'SEAP template'!I76</f>
        <v>0</v>
      </c>
      <c r="J8" s="979">
        <f>'SEAP template'!J76</f>
        <v>0</v>
      </c>
      <c r="K8" s="979">
        <f>'SEAP template'!K76</f>
        <v>0</v>
      </c>
      <c r="L8" s="979">
        <f>'SEAP template'!L76</f>
        <v>0</v>
      </c>
      <c r="M8" s="979">
        <f>'SEAP template'!M76</f>
        <v>0</v>
      </c>
      <c r="N8" s="979">
        <f>'SEAP template'!N76</f>
        <v>0</v>
      </c>
      <c r="O8" s="979">
        <f>'SEAP template'!O76</f>
        <v>0</v>
      </c>
      <c r="P8" s="980">
        <f>'SEAP template'!Q76</f>
        <v>891.88941176470587</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30754.292552124403</v>
      </c>
      <c r="C10" s="981">
        <f>SUM(C4:C9)</f>
        <v>3753</v>
      </c>
      <c r="D10" s="981">
        <f t="shared" ref="D10:H10" si="0">SUM(D8:D9)</f>
        <v>4415.2941176470586</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891.88941176470587</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0.17892335923382688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0</v>
      </c>
      <c r="C17" s="982">
        <f>'SEAP template'!C87</f>
        <v>5361.4285714285716</v>
      </c>
      <c r="D17" s="980">
        <f>'SEAP template'!D87</f>
        <v>6307.5630252100837</v>
      </c>
      <c r="E17" s="980">
        <f>'SEAP template'!E87</f>
        <v>0</v>
      </c>
      <c r="F17" s="980">
        <f>'SEAP template'!F87</f>
        <v>0</v>
      </c>
      <c r="G17" s="980">
        <f>'SEAP template'!G87</f>
        <v>0</v>
      </c>
      <c r="H17" s="980">
        <f>'SEAP template'!H87</f>
        <v>0</v>
      </c>
      <c r="I17" s="980">
        <f>'SEAP template'!I87</f>
        <v>0</v>
      </c>
      <c r="J17" s="980">
        <f>'SEAP template'!J87</f>
        <v>0</v>
      </c>
      <c r="K17" s="980">
        <f>'SEAP template'!K87</f>
        <v>0</v>
      </c>
      <c r="L17" s="980">
        <f>'SEAP template'!L87</f>
        <v>0</v>
      </c>
      <c r="M17" s="980">
        <f>'SEAP template'!M87</f>
        <v>0</v>
      </c>
      <c r="N17" s="980">
        <f>'SEAP template'!N87</f>
        <v>0</v>
      </c>
      <c r="O17" s="980">
        <f>'SEAP template'!O87</f>
        <v>0</v>
      </c>
      <c r="P17" s="980">
        <f>'SEAP template'!Q87</f>
        <v>1274.127731092437</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0</v>
      </c>
      <c r="C20" s="981">
        <f>SUM(C17:C19)</f>
        <v>5361.4285714285716</v>
      </c>
      <c r="D20" s="981">
        <f t="shared" ref="D20:H20" si="2">SUM(D17:D19)</f>
        <v>6307.5630252100837</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1274.127731092437</v>
      </c>
    </row>
    <row r="21" spans="1:16">
      <c r="B21" s="840"/>
    </row>
    <row r="22" spans="1:16">
      <c r="A22" s="456" t="s">
        <v>754</v>
      </c>
      <c r="B22" s="736" t="s">
        <v>752</v>
      </c>
      <c r="C22" s="736">
        <f ca="1">'EF ele_warmte'!B22</f>
        <v>0.23764705882352941</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0.17892335923382688</v>
      </c>
      <c r="C17" s="492">
        <f ca="1">'EF ele_warmte'!B22</f>
        <v>0.23764705882352941</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2</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9.7945215316823084</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1</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52.539138306495019</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2022-07-26T10:18:37Z</dcterms:modified>
</cp:coreProperties>
</file>