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C0236E06-E891-45B3-9543-0B26BD57EC6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<sst xmlns="http://schemas.openxmlformats.org/spreadsheetml/2006/main" count="2410" uniqueCount="886">
  <si>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</si>
  <si>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</si>
  <si>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</si>
  <si>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</si>
  <si>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</si>
  <si>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</si>
  <si>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</si>
  <si>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</si>
  <si>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</si>
  <si>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</si>
  <si>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</si>
  <si>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</si>
  <si>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</si>
  <si>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</si>
  <si>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</si>
  <si>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</si>
  <si>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</si>
  <si>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</si>
  <si>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</si>
  <si>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</si>
  <si>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</si>
  <si>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</si>
  <si>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</si>
  <si>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</si>
  <si>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</si>
  <si>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</si>
  <si>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</si>
  <si>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</si>
  <si>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</si>
  <si>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</si>
  <si>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</si>
  <si>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</si>
  <si>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</si>
  <si>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</si>
  <si>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</si>
  <si>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</si>
  <si>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</si>
  <si>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</si>
  <si>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</si>
  <si>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</si>
  <si>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</si>
  <si>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</si>
  <si>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</si>
  <si>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</si>
  <si>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</si>
  <si>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</si>
  <si>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</si>
  <si>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</si>
  <si>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</si>
  <si>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</si>
  <si>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</si>
  <si>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</si>
  <si>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</si>
  <si>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</si>
  <si>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</si>
  <si>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</si>
  <si>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</si>
  <si>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</si>
  <si>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</si>
  <si>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</si>
  <si>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</si>
  <si>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</si>
  <si>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</si>
  <si>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</si>
  <si>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</si>
  <si>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</si>
  <si>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</si>
  <si>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</si>
  <si>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</si>
  <si>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</si>
  <si>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</si>
  <si>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</si>
  <si>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</si>
  <si>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</si>
  <si>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</si>
  <si>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</si>
  <si>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</si>
  <si>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</si>
  <si>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</si>
  <si>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</si>
  <si>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</si>
  <si>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</si>
  <si>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</si>
  <si>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</si>
  <si>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</si>
  <si>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</si>
  <si>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</si>
  <si>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</si>
  <si>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</si>
  <si>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</si>
  <si>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</si>
  <si>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</si>
  <si>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</si>
  <si>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</si>
  <si>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</si>
  <si>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</si>
  <si>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</si>
  <si>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</si>
  <si>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</si>
  <si>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</si>
  <si>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</si>
  <si>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</si>
  <si>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</si>
  <si>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</si>
  <si>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</si>
  <si>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</si>
  <si>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</si>
  <si>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</si>
  <si>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</si>
  <si>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</si>
  <si>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</si>
  <si>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</si>
  <si>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</si>
  <si>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</si>
  <si>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</si>
  <si>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</si>
  <si>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</si>
  <si>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</si>
  <si>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</si>
  <si>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</si>
  <si>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</si>
  <si>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</si>
  <si>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</si>
  <si>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</si>
  <si>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</si>
  <si>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</si>
  <si>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</si>
  <si>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</si>
  <si>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</si>
  <si>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</si>
  <si>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</si>
  <si>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</si>
  <si>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</si>
  <si>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</si>
  <si>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</si>
  <si>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</si>
  <si>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</si>
  <si>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</si>
  <si>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</si>
  <si>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</si>
  <si>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</si>
  <si>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</si>
  <si>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</si>
  <si>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</si>
  <si>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</si>
  <si>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</si>
  <si>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</si>
  <si>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</si>
  <si>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</si>
  <si>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</si>
  <si>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</si>
  <si>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</si>
  <si>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</si>
  <si>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</si>
  <si>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</si>
  <si>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</si>
  <si>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</si>
  <si>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</si>
  <si>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</si>
  <si>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</si>
  <si>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</si>
  <si>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</si>
  <si>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</si>
  <si>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</si>
  <si>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</si>
  <si>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</si>
  <si>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</si>
  <si>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</si>
  <si>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</si>
  <si>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</si>
  <si>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</si>
  <si>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</si>
  <si>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</si>
  <si>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</si>
  <si>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</si>
  <si>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</si>
  <si>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</si>
  <si>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</si>
  <si>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</si>
  <si>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</si>
  <si>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</si>
  <si>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</si>
  <si>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</si>
  <si>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</si>
  <si>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</si>
  <si>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</si>
  <si>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</si>
  <si>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</si>
  <si>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</si>
  <si>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</si>
  <si>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</si>
  <si>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</si>
  <si>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</si>
  <si>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</si>
  <si>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</si>
  <si>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</si>
  <si>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</si>
  <si>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</si>
  <si>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</si>
  <si>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</si>
  <si>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</si>
  <si>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</si>
  <si>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</si>
  <si>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</si>
  <si>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</si>
  <si>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</si>
  <si>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</si>
  <si>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</si>
  <si>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</si>
  <si>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</si>
  <si>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</si>
  <si>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</si>
  <si>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</si>
  <si>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</si>
  <si>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</si>
  <si>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</si>
  <si>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</si>
  <si>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</si>
  <si>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</si>
  <si>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</si>
  <si>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</si>
  <si>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</si>
  <si>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</si>
  <si>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</si>
  <si>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</si>
  <si>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</si>
  <si>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</si>
  <si>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</si>
  <si>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</si>
  <si>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</si>
  <si>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</si>
  <si>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</si>
  <si>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</si>
  <si>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</si>
  <si>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</si>
  <si>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</si>
  <si>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</si>
  <si>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</si>
  <si>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</si>
  <si>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</si>
  <si>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</si>
  <si>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</si>
  <si>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</si>
  <si>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</si>
  <si>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</si>
  <si>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</si>
  <si>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</si>
  <si>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</si>
  <si>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</si>
  <si>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</si>
  <si>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</si>
  <si>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</si>
  <si>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</si>
  <si>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</si>
  <si>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</si>
  <si>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</si>
  <si>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</si>
  <si>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</si>
  <si>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</si>
  <si>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</si>
  <si>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</si>
  <si>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</si>
  <si>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</si>
  <si>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</si>
  <si>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</si>
  <si>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</si>
  <si>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</si>
  <si>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</si>
  <si>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</si>
  <si>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</si>
  <si>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</si>
  <si>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</si>
  <si>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</si>
  <si>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</si>
  <si>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</si>
  <si>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</si>
  <si>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</si>
  <si>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</si>
  <si>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</si>
  <si>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</si>
  <si>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</si>
  <si>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</si>
  <si>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</si>
  <si>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</si>
  <si>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</si>
  <si>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</si>
  <si>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</si>
  <si>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</si>
  <si>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</si>
  <si>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</si>
  <si>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</si>
  <si>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</si>
  <si>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</si>
  <si>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</si>
  <si>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</si>
  <si>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</si>
  <si>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</si>
  <si>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</si>
  <si>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</si>
  <si>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</si>
  <si>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</si>
  <si>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</si>
  <si>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</si>
  <si>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</si>
  <si>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</si>
  <si>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</si>
  <si>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</si>
  <si>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</si>
  <si>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</si>
  <si>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</si>
  <si>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</si>
  <si>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</si>
  <si>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</si>
  <si>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</si>
  <si>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</si>
  <si>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</si>
  <si>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</si>
  <si>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</si>
  <si>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</si>
  <si>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</si>
  <si>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</si>
  <si>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</si>
  <si>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</si>
  <si>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</si>
  <si>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</si>
  <si>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</si>
  <si>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</si>
  <si>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</si>
  <si>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</si>
  <si>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</si>
  <si>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</si>
  <si>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</si>
  <si>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</si>
  <si>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</si>
  <si>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</si>
  <si>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</si>
  <si>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</si>
  <si>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</si>
  <si>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</si>
  <si>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</si>
  <si>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</si>
  <si>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</si>
  <si>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</si>
  <si>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</si>
  <si>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</si>
  <si>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</si>
  <si>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</si>
  <si>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</si>
  <si>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</si>
  <si>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</si>
  <si>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</si>
  <si>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</si>
  <si>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</si>
  <si>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</si>
  <si>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</si>
  <si>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</si>
  <si>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</si>
  <si>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</si>
  <si>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</si>
  <si>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</si>
  <si>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</si>
  <si>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</si>
  <si>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</si>
  <si>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</si>
  <si>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</si>
  <si>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</si>
  <si>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</si>
  <si>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</si>
  <si>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</si>
  <si>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</si>
  <si>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</si>
  <si>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</si>
  <si>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</si>
  <si>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</si>
  <si>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</si>
  <si>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</si>
  <si>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</si>
  <si>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</si>
  <si>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</si>
  <si>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</si>
  <si>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</si>
  <si>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</si>
  <si>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</si>
  <si>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</si>
  <si>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</si>
  <si>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</si>
  <si>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</si>
  <si>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</si>
  <si>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</si>
  <si>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</si>
  <si>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</si>
  <si>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</si>
  <si>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</si>
  <si>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</si>
  <si>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</si>
  <si>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</si>
  <si>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</si>
  <si>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</si>
  <si>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</si>
  <si>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</si>
  <si>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</si>
  <si>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</si>
  <si>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</si>
  <si>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</si>
  <si>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</si>
  <si>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</si>
  <si>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</si>
  <si>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</si>
  <si>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</si>
  <si>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</si>
  <si>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</si>
  <si>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</si>
  <si>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</si>
  <si>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</si>
  <si>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</si>
  <si>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</si>
  <si>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</si>
  <si>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</si>
  <si>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</si>
  <si>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</si>
  <si>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</si>
  <si>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</si>
  <si>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</si>
  <si>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</si>
  <si>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</si>
  <si>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</si>
  <si>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</si>
  <si>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</si>
  <si>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</si>
  <si>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</si>
  <si>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</si>
  <si>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</si>
  <si>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</si>
  <si>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</si>
  <si>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</si>
  <si>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</si>
  <si>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</si>
  <si>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</si>
  <si>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</si>
  <si>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</si>
  <si>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</si>
  <si>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</si>
  <si>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</si>
  <si>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</si>
  <si>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</si>
  <si>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</si>
  <si>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</si>
  <si>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</si>
  <si>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</si>
  <si>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</si>
  <si>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</si>
  <si>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</si>
  <si>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</si>
  <si>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</si>
  <si>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</si>
  <si>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</si>
  <si>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</si>
  <si>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</si>
  <si>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</si>
  <si>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</si>
  <si>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</si>
  <si>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</si>
  <si>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</si>
  <si>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</si>
  <si>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</si>
  <si>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</si>
  <si>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</si>
  <si>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</si>
  <si>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</si>
  <si>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</si>
  <si>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</si>
  <si>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</si>
  <si>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</si>
  <si>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</si>
  <si>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</si>
  <si>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</si>
  <si>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</si>
  <si>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</si>
  <si>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</si>
  <si>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</si>
  <si>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</si>
  <si>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</si>
  <si>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</si>
  <si>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</si>
  <si>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</si>
  <si>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</si>
  <si>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</si>
  <si>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</si>
  <si>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</si>
  <si>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</si>
  <si>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</si>
  <si>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</si>
  <si>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</si>
  <si>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</si>
  <si>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</si>
  <si>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</si>
  <si>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</si>
  <si>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</si>
  <si>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</si>
  <si>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</si>
  <si>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</si>
  <si>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</si>
  <si>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</si>
  <si>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</si>
  <si>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</si>
  <si>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</si>
  <si>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</si>
  <si>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</si>
  <si>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</si>
  <si>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</si>
  <si>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</si>
  <si>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</si>
  <si>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</si>
  <si>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</si>
  <si>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</si>
  <si>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</si>
  <si>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</si>
  <si>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</si>
  <si>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</si>
  <si>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</si>
  <si>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</si>
  <si>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</si>
  <si>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</si>
  <si>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</si>
  <si>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</si>
  <si>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</si>
  <si>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</si>
  <si>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</si>
  <si>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</si>
  <si>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</si>
  <si>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</si>
  <si>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</si>
  <si>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</si>
  <si>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</si>
  <si>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</si>
  <si>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</si>
  <si>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</si>
  <si>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</si>
  <si>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</si>
  <si>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</si>
  <si>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</si>
  <si>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</si>
  <si>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</si>
  <si>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</si>
  <si>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</si>
  <si>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</si>
  <si>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</si>
  <si>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</si>
  <si>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</si>
  <si>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</si>
  <si>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</si>
  <si>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</si>
  <si>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</si>
  <si>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</si>
  <si>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</si>
  <si>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</si>
  <si>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</si>
  <si>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</si>
  <si>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</si>
  <si>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</si>
  <si>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</si>
  <si>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</si>
  <si>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</si>
  <si>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</si>
  <si>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</si>
  <si>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</si>
  <si>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</si>
  <si>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</si>
  <si>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</si>
  <si>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</si>
  <si>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</si>
  <si>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</si>
  <si>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</si>
  <si>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</si>
  <si>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</si>
  <si>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</si>
  <si>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</si>
  <si>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</si>
  <si>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</si>
  <si>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</si>
  <si>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</si>
  <si>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</si>
  <si>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</si>
  <si>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</si>
  <si>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</si>
  <si>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</si>
  <si>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</si>
  <si>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</si>
  <si>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</si>
  <si>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</si>
  <si>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</si>
  <si>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</si>
  <si>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</si>
  <si>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</si>
  <si>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</si>
  <si>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</si>
  <si>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</si>
  <si>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</si>
  <si>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</si>
  <si>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</si>
  <si>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</si>
  <si>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</si>
  <si>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</si>
  <si>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</si>
  <si>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</si>
  <si>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</si>
  <si>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</si>
  <si>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</si>
  <si>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</si>
  <si>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</si>
  <si>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</si>
  <si>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</si>
  <si>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</si>
  <si>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</si>
  <si>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</si>
  <si>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</si>
  <si>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</si>
  <si>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</si>
  <si>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</si>
  <si>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</si>
  <si>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</si>
  <si>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</si>
  <si>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</si>
  <si>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</si>
  <si>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</si>
  <si>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</si>
  <si>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</si>
  <si>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</si>
  <si>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</si>
  <si>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</si>
  <si>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</si>
  <si>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</si>
  <si>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</si>
  <si>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</si>
  <si>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</si>
  <si>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</si>
  <si>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</si>
  <si>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</si>
  <si>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</si>
  <si>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</si>
  <si>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</si>
  <si>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</si>
  <si>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</si>
  <si>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</si>
  <si>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</si>
  <si>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</si>
  <si>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</si>
  <si>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</si>
  <si>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</si>
  <si>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</si>
  <si>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</si>
  <si>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</si>
  <si>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</si>
  <si>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</si>
  <si>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</si>
  <si>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</si>
  <si>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</si>
  <si>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</si>
  <si>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</si>
  <si>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</si>
  <si>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</si>
  <si>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</si>
  <si>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</si>
  <si>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</si>
  <si>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</si>
  <si>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</si>
  <si>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</si>
  <si>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</si>
  <si>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</si>
  <si>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</si>
  <si>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</si>
  <si>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</si>
  <si>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</si>
  <si>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</si>
  <si>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</si>
  <si>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</si>
  <si>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</si>
  <si>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</si>
  <si>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</si>
  <si>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</si>
  <si>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</si>
  <si>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</si>
  <si>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</si>
  <si>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</si>
  <si>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</si>
  <si>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</si>
  <si>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</si>
  <si>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</si>
  <si>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</si>
  <si>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</si>
  <si>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</si>
  <si>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</si>
  <si>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</si>
  <si>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</si>
  <si>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</si>
  <si>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</si>
  <si>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</si>
  <si>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</si>
  <si>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</si>
  <si>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</si>
  <si>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</si>
  <si>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</si>
  <si>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</si>
  <si>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</si>
  <si>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</si>
  <si>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</si>
  <si>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</si>
  <si>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</si>
  <si>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</si>
  <si>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</si>
  <si>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</si>
  <si>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</si>
  <si>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</si>
  <si>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</si>
  <si>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</si>
  <si>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</si>
  <si>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</si>
  <si>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</si>
  <si>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</si>
  <si>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</si>
  <si>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</si>
  <si>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</si>
  <si>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</si>
  <si>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</si>
  <si>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</si>
  <si>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</si>
  <si>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</si>
  <si>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</si>
  <si>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</si>
  <si>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</si>
  <si>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</si>
  <si>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</si>
  <si>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</si>
  <si>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</si>
  <si>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</si>
  <si>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</si>
  <si>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</si>
  <si>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</si>
  <si>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</si>
  <si>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</si>
  <si>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</si>
  <si>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</si>
  <si>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</si>
  <si>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</si>
  <si>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</si>
  <si>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</si>
  <si>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</si>
  <si>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</si>
  <si>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</si>
  <si>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</si>
  <si>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</si>
  <si>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</si>
  <si>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</si>
  <si>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</si>
  <si>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</si>
  <si>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</si>
  <si>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</si>
  <si>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</si>
  <si>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</si>
  <si>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</si>
  <si>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</si>
  <si>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</si>
  <si>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</si>
  <si>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</si>
  <si>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</si>
  <si>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</si>
  <si>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</si>
  <si>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</si>
  <si>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</si>
  <si>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</si>
  <si>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</si>
  <si>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</si>
  <si>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</si>
  <si>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</si>
  <si>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</si>
  <si>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</si>
  <si>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</si>
  <si>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</si>
  <si>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</si>
  <si>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</si>
  <si>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</si>
  <si>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</si>
  <si>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</si>
  <si>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</si>
  <si>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</si>
  <si>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</si>
  <si>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</si>
  <si>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</si>
  <si>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</si>
  <si>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</si>
  <si>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</si>
  <si>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</si>
  <si>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</si>
  <si>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</si>
  <si>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</si>
  <si>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</si>
  <si>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</si>
  <si>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</si>
  <si>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</si>
  <si>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</si>
  <si>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</si>
  <si>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</si>
  <si>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</si>
  <si>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</si>
  <si>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</si>
  <si>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</si>
  <si>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</si>
  <si>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</si>
  <si>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</si>
  <si>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</si>
  <si>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</si>
  <si>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</si>
  <si>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</si>
  <si>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</si>
  <si>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</si>
  <si>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</si>
  <si>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</si>
  <si>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</si>
  <si>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</si>
  <si>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</si>
  <si>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</si>
  <si>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</si>
  <si>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</si>
  <si>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</si>
  <si>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</si>
  <si>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</si>
  <si>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</si>
  <si>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</si>
  <si>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</si>
  <si>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</si>
  <si>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</si>
  <si>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</si>
  <si>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</si>
  <si>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</si>
  <si>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</si>
  <si>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</si>
  <si>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</si>
  <si>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</si>
  <si>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</si>
  <si>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</si>
  <si>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</si>
  <si>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</si>
  <si>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</si>
  <si>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</si>
  <si>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</si>
  <si>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</si>
  <si>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</si>
  <si>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</si>
  <si>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</si>
  <si>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</si>
  <si>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</si>
  <si>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</si>
  <si>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</si>
  <si>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</si>
  <si>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</si>
  <si>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</si>
  <si>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</si>
  <si>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</si>
  <si>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</si>
  <si>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</si>
  <si>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</si>
  <si>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</si>
  <si>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</si>
  <si>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</si>
  <si>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</si>
  <si>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</si>
  <si>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</si>
  <si>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</si>
  <si>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</si>
  <si>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</si>
  <si>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</si>
  <si>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</si>
  <si>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</si>
  <si>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</si>
  <si>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</si>
  <si>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</si>
  <si>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</si>
  <si>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</si>
  <si>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</si>
  <si>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</si>
  <si>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34027</t>
  </si>
  <si>
    <t>MENEN</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</si>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</sst>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6776A84F-4F50-454A-B34C-DF9D913C5B2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246601.99958855062</c:v>
                </c:pt>
                <c:pt idx="1">
                  <c:v>132999.63630347527</c:v>
                </c:pt>
                <c:pt idx="2">
                  <c:v>2136.0120000000002</c:v>
                </c:pt>
                <c:pt idx="3">
                  <c:v>5959.4963074403331</c:v>
                </c:pt>
                <c:pt idx="4">
                  <c:v>129864.86534774651</c:v>
                </c:pt>
                <c:pt idx="5">
                  <c:v>201265.12764650164</c:v>
                </c:pt>
                <c:pt idx="6">
                  <c:v>2211.1390200950214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246601.99958855062</c:v>
                </c:pt>
                <c:pt idx="1">
                  <c:v>132999.63630347527</c:v>
                </c:pt>
                <c:pt idx="2">
                  <c:v>2136.0120000000002</c:v>
                </c:pt>
                <c:pt idx="3">
                  <c:v>5959.4963074403331</c:v>
                </c:pt>
                <c:pt idx="4">
                  <c:v>129864.86534774651</c:v>
                </c:pt>
                <c:pt idx="5">
                  <c:v>201265.12764650164</c:v>
                </c:pt>
                <c:pt idx="6">
                  <c:v>2211.1390200950214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47310.18211240189</c:v>
                </c:pt>
                <c:pt idx="1">
                  <c:v>21593.628780536088</c:v>
                </c:pt>
                <c:pt idx="2">
                  <c:v>369.65372796178485</c:v>
                </c:pt>
                <c:pt idx="3">
                  <c:v>1486.0312367964902</c:v>
                </c:pt>
                <c:pt idx="4">
                  <c:v>25344.773544020871</c:v>
                </c:pt>
                <c:pt idx="5">
                  <c:v>50117.513982914563</c:v>
                </c:pt>
                <c:pt idx="6">
                  <c:v>556.49752870240354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47310.18211240189</c:v>
                </c:pt>
                <c:pt idx="1">
                  <c:v>21593.628780536088</c:v>
                </c:pt>
                <c:pt idx="2">
                  <c:v>369.65372796178485</c:v>
                </c:pt>
                <c:pt idx="3">
                  <c:v>1486.0312367964902</c:v>
                </c:pt>
                <c:pt idx="4">
                  <c:v>25344.773544020871</c:v>
                </c:pt>
                <c:pt idx="5">
                  <c:v>50117.513982914563</c:v>
                </c:pt>
                <c:pt idx="6">
                  <c:v>556.49752870240354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34027</v>
      </c>
      <c r="B6" s="382"/>
      <c r="C6" s="383"/>
    </row>
    <row r="7" spans="1:7" s="380" customFormat="1" ht="15.75" customHeight="1">
      <c r="A7" s="384" t="str">
        <f>txtMunicipality</f>
        <v>MENEN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0.17305788916999756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0.17305788916999756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14329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1456.69</v>
      </c>
      <c r="C14" s="324"/>
      <c r="D14" s="324"/>
      <c r="E14" s="324"/>
      <c r="F14" s="324"/>
    </row>
    <row r="15" spans="1:6">
      <c r="A15" s="1257" t="s">
        <v>177</v>
      </c>
      <c r="B15" s="1258">
        <v>12</v>
      </c>
      <c r="C15" s="324"/>
      <c r="D15" s="324"/>
      <c r="E15" s="324"/>
      <c r="F15" s="324"/>
    </row>
    <row r="16" spans="1:6">
      <c r="A16" s="1257" t="s">
        <v>6</v>
      </c>
      <c r="B16" s="1258">
        <v>503</v>
      </c>
      <c r="C16" s="324"/>
      <c r="D16" s="324"/>
      <c r="E16" s="324"/>
      <c r="F16" s="324"/>
    </row>
    <row r="17" spans="1:6">
      <c r="A17" s="1257" t="s">
        <v>7</v>
      </c>
      <c r="B17" s="1258">
        <v>312</v>
      </c>
      <c r="C17" s="324"/>
      <c r="D17" s="324"/>
      <c r="E17" s="324"/>
      <c r="F17" s="324"/>
    </row>
    <row r="18" spans="1:6">
      <c r="A18" s="1257" t="s">
        <v>8</v>
      </c>
      <c r="B18" s="1258">
        <v>406</v>
      </c>
      <c r="C18" s="324"/>
      <c r="D18" s="324"/>
      <c r="E18" s="324"/>
      <c r="F18" s="324"/>
    </row>
    <row r="19" spans="1:6">
      <c r="A19" s="1257" t="s">
        <v>9</v>
      </c>
      <c r="B19" s="1258">
        <v>388</v>
      </c>
      <c r="C19" s="324"/>
      <c r="D19" s="324"/>
      <c r="E19" s="324"/>
      <c r="F19" s="324"/>
    </row>
    <row r="20" spans="1:6">
      <c r="A20" s="1257" t="s">
        <v>10</v>
      </c>
      <c r="B20" s="1258">
        <v>473</v>
      </c>
      <c r="C20" s="324"/>
      <c r="D20" s="324"/>
      <c r="E20" s="324"/>
      <c r="F20" s="324"/>
    </row>
    <row r="21" spans="1:6">
      <c r="A21" s="1257" t="s">
        <v>11</v>
      </c>
      <c r="B21" s="1258">
        <v>2767</v>
      </c>
      <c r="C21" s="324"/>
      <c r="D21" s="324"/>
      <c r="E21" s="324"/>
      <c r="F21" s="324"/>
    </row>
    <row r="22" spans="1:6">
      <c r="A22" s="1257" t="s">
        <v>12</v>
      </c>
      <c r="B22" s="1258">
        <v>7782</v>
      </c>
      <c r="C22" s="324"/>
      <c r="D22" s="324"/>
      <c r="E22" s="324"/>
      <c r="F22" s="324"/>
    </row>
    <row r="23" spans="1:6">
      <c r="A23" s="1257" t="s">
        <v>13</v>
      </c>
      <c r="B23" s="1258">
        <v>82</v>
      </c>
      <c r="C23" s="324"/>
      <c r="D23" s="324"/>
      <c r="E23" s="324"/>
      <c r="F23" s="324"/>
    </row>
    <row r="24" spans="1:6">
      <c r="A24" s="1257" t="s">
        <v>14</v>
      </c>
      <c r="B24" s="1258">
        <v>4</v>
      </c>
      <c r="C24" s="324"/>
      <c r="D24" s="324"/>
      <c r="E24" s="324"/>
      <c r="F24" s="324"/>
    </row>
    <row r="25" spans="1:6">
      <c r="A25" s="1257" t="s">
        <v>15</v>
      </c>
      <c r="B25" s="1258">
        <v>694</v>
      </c>
      <c r="C25" s="324"/>
      <c r="D25" s="324"/>
      <c r="E25" s="324"/>
      <c r="F25" s="324"/>
    </row>
    <row r="26" spans="1:6">
      <c r="A26" s="1257" t="s">
        <v>16</v>
      </c>
      <c r="B26" s="1258">
        <v>135</v>
      </c>
      <c r="C26" s="324"/>
      <c r="D26" s="324"/>
      <c r="E26" s="324"/>
      <c r="F26" s="324"/>
    </row>
    <row r="27" spans="1:6">
      <c r="A27" s="1257" t="s">
        <v>17</v>
      </c>
      <c r="B27" s="1258">
        <v>0</v>
      </c>
      <c r="C27" s="324"/>
      <c r="D27" s="324"/>
      <c r="E27" s="324"/>
      <c r="F27" s="324"/>
    </row>
    <row r="28" spans="1:6">
      <c r="A28" s="1257" t="s">
        <v>18</v>
      </c>
      <c r="B28" s="1259">
        <v>136138</v>
      </c>
      <c r="C28" s="324"/>
      <c r="D28" s="324"/>
      <c r="E28" s="324"/>
      <c r="F28" s="324"/>
    </row>
    <row r="29" spans="1:6">
      <c r="A29" s="1257" t="s">
        <v>664</v>
      </c>
      <c r="B29" s="1259">
        <v>103</v>
      </c>
      <c r="C29" s="324"/>
      <c r="D29" s="324"/>
      <c r="E29" s="324"/>
      <c r="F29" s="324"/>
    </row>
    <row r="30" spans="1:6">
      <c r="A30" s="1252" t="s">
        <v>665</v>
      </c>
      <c r="B30" s="1260">
        <v>8</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3</v>
      </c>
      <c r="F38" s="1258">
        <v>17513.773000000001</v>
      </c>
    </row>
    <row r="39" spans="1:6">
      <c r="A39" s="1257" t="s">
        <v>29</v>
      </c>
      <c r="B39" s="1257" t="s">
        <v>30</v>
      </c>
      <c r="C39" s="1258">
        <v>12327</v>
      </c>
      <c r="D39" s="1258">
        <v>161357492.90000001</v>
      </c>
      <c r="E39" s="1258">
        <v>14216</v>
      </c>
      <c r="F39" s="1258">
        <v>41839129.469999999</v>
      </c>
    </row>
    <row r="40" spans="1:6">
      <c r="A40" s="1257" t="s">
        <v>29</v>
      </c>
      <c r="B40" s="1257" t="s">
        <v>28</v>
      </c>
      <c r="C40" s="1258">
        <v>1</v>
      </c>
      <c r="D40" s="1258">
        <v>9498.3449999999993</v>
      </c>
      <c r="E40" s="1258">
        <v>1</v>
      </c>
      <c r="F40" s="1258">
        <v>2238.7330000000002</v>
      </c>
    </row>
    <row r="41" spans="1:6">
      <c r="A41" s="1257" t="s">
        <v>31</v>
      </c>
      <c r="B41" s="1257" t="s">
        <v>32</v>
      </c>
      <c r="C41" s="1258">
        <v>189</v>
      </c>
      <c r="D41" s="1258">
        <v>3497411.76</v>
      </c>
      <c r="E41" s="1258">
        <v>341</v>
      </c>
      <c r="F41" s="1258">
        <v>13149451.869999999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6</v>
      </c>
      <c r="D44" s="1258">
        <v>123620.72199999999</v>
      </c>
      <c r="E44" s="1258">
        <v>33</v>
      </c>
      <c r="F44" s="1258">
        <v>576988.96699999995</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4</v>
      </c>
      <c r="D47" s="1258">
        <v>84866.797999999995</v>
      </c>
      <c r="E47" s="1258">
        <v>4</v>
      </c>
      <c r="F47" s="1258">
        <v>18689.147000000001</v>
      </c>
    </row>
    <row r="48" spans="1:6">
      <c r="A48" s="1257" t="s">
        <v>31</v>
      </c>
      <c r="B48" s="1257" t="s">
        <v>28</v>
      </c>
      <c r="C48" s="1258">
        <v>48</v>
      </c>
      <c r="D48" s="1258">
        <v>55738631.520000003</v>
      </c>
      <c r="E48" s="1258">
        <v>52</v>
      </c>
      <c r="F48" s="1258">
        <v>23610241.59</v>
      </c>
    </row>
    <row r="49" spans="1:6">
      <c r="A49" s="1257" t="s">
        <v>31</v>
      </c>
      <c r="B49" s="1257" t="s">
        <v>39</v>
      </c>
      <c r="C49" s="1258">
        <v>4</v>
      </c>
      <c r="D49" s="1258">
        <v>811533.32299999997</v>
      </c>
      <c r="E49" s="1258">
        <v>12</v>
      </c>
      <c r="F49" s="1258">
        <v>1662657.3589999999</v>
      </c>
    </row>
    <row r="50" spans="1:6">
      <c r="A50" s="1257" t="s">
        <v>31</v>
      </c>
      <c r="B50" s="1257" t="s">
        <v>40</v>
      </c>
      <c r="C50" s="1258">
        <v>96</v>
      </c>
      <c r="D50" s="1258">
        <v>13278760.09</v>
      </c>
      <c r="E50" s="1258">
        <v>172</v>
      </c>
      <c r="F50" s="1258">
        <v>8241172.477</v>
      </c>
    </row>
    <row r="51" spans="1:6">
      <c r="A51" s="1257" t="s">
        <v>41</v>
      </c>
      <c r="B51" s="1257" t="s">
        <v>42</v>
      </c>
      <c r="C51" s="1258">
        <v>5</v>
      </c>
      <c r="D51" s="1258">
        <v>108215.02499999999</v>
      </c>
      <c r="E51" s="1258">
        <v>59</v>
      </c>
      <c r="F51" s="1258">
        <v>1067708.1769999999</v>
      </c>
    </row>
    <row r="52" spans="1:6">
      <c r="A52" s="1257" t="s">
        <v>41</v>
      </c>
      <c r="B52" s="1257" t="s">
        <v>28</v>
      </c>
      <c r="C52" s="1258">
        <v>9</v>
      </c>
      <c r="D52" s="1258">
        <v>294426.70500000002</v>
      </c>
      <c r="E52" s="1258">
        <v>10</v>
      </c>
      <c r="F52" s="1258">
        <v>83299.991999999998</v>
      </c>
    </row>
    <row r="53" spans="1:6">
      <c r="A53" s="1257" t="s">
        <v>43</v>
      </c>
      <c r="B53" s="1257" t="s">
        <v>44</v>
      </c>
      <c r="C53" s="1258">
        <v>323</v>
      </c>
      <c r="D53" s="1258">
        <v>4325174.3</v>
      </c>
      <c r="E53" s="1258">
        <v>491</v>
      </c>
      <c r="F53" s="1258">
        <v>1205636.2139999999</v>
      </c>
    </row>
    <row r="54" spans="1:6">
      <c r="A54" s="1257" t="s">
        <v>45</v>
      </c>
      <c r="B54" s="1257" t="s">
        <v>46</v>
      </c>
      <c r="C54" s="1258">
        <v>0</v>
      </c>
      <c r="D54" s="1258">
        <v>0</v>
      </c>
      <c r="E54" s="1258">
        <v>1</v>
      </c>
      <c r="F54" s="1258">
        <v>2136012</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115</v>
      </c>
      <c r="D57" s="1258">
        <v>6443375.926</v>
      </c>
      <c r="E57" s="1258">
        <v>172</v>
      </c>
      <c r="F57" s="1258">
        <v>6029604.7280000001</v>
      </c>
    </row>
    <row r="58" spans="1:6">
      <c r="A58" s="1257" t="s">
        <v>48</v>
      </c>
      <c r="B58" s="1257" t="s">
        <v>50</v>
      </c>
      <c r="C58" s="1258">
        <v>144</v>
      </c>
      <c r="D58" s="1258">
        <v>14177614</v>
      </c>
      <c r="E58" s="1258">
        <v>160</v>
      </c>
      <c r="F58" s="1258">
        <v>6627383.7910000002</v>
      </c>
    </row>
    <row r="59" spans="1:6">
      <c r="A59" s="1257" t="s">
        <v>48</v>
      </c>
      <c r="B59" s="1257" t="s">
        <v>51</v>
      </c>
      <c r="C59" s="1258">
        <v>358</v>
      </c>
      <c r="D59" s="1258">
        <v>9037352.0010000002</v>
      </c>
      <c r="E59" s="1258">
        <v>558</v>
      </c>
      <c r="F59" s="1258">
        <v>14648593.75</v>
      </c>
    </row>
    <row r="60" spans="1:6">
      <c r="A60" s="1257" t="s">
        <v>48</v>
      </c>
      <c r="B60" s="1257" t="s">
        <v>52</v>
      </c>
      <c r="C60" s="1258">
        <v>144</v>
      </c>
      <c r="D60" s="1258">
        <v>4417228.1780000003</v>
      </c>
      <c r="E60" s="1258">
        <v>174</v>
      </c>
      <c r="F60" s="1258">
        <v>3129992.7340000002</v>
      </c>
    </row>
    <row r="61" spans="1:6">
      <c r="A61" s="1257" t="s">
        <v>48</v>
      </c>
      <c r="B61" s="1257" t="s">
        <v>53</v>
      </c>
      <c r="C61" s="1258">
        <v>315</v>
      </c>
      <c r="D61" s="1258">
        <v>6809702.6459999997</v>
      </c>
      <c r="E61" s="1258">
        <v>557</v>
      </c>
      <c r="F61" s="1258">
        <v>13142920.470000001</v>
      </c>
    </row>
    <row r="62" spans="1:6">
      <c r="A62" s="1257" t="s">
        <v>48</v>
      </c>
      <c r="B62" s="1257" t="s">
        <v>54</v>
      </c>
      <c r="C62" s="1258">
        <v>29</v>
      </c>
      <c r="D62" s="1258">
        <v>3526417.7889999999</v>
      </c>
      <c r="E62" s="1258">
        <v>29</v>
      </c>
      <c r="F62" s="1258">
        <v>1085035.4909999999</v>
      </c>
    </row>
    <row r="63" spans="1:6">
      <c r="A63" s="1257" t="s">
        <v>48</v>
      </c>
      <c r="B63" s="1257" t="s">
        <v>28</v>
      </c>
      <c r="C63" s="1258">
        <v>97</v>
      </c>
      <c r="D63" s="1258">
        <v>3733520.202</v>
      </c>
      <c r="E63" s="1258">
        <v>80</v>
      </c>
      <c r="F63" s="1258">
        <v>1726644.162</v>
      </c>
    </row>
    <row r="64" spans="1:6">
      <c r="A64" s="1257" t="s">
        <v>55</v>
      </c>
      <c r="B64" s="1257" t="s">
        <v>56</v>
      </c>
      <c r="C64" s="1258">
        <v>0</v>
      </c>
      <c r="D64" s="1258">
        <v>0</v>
      </c>
      <c r="E64" s="1258">
        <v>0</v>
      </c>
      <c r="F64" s="1258">
        <v>0</v>
      </c>
    </row>
    <row r="65" spans="1:6">
      <c r="A65" s="1257" t="s">
        <v>55</v>
      </c>
      <c r="B65" s="1257" t="s">
        <v>28</v>
      </c>
      <c r="C65" s="1258">
        <v>1</v>
      </c>
      <c r="D65" s="1258">
        <v>63919.832000000002</v>
      </c>
      <c r="E65" s="1258">
        <v>4</v>
      </c>
      <c r="F65" s="1258">
        <v>41258.076999999997</v>
      </c>
    </row>
    <row r="66" spans="1:6">
      <c r="A66" s="1257" t="s">
        <v>55</v>
      </c>
      <c r="B66" s="1257" t="s">
        <v>57</v>
      </c>
      <c r="C66" s="1258">
        <v>0</v>
      </c>
      <c r="D66" s="1258">
        <v>0</v>
      </c>
      <c r="E66" s="1258">
        <v>16</v>
      </c>
      <c r="F66" s="1258">
        <v>689157.80099999998</v>
      </c>
    </row>
    <row r="67" spans="1:6">
      <c r="A67" s="1257" t="s">
        <v>55</v>
      </c>
      <c r="B67" s="1257" t="s">
        <v>58</v>
      </c>
      <c r="C67" s="1258">
        <v>0</v>
      </c>
      <c r="D67" s="1258">
        <v>0</v>
      </c>
      <c r="E67" s="1258">
        <v>0</v>
      </c>
      <c r="F67" s="1258">
        <v>0</v>
      </c>
    </row>
    <row r="68" spans="1:6">
      <c r="A68" s="1252" t="s">
        <v>55</v>
      </c>
      <c r="B68" s="1252" t="s">
        <v>59</v>
      </c>
      <c r="C68" s="1260">
        <v>19</v>
      </c>
      <c r="D68" s="1260">
        <v>624635.91599999997</v>
      </c>
      <c r="E68" s="1260">
        <v>37</v>
      </c>
      <c r="F68" s="1260">
        <v>1319436.3799999999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90536437</v>
      </c>
      <c r="E73" s="442"/>
      <c r="F73" s="324"/>
    </row>
    <row r="74" spans="1:6">
      <c r="A74" s="1257" t="s">
        <v>63</v>
      </c>
      <c r="B74" s="1257" t="s">
        <v>608</v>
      </c>
      <c r="C74" s="1270" t="s">
        <v>610</v>
      </c>
      <c r="D74" s="1258">
        <v>6977959.5</v>
      </c>
      <c r="E74" s="442"/>
      <c r="F74" s="324"/>
    </row>
    <row r="75" spans="1:6">
      <c r="A75" s="1257" t="s">
        <v>64</v>
      </c>
      <c r="B75" s="1257" t="s">
        <v>607</v>
      </c>
      <c r="C75" s="1270" t="s">
        <v>611</v>
      </c>
      <c r="D75" s="1258">
        <v>29053965</v>
      </c>
      <c r="E75" s="442"/>
      <c r="F75" s="324"/>
    </row>
    <row r="76" spans="1:6">
      <c r="A76" s="1257" t="s">
        <v>64</v>
      </c>
      <c r="B76" s="1257" t="s">
        <v>608</v>
      </c>
      <c r="C76" s="1270" t="s">
        <v>612</v>
      </c>
      <c r="D76" s="1258">
        <v>1066289.5</v>
      </c>
      <c r="E76" s="442"/>
      <c r="F76" s="324"/>
    </row>
    <row r="77" spans="1:6">
      <c r="A77" s="1257" t="s">
        <v>65</v>
      </c>
      <c r="B77" s="1257" t="s">
        <v>607</v>
      </c>
      <c r="C77" s="1270" t="s">
        <v>613</v>
      </c>
      <c r="D77" s="1258">
        <v>76363703</v>
      </c>
      <c r="E77" s="442"/>
      <c r="F77" s="324"/>
    </row>
    <row r="78" spans="1:6">
      <c r="A78" s="1252" t="s">
        <v>65</v>
      </c>
      <c r="B78" s="1252" t="s">
        <v>608</v>
      </c>
      <c r="C78" s="1252" t="s">
        <v>614</v>
      </c>
      <c r="D78" s="1260">
        <v>16910210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605897</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8136.854075276764</v>
      </c>
      <c r="C90" s="324"/>
      <c r="D90" s="324"/>
      <c r="E90" s="324"/>
      <c r="F90" s="324"/>
    </row>
    <row r="91" spans="1:6">
      <c r="A91" s="1257" t="s">
        <v>67</v>
      </c>
      <c r="B91" s="1258">
        <v>5370.2058286968368</v>
      </c>
      <c r="C91" s="324"/>
      <c r="D91" s="324"/>
      <c r="E91" s="324"/>
      <c r="F91" s="324"/>
    </row>
    <row r="92" spans="1:6">
      <c r="A92" s="1252" t="s">
        <v>68</v>
      </c>
      <c r="B92" s="1253">
        <v>7038.6601166758837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9352</v>
      </c>
      <c r="C97" s="324"/>
      <c r="D97" s="324"/>
      <c r="E97" s="324"/>
      <c r="F97" s="324"/>
    </row>
    <row r="98" spans="1:6">
      <c r="A98" s="1257" t="s">
        <v>71</v>
      </c>
      <c r="B98" s="1258">
        <v>4</v>
      </c>
      <c r="C98" s="324"/>
      <c r="D98" s="324"/>
      <c r="E98" s="324"/>
      <c r="F98" s="324"/>
    </row>
    <row r="99" spans="1:6">
      <c r="A99" s="1257" t="s">
        <v>72</v>
      </c>
      <c r="B99" s="1258">
        <v>84</v>
      </c>
      <c r="C99" s="324"/>
      <c r="D99" s="324"/>
      <c r="E99" s="324"/>
      <c r="F99" s="324"/>
    </row>
    <row r="100" spans="1:6">
      <c r="A100" s="1257" t="s">
        <v>73</v>
      </c>
      <c r="B100" s="1258">
        <v>634</v>
      </c>
      <c r="C100" s="324"/>
      <c r="D100" s="324"/>
      <c r="E100" s="324"/>
      <c r="F100" s="324"/>
    </row>
    <row r="101" spans="1:6">
      <c r="A101" s="1257" t="s">
        <v>74</v>
      </c>
      <c r="B101" s="1258">
        <v>133</v>
      </c>
      <c r="C101" s="324"/>
      <c r="D101" s="324"/>
      <c r="E101" s="324"/>
      <c r="F101" s="324"/>
    </row>
    <row r="102" spans="1:6">
      <c r="A102" s="1257" t="s">
        <v>75</v>
      </c>
      <c r="B102" s="1258">
        <v>247</v>
      </c>
      <c r="C102" s="324"/>
      <c r="D102" s="324"/>
      <c r="E102" s="324"/>
      <c r="F102" s="324"/>
    </row>
    <row r="103" spans="1:6">
      <c r="A103" s="1257" t="s">
        <v>76</v>
      </c>
      <c r="B103" s="1258">
        <v>504</v>
      </c>
      <c r="C103" s="324"/>
      <c r="D103" s="324"/>
      <c r="E103" s="324"/>
      <c r="F103" s="324"/>
    </row>
    <row r="104" spans="1:6">
      <c r="A104" s="1257" t="s">
        <v>77</v>
      </c>
      <c r="B104" s="1258">
        <v>2008</v>
      </c>
      <c r="C104" s="324"/>
      <c r="D104" s="324"/>
      <c r="E104" s="324"/>
      <c r="F104" s="324"/>
    </row>
    <row r="105" spans="1:6">
      <c r="A105" s="1252" t="s">
        <v>78</v>
      </c>
      <c r="B105" s="1260">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19</v>
      </c>
      <c r="C123" s="1258">
        <v>20</v>
      </c>
      <c r="D123" s="324"/>
      <c r="E123" s="324"/>
      <c r="F123" s="324"/>
    </row>
    <row r="124" spans="1:6">
      <c r="A124" s="1257" t="s">
        <v>88</v>
      </c>
      <c r="B124" s="1258">
        <v>2</v>
      </c>
      <c r="C124" s="1258">
        <v>2</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219</v>
      </c>
      <c r="C129" s="324"/>
      <c r="D129" s="324"/>
      <c r="E129" s="324"/>
      <c r="F129" s="324"/>
    </row>
    <row r="130" spans="1:6">
      <c r="A130" s="1257" t="s">
        <v>283</v>
      </c>
      <c r="B130" s="1258">
        <v>3</v>
      </c>
      <c r="C130" s="324"/>
      <c r="D130" s="324"/>
      <c r="E130" s="324"/>
      <c r="F130" s="324"/>
    </row>
    <row r="131" spans="1:6">
      <c r="A131" s="1257" t="s">
        <v>284</v>
      </c>
      <c r="B131" s="1258">
        <v>2</v>
      </c>
      <c r="C131" s="324"/>
      <c r="D131" s="324"/>
      <c r="E131" s="324"/>
      <c r="F131" s="324"/>
    </row>
    <row r="132" spans="1:6">
      <c r="A132" s="1252" t="s">
        <v>285</v>
      </c>
      <c r="B132" s="1253">
        <v>11</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159679.62177778708</v>
      </c>
      <c r="C3" s="43" t="s">
        <v>163</v>
      </c>
      <c r="D3" s="43"/>
      <c r="E3" s="153"/>
      <c r="F3" s="43"/>
      <c r="G3" s="43"/>
      <c r="H3" s="43"/>
      <c r="I3" s="43"/>
      <c r="J3" s="43"/>
      <c r="K3" s="96"/>
    </row>
    <row r="4" spans="1:11">
      <c r="A4" s="350" t="s">
        <v>164</v>
      </c>
      <c r="B4" s="49">
        <f>IF(ISERROR('SEAP template'!B78+'SEAP template'!C78),0,'SEAP template'!B78+'SEAP template'!C78)</f>
        <v>34639.720020649482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0.17305788916999756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20134.285714285714</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2136.0120000000002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2136.0120000000002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0.17305788916999756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369.65372796178485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41841.368202999998</v>
      </c>
      <c r="C5" s="17">
        <f>IF(ISERROR('Eigen informatie GS &amp; warmtenet'!B59),0,'Eigen informatie GS &amp; warmtenet'!B59)</f>
        <v>0</v>
      </c>
      <c r="D5" s="30">
        <f>(SUM(HH_hh_gas_kWh,HH_rest_gas_kWh)/1000)*0.902</f>
        <v>145553.02610299003</v>
      </c>
      <c r="E5" s="17">
        <f>B32*B41</f>
        <v>1803.329106336744</v>
      </c>
      <c r="F5" s="17">
        <f>B36*B45</f>
        <v>34703.802940964415</v>
      </c>
      <c r="G5" s="18"/>
      <c r="H5" s="17"/>
      <c r="I5" s="17"/>
      <c r="J5" s="17">
        <f>B35*B44+C35*C44</f>
        <v>177.58305339953353</v>
      </c>
      <c r="K5" s="17"/>
      <c r="L5" s="17"/>
      <c r="M5" s="17"/>
      <c r="N5" s="17">
        <f>B34*B43+C34*C43</f>
        <v>16337.463724444844</v>
      </c>
      <c r="O5" s="17">
        <f>B52*B53*B54</f>
        <v>478.13393087227462</v>
      </c>
      <c r="P5" s="17">
        <f>B60*B61*B62/1000-B60*B61*B62/1000/B63</f>
        <v>337.08669784592075</v>
      </c>
    </row>
    <row r="6" spans="1:16">
      <c r="A6" s="16" t="s">
        <v>573</v>
      </c>
      <c r="B6" s="738">
        <f>kWh_PV_kleiner_dan_10kW</f>
        <v>5370.2058286968368</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47211.574031696837</v>
      </c>
      <c r="C8" s="21">
        <f>C5</f>
        <v>0</v>
      </c>
      <c r="D8" s="21">
        <f>D5</f>
        <v>145553.02610299003</v>
      </c>
      <c r="E8" s="21">
        <f>E5</f>
        <v>1803.329106336744</v>
      </c>
      <c r="F8" s="21">
        <f>F5</f>
        <v>34703.802940964415</v>
      </c>
      <c r="G8" s="21"/>
      <c r="H8" s="21"/>
      <c r="I8" s="21"/>
      <c r="J8" s="21">
        <f>J5</f>
        <v>177.58305339953353</v>
      </c>
      <c r="K8" s="21"/>
      <c r="L8" s="21">
        <f>L5</f>
        <v>0</v>
      </c>
      <c r="M8" s="21">
        <f>M5</f>
        <v>0</v>
      </c>
      <c r="N8" s="21">
        <f>N5</f>
        <v>16337.463724444844</v>
      </c>
      <c r="O8" s="21">
        <f>O5</f>
        <v>478.13393087227462</v>
      </c>
      <c r="P8" s="21">
        <f>P5</f>
        <v>337.08669784592075</v>
      </c>
    </row>
    <row r="9" spans="1:16">
      <c r="B9" s="19"/>
      <c r="C9" s="19"/>
      <c r="D9" s="255"/>
      <c r="E9" s="19"/>
      <c r="F9" s="19"/>
      <c r="G9" s="19"/>
      <c r="H9" s="19"/>
      <c r="I9" s="19"/>
      <c r="J9" s="19"/>
      <c r="K9" s="19"/>
      <c r="L9" s="19"/>
      <c r="M9" s="19"/>
      <c r="N9" s="19"/>
      <c r="O9" s="19"/>
      <c r="P9" s="19"/>
    </row>
    <row r="10" spans="1:16">
      <c r="A10" s="24" t="s">
        <v>207</v>
      </c>
      <c r="B10" s="25">
        <f ca="1">'EF ele_warmte'!B12</f>
        <v>0.17305788916999756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8170.3353463185258</v>
      </c>
      <c r="C12" s="23">
        <f ca="1">C10*C8</f>
        <v>0</v>
      </c>
      <c r="D12" s="23">
        <f>D8*D10</f>
        <v>29401.711272803987</v>
      </c>
      <c r="E12" s="23">
        <f>E10*E8</f>
        <v>409.35570713844089</v>
      </c>
      <c r="F12" s="23">
        <f>F10*F8</f>
        <v>9265.9153852375002</v>
      </c>
      <c r="G12" s="23"/>
      <c r="H12" s="23"/>
      <c r="I12" s="23"/>
      <c r="J12" s="23">
        <f>J10*J8</f>
        <v>62.864400903434863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14329</v>
      </c>
      <c r="C26" s="36"/>
      <c r="D26" s="225"/>
    </row>
    <row r="27" spans="1:7" s="15" customFormat="1">
      <c r="A27" s="227" t="s">
        <v>774</v>
      </c>
      <c r="B27" s="37">
        <f>SUM(HH_hh_gas_aantal,HH_rest_gas_aantal)</f>
        <v>12328</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11711.6</v>
      </c>
      <c r="C31" s="165" t="s">
        <v>104</v>
      </c>
      <c r="D31" s="230"/>
      <c r="G31" s="15"/>
    </row>
    <row r="32" spans="1:7">
      <c r="A32" s="168" t="s">
        <v>72</v>
      </c>
      <c r="B32" s="165">
        <f>IF((B21*($B$26-($B$27-0.05*$B$27)-$B$60))&lt;0,0,B21*($B$26-($B$27-0.05*$B$27)-$B$60))</f>
        <v>29.145646815511359</v>
      </c>
      <c r="C32" s="165" t="s">
        <v>104</v>
      </c>
      <c r="D32" s="230"/>
      <c r="G32" s="15"/>
    </row>
    <row r="33" spans="1:7">
      <c r="A33" s="168" t="s">
        <v>73</v>
      </c>
      <c r="B33" s="165">
        <f>IF((B22*($B$26-($B$27-0.05*$B$27)-$B$60))&lt;0,0,B22*($B$26-($B$27-0.05*$B$27)-$B$60))</f>
        <v>605.96247291342183</v>
      </c>
      <c r="C33" s="165" t="s">
        <v>104</v>
      </c>
      <c r="D33" s="230"/>
      <c r="G33" s="15"/>
    </row>
    <row r="34" spans="1:7">
      <c r="A34" s="168" t="s">
        <v>74</v>
      </c>
      <c r="B34" s="165">
        <f>IF((B24*($B$26-($B$27-0.05*$B$27)-$B$60))&lt;0,0,B24*($B$26-($B$27-0.05*$B$27)-$B$60))</f>
        <v>255.86408583285996</v>
      </c>
      <c r="C34" s="165">
        <f>B26*C24</f>
        <v>2472.6474582838546</v>
      </c>
      <c r="D34" s="230"/>
      <c r="G34" s="15"/>
    </row>
    <row r="35" spans="1:7">
      <c r="A35" s="168" t="s">
        <v>76</v>
      </c>
      <c r="B35" s="165">
        <f>IF((B19*($B$26-($B$27-0.05*$B$27)-$B$60))&lt;0,0,B19*($B$26-($B$27-0.05*$B$27)-$B$60))</f>
        <v>22.060111844500224</v>
      </c>
      <c r="C35" s="165">
        <f>B35/2</f>
        <v>11.030055922250112</v>
      </c>
      <c r="D35" s="231"/>
      <c r="G35" s="15"/>
    </row>
    <row r="36" spans="1:7">
      <c r="A36" s="168" t="s">
        <v>77</v>
      </c>
      <c r="B36" s="165">
        <f>IF((B18*($B$26-($B$27-0.05*$B$27)-$B$60))&lt;0,0,B18*($B$26-($B$27-0.05*$B$27)-$B$60))</f>
        <v>1672.3676825937061</v>
      </c>
      <c r="C36" s="165" t="s">
        <v>104</v>
      </c>
      <c r="D36" s="231"/>
      <c r="G36" s="15"/>
    </row>
    <row r="37" spans="1:7">
      <c r="A37" s="168" t="s">
        <v>78</v>
      </c>
      <c r="B37" s="165">
        <f>B60</f>
        <v>32</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241</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32</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46390.175125999995</v>
      </c>
      <c r="C5" s="17">
        <f>IF(ISERROR('Eigen informatie GS &amp; warmtenet'!B60),0,'Eigen informatie GS &amp; warmtenet'!B60)</f>
        <v>0</v>
      </c>
      <c r="D5" s="30">
        <f>SUM(D6:D12)</f>
        <v>43426.980089283999</v>
      </c>
      <c r="E5" s="17">
        <f>SUM(E6:E12)</f>
        <v>117.04813333285165</v>
      </c>
      <c r="F5" s="17">
        <f>SUM(F6:F12)</f>
        <v>8717.3140410147262</v>
      </c>
      <c r="G5" s="18"/>
      <c r="H5" s="17"/>
      <c r="I5" s="17"/>
      <c r="J5" s="17">
        <f>SUM(J6:J12)</f>
        <v>6.3140647452411616E-2</v>
      </c>
      <c r="K5" s="17"/>
      <c r="L5" s="17"/>
      <c r="M5" s="17"/>
      <c r="N5" s="17">
        <f>SUM(N6:N12)</f>
        <v>2364.426192863406</v>
      </c>
      <c r="O5" s="17">
        <f>B38*B39*B40</f>
        <v>14.691782297523464</v>
      </c>
      <c r="P5" s="17">
        <f>B46*B47*B48/1000-B46*B47*B48/1000/B49</f>
        <v>105.07827661299004</v>
      </c>
      <c r="R5" s="32"/>
    </row>
    <row r="6" spans="1:18">
      <c r="A6" s="32" t="s">
        <v>53</v>
      </c>
      <c r="B6" s="37">
        <f>B26</f>
        <v>13142.920470000001</v>
      </c>
      <c r="C6" s="33"/>
      <c r="D6" s="37">
        <f>IF(ISERROR(TER_kantoor_gas_kWh/1000),0,TER_kantoor_gas_kWh/1000)*0.902</f>
        <v>6142.3517866920001</v>
      </c>
      <c r="E6" s="33">
        <f>$C$26*'E Balans VL '!I12/100/3.6*1000000</f>
        <v>3.431993391591365</v>
      </c>
      <c r="F6" s="33">
        <f>$C$26*('E Balans VL '!L12+'E Balans VL '!N12)/100/3.6*1000000</f>
        <v>1313.1906573995116</v>
      </c>
      <c r="G6" s="34"/>
      <c r="H6" s="33"/>
      <c r="I6" s="33"/>
      <c r="J6" s="33">
        <f>$C$26*('E Balans VL '!D12+'E Balans VL '!E12)/100/3.6*1000000</f>
        <v>0</v>
      </c>
      <c r="K6" s="33"/>
      <c r="L6" s="33"/>
      <c r="M6" s="33"/>
      <c r="N6" s="33">
        <f>$C$26*'E Balans VL '!Y12/100/3.6*1000000</f>
        <v>9.318262066590437</v>
      </c>
      <c r="O6" s="33"/>
      <c r="P6" s="33"/>
      <c r="R6" s="32"/>
    </row>
    <row r="7" spans="1:18">
      <c r="A7" s="32" t="s">
        <v>52</v>
      </c>
      <c r="B7" s="37">
        <f t="shared" ref="B7:B12" si="0">B27</f>
        <v>3129.9927340000004</v>
      </c>
      <c r="C7" s="33"/>
      <c r="D7" s="37">
        <f>IF(ISERROR(TER_horeca_gas_kWh/1000),0,TER_horeca_gas_kWh/1000)*0.902</f>
        <v>3984.3398165560002</v>
      </c>
      <c r="E7" s="33">
        <f>$C$27*'E Balans VL '!I9/100/3.6*1000000</f>
        <v>0</v>
      </c>
      <c r="F7" s="33">
        <f>$C$27*('E Balans VL '!L9+'E Balans VL '!N9)/100/3.6*1000000</f>
        <v>257.05526056109557</v>
      </c>
      <c r="G7" s="34"/>
      <c r="H7" s="33"/>
      <c r="I7" s="33"/>
      <c r="J7" s="33">
        <f>$C$27*('E Balans VL '!D9+'E Balans VL '!E9)/100/3.6*1000000</f>
        <v>0</v>
      </c>
      <c r="K7" s="33"/>
      <c r="L7" s="33"/>
      <c r="M7" s="33"/>
      <c r="N7" s="33">
        <f>$C$27*'E Balans VL '!Y9/100/3.6*1000000</f>
        <v>39.553944752941611</v>
      </c>
      <c r="O7" s="33"/>
      <c r="P7" s="33"/>
      <c r="R7" s="32"/>
    </row>
    <row r="8" spans="1:18">
      <c r="A8" s="6" t="s">
        <v>51</v>
      </c>
      <c r="B8" s="37">
        <f t="shared" si="0"/>
        <v>14648.59375</v>
      </c>
      <c r="C8" s="33"/>
      <c r="D8" s="37">
        <f>IF(ISERROR(TER_handel_gas_kWh/1000),0,TER_handel_gas_kWh/1000)*0.902</f>
        <v>8151.6915049019999</v>
      </c>
      <c r="E8" s="33">
        <f>$C$28*'E Balans VL '!I13/100/3.6*1000000</f>
        <v>53.837425962550547</v>
      </c>
      <c r="F8" s="33">
        <f>$C$28*('E Balans VL '!L13+'E Balans VL '!N13)/100/3.6*1000000</f>
        <v>1399.1875390286327</v>
      </c>
      <c r="G8" s="34"/>
      <c r="H8" s="33"/>
      <c r="I8" s="33"/>
      <c r="J8" s="33">
        <f>$C$28*('E Balans VL '!D13+'E Balans VL '!E13)/100/3.6*1000000</f>
        <v>0</v>
      </c>
      <c r="K8" s="33"/>
      <c r="L8" s="33"/>
      <c r="M8" s="33"/>
      <c r="N8" s="33">
        <f>$C$28*'E Balans VL '!Y13/100/3.6*1000000</f>
        <v>5.7961043412630229</v>
      </c>
      <c r="O8" s="33"/>
      <c r="P8" s="33"/>
      <c r="R8" s="32"/>
    </row>
    <row r="9" spans="1:18">
      <c r="A9" s="32" t="s">
        <v>50</v>
      </c>
      <c r="B9" s="37">
        <f t="shared" si="0"/>
        <v>6627.3837910000002</v>
      </c>
      <c r="C9" s="33"/>
      <c r="D9" s="37">
        <f>IF(ISERROR(TER_gezond_gas_kWh/1000),0,TER_gezond_gas_kWh/1000)*0.902</f>
        <v>12788.207828000001</v>
      </c>
      <c r="E9" s="33">
        <f>$C$29*'E Balans VL '!I10/100/3.6*1000000</f>
        <v>0</v>
      </c>
      <c r="F9" s="33">
        <f>$C$29*('E Balans VL '!L10+'E Balans VL '!N10)/100/3.6*1000000</f>
        <v>447.71063869359892</v>
      </c>
      <c r="G9" s="34"/>
      <c r="H9" s="33"/>
      <c r="I9" s="33"/>
      <c r="J9" s="33">
        <f>$C$29*('E Balans VL '!D10+'E Balans VL '!E10)/100/3.6*1000000</f>
        <v>0</v>
      </c>
      <c r="K9" s="33"/>
      <c r="L9" s="33"/>
      <c r="M9" s="33"/>
      <c r="N9" s="33">
        <f>$C$29*'E Balans VL '!Y10/100/3.6*1000000</f>
        <v>51.565990632782544</v>
      </c>
      <c r="O9" s="33"/>
      <c r="P9" s="33"/>
      <c r="R9" s="32"/>
    </row>
    <row r="10" spans="1:18">
      <c r="A10" s="32" t="s">
        <v>49</v>
      </c>
      <c r="B10" s="37">
        <f t="shared" si="0"/>
        <v>6029.6047280000003</v>
      </c>
      <c r="C10" s="33"/>
      <c r="D10" s="37">
        <f>IF(ISERROR(TER_ander_gas_kWh/1000),0,TER_ander_gas_kWh/1000)*0.902</f>
        <v>5811.9250852519999</v>
      </c>
      <c r="E10" s="33">
        <f>$C$30*'E Balans VL '!I14/100/3.6*1000000</f>
        <v>54.675281652571918</v>
      </c>
      <c r="F10" s="33">
        <f>$C$30*('E Balans VL '!L14+'E Balans VL '!N14)/100/3.6*1000000</f>
        <v>4766.0833908186587</v>
      </c>
      <c r="G10" s="34"/>
      <c r="H10" s="33"/>
      <c r="I10" s="33"/>
      <c r="J10" s="33">
        <f>$C$30*('E Balans VL '!D14+'E Balans VL '!E14)/100/3.6*1000000</f>
        <v>5.9678154320817849E-2</v>
      </c>
      <c r="K10" s="33"/>
      <c r="L10" s="33"/>
      <c r="M10" s="33"/>
      <c r="N10" s="33">
        <f>$C$30*'E Balans VL '!Y14/100/3.6*1000000</f>
        <v>2128.1431023040946</v>
      </c>
      <c r="O10" s="33"/>
      <c r="P10" s="33"/>
      <c r="R10" s="32"/>
    </row>
    <row r="11" spans="1:18">
      <c r="A11" s="32" t="s">
        <v>54</v>
      </c>
      <c r="B11" s="37">
        <f t="shared" si="0"/>
        <v>1085.0354909999999</v>
      </c>
      <c r="C11" s="33"/>
      <c r="D11" s="37">
        <f>IF(ISERROR(TER_onderwijs_gas_kWh/1000),0,TER_onderwijs_gas_kWh/1000)*0.902</f>
        <v>3180.8288456780001</v>
      </c>
      <c r="E11" s="33">
        <f>$C$31*'E Balans VL '!I11/100/3.6*1000000</f>
        <v>0</v>
      </c>
      <c r="F11" s="33">
        <f>$C$31*('E Balans VL '!L11+'E Balans VL '!N11)/100/3.6*1000000</f>
        <v>129.13381200695582</v>
      </c>
      <c r="G11" s="34"/>
      <c r="H11" s="33"/>
      <c r="I11" s="33"/>
      <c r="J11" s="33">
        <f>$C$31*('E Balans VL '!D11+'E Balans VL '!E11)/100/3.6*1000000</f>
        <v>0</v>
      </c>
      <c r="K11" s="33"/>
      <c r="L11" s="33"/>
      <c r="M11" s="33"/>
      <c r="N11" s="33">
        <f>$C$31*'E Balans VL '!Y11/100/3.6*1000000</f>
        <v>2.4130924568898915</v>
      </c>
      <c r="O11" s="33"/>
      <c r="P11" s="33"/>
      <c r="R11" s="32"/>
    </row>
    <row r="12" spans="1:18">
      <c r="A12" s="32" t="s">
        <v>248</v>
      </c>
      <c r="B12" s="37">
        <f t="shared" si="0"/>
        <v>1726.6441620000001</v>
      </c>
      <c r="C12" s="33"/>
      <c r="D12" s="37">
        <f>IF(ISERROR(TER_rest_gas_kWh/1000),0,TER_rest_gas_kWh/1000)*0.902</f>
        <v>3367.635222204</v>
      </c>
      <c r="E12" s="33">
        <f>$C$32*'E Balans VL '!I8/100/3.6*1000000</f>
        <v>5.1034323261378161</v>
      </c>
      <c r="F12" s="33">
        <f>$C$32*('E Balans VL '!L8+'E Balans VL '!N8)/100/3.6*1000000</f>
        <v>404.95274250627313</v>
      </c>
      <c r="G12" s="34"/>
      <c r="H12" s="33"/>
      <c r="I12" s="33"/>
      <c r="J12" s="33">
        <f>$C$32*('E Balans VL '!D8+'E Balans VL '!E8)/100/3.6*1000000</f>
        <v>3.4624931315937646E-3</v>
      </c>
      <c r="K12" s="33"/>
      <c r="L12" s="33"/>
      <c r="M12" s="33"/>
      <c r="N12" s="33">
        <f>$C$32*'E Balans VL '!Y8/100/3.6*1000000</f>
        <v>127.63569630884378</v>
      </c>
      <c r="O12" s="33"/>
      <c r="P12" s="33"/>
      <c r="R12" s="32"/>
    </row>
    <row r="13" spans="1:18">
      <c r="A13" s="16" t="s">
        <v>464</v>
      </c>
      <c r="B13" s="244">
        <f ca="1">'lokale energieproductie'!N38+'lokale energieproductie'!N31</f>
        <v>14094</v>
      </c>
      <c r="C13" s="244">
        <f ca="1">'lokale energieproductie'!O38+'lokale energieproductie'!O31</f>
        <v>20134.285714285714</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-40268.571428571428</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60484.175125999995</v>
      </c>
      <c r="C16" s="21">
        <f t="shared" ca="1" si="1"/>
        <v>20134.285714285714</v>
      </c>
      <c r="D16" s="21">
        <f t="shared" ca="1" si="1"/>
        <v>43426.980089283999</v>
      </c>
      <c r="E16" s="21">
        <f t="shared" si="1"/>
        <v>117.04813333285165</v>
      </c>
      <c r="F16" s="21">
        <f t="shared" ca="1" si="1"/>
        <v>8717.3140410147262</v>
      </c>
      <c r="G16" s="21">
        <f t="shared" si="1"/>
        <v>0</v>
      </c>
      <c r="H16" s="21">
        <f t="shared" si="1"/>
        <v>0</v>
      </c>
      <c r="I16" s="21">
        <f t="shared" si="1"/>
        <v>0</v>
      </c>
      <c r="J16" s="21">
        <f t="shared" si="1"/>
        <v>6.3140647452411616E-2</v>
      </c>
      <c r="K16" s="21">
        <f t="shared" si="1"/>
        <v>0</v>
      </c>
      <c r="L16" s="21">
        <f t="shared" ca="1" si="1"/>
        <v>0</v>
      </c>
      <c r="M16" s="21">
        <f t="shared" si="1"/>
        <v>0</v>
      </c>
      <c r="N16" s="21">
        <f t="shared" ca="1" si="1"/>
        <v>0</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0.17305788916999756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10467.26367549403</v>
      </c>
      <c r="C20" s="23">
        <f t="shared" ref="C20:P20" ca="1" si="2">C16*C18</f>
        <v>0</v>
      </c>
      <c r="D20" s="23">
        <f t="shared" ca="1" si="2"/>
        <v>8772.2499780353683</v>
      </c>
      <c r="E20" s="23">
        <f t="shared" si="2"/>
        <v>26.569926266557324</v>
      </c>
      <c r="F20" s="23">
        <f t="shared" ca="1" si="2"/>
        <v>2327.5228489509318</v>
      </c>
      <c r="G20" s="23">
        <f t="shared" si="2"/>
        <v>0</v>
      </c>
      <c r="H20" s="23">
        <f t="shared" si="2"/>
        <v>0</v>
      </c>
      <c r="I20" s="23">
        <f t="shared" si="2"/>
        <v>0</v>
      </c>
      <c r="J20" s="23">
        <f t="shared" si="2"/>
        <v>2.2351789198153713E-2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13142.920470000001</v>
      </c>
      <c r="C26" s="39">
        <f>IF(ISERROR(B26*3.6/1000000/'E Balans VL '!Z12*100),0,B26*3.6/1000000/'E Balans VL '!Z12*100)</f>
        <v>0.36780747361782479</v>
      </c>
      <c r="D26" s="234" t="s">
        <v>667</v>
      </c>
      <c r="F26" s="6"/>
    </row>
    <row r="27" spans="1:18">
      <c r="A27" s="228" t="s">
        <v>52</v>
      </c>
      <c r="B27" s="33">
        <f>IF(ISERROR(TER_horeca_ele_kWh/1000),0,TER_horeca_ele_kWh/1000)</f>
        <v>3129.9927340000004</v>
      </c>
      <c r="C27" s="39">
        <f>IF(ISERROR(B27*3.6/1000000/'E Balans VL '!Z9*100),0,B27*3.6/1000000/'E Balans VL '!Z9*100)</f>
        <v>0.23328599153879473</v>
      </c>
      <c r="D27" s="234" t="s">
        <v>667</v>
      </c>
      <c r="F27" s="6"/>
    </row>
    <row r="28" spans="1:18">
      <c r="A28" s="168" t="s">
        <v>51</v>
      </c>
      <c r="B28" s="33">
        <f>IF(ISERROR(TER_handel_ele_kWh/1000),0,TER_handel_ele_kWh/1000)</f>
        <v>14648.59375</v>
      </c>
      <c r="C28" s="39">
        <f>IF(ISERROR(B28*3.6/1000000/'E Balans VL '!Z13*100),0,B28*3.6/1000000/'E Balans VL '!Z13*100)</f>
        <v>0.42440854222529945</v>
      </c>
      <c r="D28" s="234" t="s">
        <v>667</v>
      </c>
      <c r="F28" s="6"/>
    </row>
    <row r="29" spans="1:18">
      <c r="A29" s="228" t="s">
        <v>50</v>
      </c>
      <c r="B29" s="33">
        <f>IF(ISERROR(TER_gezond_ele_kWh/1000),0,TER_gezond_ele_kWh/1000)</f>
        <v>6627.3837910000002</v>
      </c>
      <c r="C29" s="39">
        <f>IF(ISERROR(B29*3.6/1000000/'E Balans VL '!Z10*100),0,B29*3.6/1000000/'E Balans VL '!Z10*100)</f>
        <v>0.66837955879942235</v>
      </c>
      <c r="D29" s="234" t="s">
        <v>667</v>
      </c>
      <c r="F29" s="6"/>
    </row>
    <row r="30" spans="1:18">
      <c r="A30" s="228" t="s">
        <v>49</v>
      </c>
      <c r="B30" s="33">
        <f>IF(ISERROR(TER_ander_ele_kWh/1000),0,TER_ander_ele_kWh/1000)</f>
        <v>6029.6047280000003</v>
      </c>
      <c r="C30" s="39">
        <f>IF(ISERROR(B30*3.6/1000000/'E Balans VL '!Z14*100),0,B30*3.6/1000000/'E Balans VL '!Z14*100)</f>
        <v>0.24441564909549973</v>
      </c>
      <c r="D30" s="234" t="s">
        <v>667</v>
      </c>
      <c r="F30" s="6"/>
    </row>
    <row r="31" spans="1:18">
      <c r="A31" s="228" t="s">
        <v>54</v>
      </c>
      <c r="B31" s="33">
        <f>IF(ISERROR(TER_onderwijs_ele_kWh/1000),0,TER_onderwijs_ele_kWh/1000)</f>
        <v>1085.0354909999999</v>
      </c>
      <c r="C31" s="39">
        <f>IF(ISERROR(B31*3.6/1000000/'E Balans VL '!Z11*100),0,B31*3.6/1000000/'E Balans VL '!Z11*100)</f>
        <v>0.30927929963759343</v>
      </c>
      <c r="D31" s="234" t="s">
        <v>667</v>
      </c>
    </row>
    <row r="32" spans="1:18">
      <c r="A32" s="228" t="s">
        <v>248</v>
      </c>
      <c r="B32" s="33">
        <f>IF(ISERROR(TER_rest_ele_kWh/1000),0,TER_rest_ele_kWh/1000)</f>
        <v>1726.6441620000001</v>
      </c>
      <c r="C32" s="39">
        <f>IF(ISERROR(B32*3.6/1000000/'E Balans VL '!Z8*100),0,B32*3.6/1000000/'E Balans VL '!Z8*100)</f>
        <v>1.4180859242022243E-2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3</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47259.201410000001</v>
      </c>
      <c r="C5" s="17">
        <f>IF(ISERROR('Eigen informatie GS &amp; warmtenet'!B61),0,'Eigen informatie GS &amp; warmtenet'!B61)</f>
        <v>0</v>
      </c>
      <c r="D5" s="30">
        <f>SUM(D6:D15)</f>
        <v>66328.411440126001</v>
      </c>
      <c r="E5" s="17">
        <f>SUM(E6:E15)</f>
        <v>1184.7961054248606</v>
      </c>
      <c r="F5" s="17">
        <f>SUM(F6:F15)</f>
        <v>12983.479025579058</v>
      </c>
      <c r="G5" s="18"/>
      <c r="H5" s="17"/>
      <c r="I5" s="17"/>
      <c r="J5" s="17">
        <f>SUM(J6:J15)</f>
        <v>91.297111525401135</v>
      </c>
      <c r="K5" s="17"/>
      <c r="L5" s="17"/>
      <c r="M5" s="17"/>
      <c r="N5" s="17">
        <f>SUM(N6:N15)</f>
        <v>2017.6802550912012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576.988967</v>
      </c>
      <c r="C8" s="33"/>
      <c r="D8" s="37">
        <f>IF( ISERROR(IND_metaal_Gas_kWH/1000),0,IND_metaal_Gas_kWH/1000)*0.902</f>
        <v>111.505891244</v>
      </c>
      <c r="E8" s="33">
        <f>C30*'E Balans VL '!I18/100/3.6*1000000</f>
        <v>4.1406106004845817</v>
      </c>
      <c r="F8" s="33">
        <f>C30*'E Balans VL '!L18/100/3.6*1000000+C30*'E Balans VL '!N18/100/3.6*1000000</f>
        <v>38.403972573318597</v>
      </c>
      <c r="G8" s="34"/>
      <c r="H8" s="33"/>
      <c r="I8" s="33"/>
      <c r="J8" s="40">
        <f>C30*'E Balans VL '!D18/100/3.6*1000000+C30*'E Balans VL '!E18/100/3.6*1000000</f>
        <v>0.55624203689079232</v>
      </c>
      <c r="K8" s="33"/>
      <c r="L8" s="33"/>
      <c r="M8" s="33"/>
      <c r="N8" s="33">
        <f>C30*'E Balans VL '!Y18/100/3.6*1000000</f>
        <v>6.9917780739995825</v>
      </c>
      <c r="O8" s="33"/>
      <c r="P8" s="33"/>
      <c r="R8" s="32"/>
    </row>
    <row r="9" spans="1:18">
      <c r="A9" s="6" t="s">
        <v>32</v>
      </c>
      <c r="B9" s="37">
        <f t="shared" si="0"/>
        <v>13149.451869999999</v>
      </c>
      <c r="C9" s="33"/>
      <c r="D9" s="37">
        <f>IF( ISERROR(IND_andere_gas_kWh/1000),0,IND_andere_gas_kWh/1000)*0.902</f>
        <v>3154.6654075199999</v>
      </c>
      <c r="E9" s="33">
        <f>C31*'E Balans VL '!I19/100/3.6*1000000</f>
        <v>34.57222876943684</v>
      </c>
      <c r="F9" s="33">
        <f>C31*'E Balans VL '!L19/100/3.6*1000000+C31*'E Balans VL '!N19/100/3.6*1000000</f>
        <v>8683.9594141615325</v>
      </c>
      <c r="G9" s="34"/>
      <c r="H9" s="33"/>
      <c r="I9" s="33"/>
      <c r="J9" s="40">
        <f>C31*'E Balans VL '!D19/100/3.6*1000000+C31*'E Balans VL '!E19/100/3.6*1000000</f>
        <v>0</v>
      </c>
      <c r="K9" s="33"/>
      <c r="L9" s="33"/>
      <c r="M9" s="33"/>
      <c r="N9" s="33">
        <f>C31*'E Balans VL '!Y19/100/3.6*1000000</f>
        <v>702.0283125068687</v>
      </c>
      <c r="O9" s="33"/>
      <c r="P9" s="33"/>
      <c r="R9" s="32"/>
    </row>
    <row r="10" spans="1:18">
      <c r="A10" s="6" t="s">
        <v>40</v>
      </c>
      <c r="B10" s="37">
        <f t="shared" si="0"/>
        <v>8241.1724770000001</v>
      </c>
      <c r="C10" s="33"/>
      <c r="D10" s="37">
        <f>IF( ISERROR(IND_voed_gas_kWh/1000),0,IND_voed_gas_kWh/1000)*0.902</f>
        <v>11977.44160118</v>
      </c>
      <c r="E10" s="33">
        <f>C32*'E Balans VL '!I20/100/3.6*1000000</f>
        <v>13.912983081766377</v>
      </c>
      <c r="F10" s="33">
        <f>C32*'E Balans VL '!L20/100/3.6*1000000+C32*'E Balans VL '!N20/100/3.6*1000000</f>
        <v>483.72085684371712</v>
      </c>
      <c r="G10" s="34"/>
      <c r="H10" s="33"/>
      <c r="I10" s="33"/>
      <c r="J10" s="40">
        <f>C32*'E Balans VL '!D20/100/3.6*1000000+C32*'E Balans VL '!E20/100/3.6*1000000</f>
        <v>0</v>
      </c>
      <c r="K10" s="33"/>
      <c r="L10" s="33"/>
      <c r="M10" s="33"/>
      <c r="N10" s="33">
        <f>C32*'E Balans VL '!Y20/100/3.6*1000000</f>
        <v>448.69058605695534</v>
      </c>
      <c r="O10" s="33"/>
      <c r="P10" s="33"/>
      <c r="R10" s="32"/>
    </row>
    <row r="11" spans="1:18">
      <c r="A11" s="6" t="s">
        <v>39</v>
      </c>
      <c r="B11" s="37">
        <f t="shared" si="0"/>
        <v>1662.657359</v>
      </c>
      <c r="C11" s="33"/>
      <c r="D11" s="37">
        <f>IF( ISERROR(IND_textiel_gas_kWh/1000),0,IND_textiel_gas_kWh/1000)*0.902</f>
        <v>732.00305734599999</v>
      </c>
      <c r="E11" s="33">
        <f>C33*'E Balans VL '!I21/100/3.6*1000000</f>
        <v>5.7914654345291812</v>
      </c>
      <c r="F11" s="33">
        <f>C33*'E Balans VL '!L21/100/3.6*1000000+C33*'E Balans VL '!N21/100/3.6*1000000</f>
        <v>44.183679020962622</v>
      </c>
      <c r="G11" s="34"/>
      <c r="H11" s="33"/>
      <c r="I11" s="33"/>
      <c r="J11" s="40">
        <f>C33*'E Balans VL '!D21/100/3.6*1000000+C33*'E Balans VL '!E21/100/3.6*1000000</f>
        <v>0</v>
      </c>
      <c r="K11" s="33"/>
      <c r="L11" s="33"/>
      <c r="M11" s="33"/>
      <c r="N11" s="33">
        <f>C33*'E Balans VL '!Y21/100/3.6*1000000</f>
        <v>0.20553729831791251</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18.689147000000002</v>
      </c>
      <c r="C13" s="33"/>
      <c r="D13" s="37">
        <f>IF( ISERROR(IND_papier_gas_kWh/1000),0,IND_papier_gas_kWh/1000)*0.902</f>
        <v>76.549851795999999</v>
      </c>
      <c r="E13" s="33">
        <f>C35*'E Balans VL '!I23/100/3.6*1000000</f>
        <v>6.6122382954622402E-2</v>
      </c>
      <c r="F13" s="33">
        <f>C35*'E Balans VL '!L23/100/3.6*1000000+C35*'E Balans VL '!N23/100/3.6*1000000</f>
        <v>0.17326277388583736</v>
      </c>
      <c r="G13" s="34"/>
      <c r="H13" s="33"/>
      <c r="I13" s="33"/>
      <c r="J13" s="40">
        <f>C35*'E Balans VL '!D23/100/3.6*1000000+C35*'E Balans VL '!E23/100/3.6*1000000</f>
        <v>0</v>
      </c>
      <c r="K13" s="33"/>
      <c r="L13" s="33"/>
      <c r="M13" s="33"/>
      <c r="N13" s="33">
        <f>C35*'E Balans VL '!Y23/100/3.6*1000000</f>
        <v>-0.40711919427279486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23610.241590000001</v>
      </c>
      <c r="C15" s="33"/>
      <c r="D15" s="37">
        <f>IF( ISERROR(IND_rest_gas_kWh/1000),0,IND_rest_gas_kWh/1000)*0.902</f>
        <v>50276.245631040001</v>
      </c>
      <c r="E15" s="33">
        <f>C37*'E Balans VL '!I15/100/3.6*1000000</f>
        <v>1126.312695155689</v>
      </c>
      <c r="F15" s="33">
        <f>C37*'E Balans VL '!L15/100/3.6*1000000+C37*'E Balans VL '!N15/100/3.6*1000000</f>
        <v>3733.0378402056431</v>
      </c>
      <c r="G15" s="34"/>
      <c r="H15" s="33"/>
      <c r="I15" s="33"/>
      <c r="J15" s="40">
        <f>C37*'E Balans VL '!D15/100/3.6*1000000+C37*'E Balans VL '!E15/100/3.6*1000000</f>
        <v>90.740869488510342</v>
      </c>
      <c r="K15" s="33"/>
      <c r="L15" s="33"/>
      <c r="M15" s="33"/>
      <c r="N15" s="33">
        <f>C37*'E Balans VL '!Y15/100/3.6*1000000</f>
        <v>860.17116034933235</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47259.201410000001</v>
      </c>
      <c r="C18" s="21">
        <f>C5+C16</f>
        <v>0</v>
      </c>
      <c r="D18" s="21">
        <f>MAX((D5+D16),0)</f>
        <v>66328.411440126001</v>
      </c>
      <c r="E18" s="21">
        <f>MAX((E5+E16),0)</f>
        <v>1184.7961054248606</v>
      </c>
      <c r="F18" s="21">
        <f>MAX((F5+F16),0)</f>
        <v>12983.479025579058</v>
      </c>
      <c r="G18" s="21"/>
      <c r="H18" s="21"/>
      <c r="I18" s="21"/>
      <c r="J18" s="21">
        <f>MAX((J5+J16),0)</f>
        <v>91.297111525401135</v>
      </c>
      <c r="K18" s="21"/>
      <c r="L18" s="21">
        <f>MAX((L5+L16),0)</f>
        <v>0</v>
      </c>
      <c r="M18" s="21"/>
      <c r="N18" s="21">
        <f>MAX((N5+N16),0)</f>
        <v>2017.6802550912012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0.17305788916999756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8178.5776398743728</v>
      </c>
      <c r="C22" s="23">
        <f ca="1">C18*C20</f>
        <v>0</v>
      </c>
      <c r="D22" s="23">
        <f>D18*D20</f>
        <v>13398.339110905454</v>
      </c>
      <c r="E22" s="23">
        <f>E18*E20</f>
        <v>268.94871593144336</v>
      </c>
      <c r="F22" s="23">
        <f>F18*F20</f>
        <v>3466.5888998296086</v>
      </c>
      <c r="G22" s="23"/>
      <c r="H22" s="23"/>
      <c r="I22" s="23"/>
      <c r="J22" s="23">
        <f>J18*J20</f>
        <v>32.319177479992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576.988967</v>
      </c>
      <c r="C30" s="39">
        <f>IF(ISERROR(B30*3.6/1000000/'E Balans VL '!Z18*100),0,B30*3.6/1000000/'E Balans VL '!Z18*100)</f>
        <v>3.1925630674662538E-2</v>
      </c>
      <c r="D30" s="234" t="s">
        <v>667</v>
      </c>
    </row>
    <row r="31" spans="1:18">
      <c r="A31" s="6" t="s">
        <v>32</v>
      </c>
      <c r="B31" s="37">
        <f>IF( ISERROR(IND_ander_ele_kWh/1000),0,IND_ander_ele_kWh/1000)</f>
        <v>13149.451869999999</v>
      </c>
      <c r="C31" s="39">
        <f>IF(ISERROR(B31*3.6/1000000/'E Balans VL '!Z19*100),0,B31*3.6/1000000/'E Balans VL '!Z19*100)</f>
        <v>0.57362017702451973</v>
      </c>
      <c r="D31" s="234" t="s">
        <v>667</v>
      </c>
    </row>
    <row r="32" spans="1:18">
      <c r="A32" s="168" t="s">
        <v>40</v>
      </c>
      <c r="B32" s="37">
        <f>IF( ISERROR(IND_voed_ele_kWh/1000),0,IND_voed_ele_kWh/1000)</f>
        <v>8241.1724770000001</v>
      </c>
      <c r="C32" s="39">
        <f>IF(ISERROR(B32*3.6/1000000/'E Balans VL '!Z20*100),0,B32*3.6/1000000/'E Balans VL '!Z20*100)</f>
        <v>0.258684557581005</v>
      </c>
      <c r="D32" s="234" t="s">
        <v>667</v>
      </c>
    </row>
    <row r="33" spans="1:5">
      <c r="A33" s="168" t="s">
        <v>39</v>
      </c>
      <c r="B33" s="37">
        <f>IF( ISERROR(IND_textiel_ele_kWh/1000),0,IND_textiel_ele_kWh/1000)</f>
        <v>1662.657359</v>
      </c>
      <c r="C33" s="39">
        <f>IF(ISERROR(B33*3.6/1000000/'E Balans VL '!Z21*100),0,B33*3.6/1000000/'E Balans VL '!Z21*100)</f>
        <v>0.2582180929055205</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18.689147000000002</v>
      </c>
      <c r="C35" s="39">
        <f>IF(ISERROR(B35*3.6/1000000/'E Balans VL '!Z22*100),0,B35*3.6/1000000/'E Balans VL '!Z22*100)</f>
        <v>8.3828547166586824E-3</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23610.241590000001</v>
      </c>
      <c r="C37" s="39">
        <f>IF(ISERROR(B37*3.6/1000000/'E Balans VL '!Z15*100),0,B37*3.6/1000000/'E Balans VL '!Z15*100)</f>
        <v>0.19215001453395381</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1151.008169</v>
      </c>
      <c r="C5" s="17">
        <f>'Eigen informatie GS &amp; warmtenet'!B62</f>
        <v>0</v>
      </c>
      <c r="D5" s="30">
        <f>IF(ISERROR(SUM(LB_lb_gas_kWh,LB_rest_gas_kWh)/1000),0,SUM(LB_lb_gas_kWh,LB_rest_gas_kWh)/1000)*0.902</f>
        <v>363.18284046000002</v>
      </c>
      <c r="E5" s="17">
        <f>B17*'E Balans VL '!I25/3.6*1000000/100</f>
        <v>46.761375720885681</v>
      </c>
      <c r="F5" s="17">
        <f>B17*('E Balans VL '!L25/3.6*1000000+'E Balans VL '!N25/3.6*1000000)/100</f>
        <v>4071.5186424078051</v>
      </c>
      <c r="G5" s="18"/>
      <c r="H5" s="17"/>
      <c r="I5" s="17"/>
      <c r="J5" s="17">
        <f>('E Balans VL '!D25+'E Balans VL '!E25)/3.6*1000000*landbouw!B17/100</f>
        <v>327.02527985164249</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1151.008169</v>
      </c>
      <c r="C8" s="21">
        <f>C5+C6</f>
        <v>0</v>
      </c>
      <c r="D8" s="21">
        <f>MAX((D5+D6),0)</f>
        <v>363.18284046000002</v>
      </c>
      <c r="E8" s="21">
        <f>MAX((E5+E6),0)</f>
        <v>46.761375720885681</v>
      </c>
      <c r="F8" s="21">
        <f>MAX((F5+F6),0)</f>
        <v>4071.5186424078051</v>
      </c>
      <c r="G8" s="21"/>
      <c r="H8" s="21"/>
      <c r="I8" s="21"/>
      <c r="J8" s="21">
        <f>MAX((J5+J6),0)</f>
        <v>327.02527985164249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0.17305788916999756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199.19104414456382</v>
      </c>
      <c r="C12" s="23">
        <f ca="1">C8*C10</f>
        <v>0</v>
      </c>
      <c r="D12" s="23">
        <f>D8*D10</f>
        <v>73.362933772920016</v>
      </c>
      <c r="E12" s="23">
        <f>E8*E10</f>
        <v>10.61483228864105</v>
      </c>
      <c r="F12" s="23">
        <f>F8*F10</f>
        <v>1087.095477522884</v>
      </c>
      <c r="G12" s="23"/>
      <c r="H12" s="23"/>
      <c r="I12" s="23"/>
      <c r="J12" s="23">
        <f>J8*J10</f>
        <v>115.76694906748143</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0.17110561552997777</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158.36647551862313</v>
      </c>
      <c r="C26" s="244">
        <f>B26*'GWP N2O_CH4'!B5</f>
        <v>3325.6959858910859</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75.467054888199513</v>
      </c>
      <c r="C27" s="244">
        <f>B27*'GWP N2O_CH4'!B5</f>
        <v>1584.8081526521898</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2.3837076232608698</v>
      </c>
      <c r="C28" s="244">
        <f>B28*'GWP N2O_CH4'!B4</f>
        <v>738.94936321086959</v>
      </c>
      <c r="D28" s="50"/>
    </row>
    <row r="29" spans="1:4">
      <c r="A29" s="41" t="s">
        <v>265</v>
      </c>
      <c r="B29" s="244">
        <f>B34*'ha_N2O bodem landbouw'!B4</f>
        <v>9.8353649481341829</v>
      </c>
      <c r="C29" s="244">
        <f>B29*'GWP N2O_CH4'!B4</f>
        <v>3048.9631339215966</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2.1567184513615859E-3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7.3260807046516868E-4</v>
      </c>
      <c r="C5" s="429" t="s">
        <v>204</v>
      </c>
      <c r="D5" s="414">
        <f>SUM(D6:D11)</f>
        <v>1.1914592018586175E-3</v>
      </c>
      <c r="E5" s="414">
        <f>SUM(E6:E11)</f>
        <v>1.1054150561748545E-3</v>
      </c>
      <c r="F5" s="427" t="s">
        <v>204</v>
      </c>
      <c r="G5" s="414">
        <f>SUM(G6:G11)</f>
        <v>0.56504876682496463</v>
      </c>
      <c r="H5" s="414">
        <f>SUM(H6:H11)</f>
        <v>0.11621141370857871</v>
      </c>
      <c r="I5" s="429" t="s">
        <v>204</v>
      </c>
      <c r="J5" s="429" t="s">
        <v>204</v>
      </c>
      <c r="K5" s="429" t="s">
        <v>204</v>
      </c>
      <c r="L5" s="429" t="s">
        <v>204</v>
      </c>
      <c r="M5" s="414">
        <f>SUM(M6:M11)</f>
        <v>4.0264796665363901E-2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2.9373010457446733E-4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4.98328653818228E-4</v>
      </c>
      <c r="E6" s="843">
        <f>vkm_GW_PW*SUMIFS(TableVerdeelsleutelVkm[LPG],TableVerdeelsleutelVkm[Voertuigtype],"Lichte voertuigen")*SUMIFS(TableECFTransport[EnergieConsumptieFactor (PJ per km)],TableECFTransport[Index],CONCATENATE($A6,"_LPG_LPG"))</f>
        <v>4.3145762263271671E-4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0.13782565501716748</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4.7947821624513096E-2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1.1119181079796737E-2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1.7348372496590857E-6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6.6213671559767873E-2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1.055279239548956E-6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3.8167225424372811E-3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1.2548291521893599E-4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2.7141236845158864E-4</v>
      </c>
      <c r="E8" s="417">
        <f>vkm_NGW_PW*SUMIFS(TableVerdeelsleutelVkm[LPG],TableVerdeelsleutelVkm[Voertuigtype],"Lichte voertuigen")*SUMIFS(TableECFTransport[EnergieConsumptieFactor (PJ per km)],TableECFTransport[Index],CONCATENATE($A8,"_LPG_LPG"))</f>
        <v>2.2444116077242538E-4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6.6522662578501535E-2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2.5660230063020397E-2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5.5334720928420676E-3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2.6509737460074993E-7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1.300746161409746E-2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1.9463929763697033E-7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7.4978195982337294E-4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3.0719095547483992E-4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4.2171817958880077E-4</v>
      </c>
      <c r="E10" s="417">
        <f>vkm_SW_PW*SUMIFS(TableVerdeelsleutelVkm[LPG],TableVerdeelsleutelVkm[Voertuigtype],"Lichte voertuigen")*SUMIFS(TableECFTransport[EnergieConsumptieFactor (PJ per km)],TableECFTransport[Index],CONCATENATE($A10,"_LPG_LPG"))</f>
        <v>4.4951627276971237E-4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0.12929004683197995</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4.2599479905505784E-2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1.0273053102936268E-2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4.204160572665629E-6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0.15218926922345036</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2.6321970022439958E-6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8.7725858875281736E-3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203.5022417958802</v>
      </c>
      <c r="C14" s="21"/>
      <c r="D14" s="21">
        <f t="shared" ref="D14:M14" si="0">((D5)*10^9/3600)+D12</f>
        <v>330.96088940517149</v>
      </c>
      <c r="E14" s="21">
        <f t="shared" si="0"/>
        <v>307.05973782634845</v>
      </c>
      <c r="F14" s="21"/>
      <c r="G14" s="21">
        <f t="shared" si="0"/>
        <v>156957.9907847124</v>
      </c>
      <c r="H14" s="21">
        <f t="shared" si="0"/>
        <v>32280.948252382976</v>
      </c>
      <c r="I14" s="21"/>
      <c r="J14" s="21"/>
      <c r="K14" s="21"/>
      <c r="L14" s="21"/>
      <c r="M14" s="21">
        <f t="shared" si="0"/>
        <v>11184.665740378861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0.17305788916999756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35.217668406557479</v>
      </c>
      <c r="C18" s="23"/>
      <c r="D18" s="23">
        <f t="shared" ref="D18:M18" si="1">D14*D16</f>
        <v>66.85409965984465</v>
      </c>
      <c r="E18" s="23">
        <f t="shared" si="1"/>
        <v>69.702560486581106</v>
      </c>
      <c r="F18" s="23"/>
      <c r="G18" s="23">
        <f t="shared" si="1"/>
        <v>41907.783539518212</v>
      </c>
      <c r="H18" s="23">
        <f t="shared" si="1"/>
        <v>8037.9561148433613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1.0264530705969195E-4</v>
      </c>
      <c r="C50" s="313">
        <f t="shared" ref="C50:P50" si="2">SUM(C51:C52)</f>
        <v>0</v>
      </c>
      <c r="D50" s="313">
        <f t="shared" si="2"/>
        <v>0</v>
      </c>
      <c r="E50" s="313">
        <f t="shared" si="2"/>
        <v>0</v>
      </c>
      <c r="F50" s="313">
        <f t="shared" si="2"/>
        <v>0</v>
      </c>
      <c r="G50" s="313">
        <f t="shared" si="2"/>
        <v>7.436807202830323E-3</v>
      </c>
      <c r="H50" s="313">
        <f t="shared" si="2"/>
        <v>0</v>
      </c>
      <c r="I50" s="313">
        <f t="shared" si="2"/>
        <v>0</v>
      </c>
      <c r="J50" s="313">
        <f t="shared" si="2"/>
        <v>0</v>
      </c>
      <c r="K50" s="313">
        <f t="shared" si="2"/>
        <v>0</v>
      </c>
      <c r="L50" s="313">
        <f t="shared" si="2"/>
        <v>0</v>
      </c>
      <c r="M50" s="313">
        <f t="shared" si="2"/>
        <v>4.2064796245206272E-4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1.0264530705969195E-4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7.436807202830323E-3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4.2064796245206272E-4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28.512585294358878</v>
      </c>
      <c r="C54" s="21">
        <f t="shared" ref="C54:P54" si="3">(C50)*10^9/3600</f>
        <v>0</v>
      </c>
      <c r="D54" s="21">
        <f t="shared" si="3"/>
        <v>0</v>
      </c>
      <c r="E54" s="21">
        <f t="shared" si="3"/>
        <v>0</v>
      </c>
      <c r="F54" s="21">
        <f t="shared" si="3"/>
        <v>0</v>
      </c>
      <c r="G54" s="21">
        <f t="shared" si="3"/>
        <v>2065.7797785639787</v>
      </c>
      <c r="H54" s="21">
        <f t="shared" si="3"/>
        <v>0</v>
      </c>
      <c r="I54" s="21">
        <f t="shared" si="3"/>
        <v>0</v>
      </c>
      <c r="J54" s="21">
        <f t="shared" si="3"/>
        <v>0</v>
      </c>
      <c r="K54" s="21">
        <f t="shared" si="3"/>
        <v>0</v>
      </c>
      <c r="L54" s="21">
        <f t="shared" si="3"/>
        <v>0</v>
      </c>
      <c r="M54" s="21">
        <f t="shared" si="3"/>
        <v>116.84665623668408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0.17305788916999756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4.9343278258212608</v>
      </c>
      <c r="C58" s="23">
        <f t="shared" ref="C58:P58" ca="1" si="4">C54*C56</f>
        <v>0</v>
      </c>
      <c r="D58" s="23">
        <f t="shared" si="4"/>
        <v>0</v>
      </c>
      <c r="E58" s="23">
        <f t="shared" si="4"/>
        <v>0</v>
      </c>
      <c r="F58" s="23">
        <f t="shared" si="4"/>
        <v>0</v>
      </c>
      <c r="G58" s="23">
        <f t="shared" si="4"/>
        <v>551.5632008765823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8136.854075276764</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12408.86594537272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14094</v>
      </c>
      <c r="C8" s="539">
        <f>B48</f>
        <v>0</v>
      </c>
      <c r="D8" s="540"/>
      <c r="E8" s="540">
        <f>E48</f>
        <v>0</v>
      </c>
      <c r="F8" s="541"/>
      <c r="G8" s="542"/>
      <c r="H8" s="540">
        <f>I48</f>
        <v>0</v>
      </c>
      <c r="I8" s="540">
        <f>G48+F48</f>
        <v>0</v>
      </c>
      <c r="J8" s="540">
        <f>H48+D48+C48</f>
        <v>16581.176470588238</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34639.720020649482</v>
      </c>
      <c r="C10" s="554">
        <f t="shared" ref="C10:L10" si="0">SUM(C8:C9)</f>
        <v>0</v>
      </c>
      <c r="D10" s="554">
        <f t="shared" si="0"/>
        <v>0</v>
      </c>
      <c r="E10" s="554">
        <f t="shared" si="0"/>
        <v>0</v>
      </c>
      <c r="F10" s="554">
        <f t="shared" si="0"/>
        <v>0</v>
      </c>
      <c r="G10" s="554">
        <f t="shared" si="0"/>
        <v>0</v>
      </c>
      <c r="H10" s="554">
        <f t="shared" si="0"/>
        <v>0</v>
      </c>
      <c r="I10" s="554">
        <f t="shared" si="0"/>
        <v>0</v>
      </c>
      <c r="J10" s="554">
        <f t="shared" si="0"/>
        <v>16581.176470588238</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20134.285714285714</v>
      </c>
      <c r="C17" s="570">
        <f>B49</f>
        <v>0</v>
      </c>
      <c r="D17" s="571"/>
      <c r="E17" s="571">
        <f>E49</f>
        <v>0</v>
      </c>
      <c r="F17" s="572"/>
      <c r="G17" s="573"/>
      <c r="H17" s="570">
        <f>I49</f>
        <v>0</v>
      </c>
      <c r="I17" s="571">
        <f>G49+F49</f>
        <v>0</v>
      </c>
      <c r="J17" s="571">
        <f>H49+D49+C49</f>
        <v>23687.394957983193</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20134.285714285714</v>
      </c>
      <c r="C20" s="553">
        <f>SUM(C17:C19)</f>
        <v>0</v>
      </c>
      <c r="D20" s="553">
        <f t="shared" ref="D20:L20" si="1">SUM(D17:D19)</f>
        <v>0</v>
      </c>
      <c r="E20" s="553">
        <f t="shared" si="1"/>
        <v>0</v>
      </c>
      <c r="F20" s="553">
        <f t="shared" si="1"/>
        <v>0</v>
      </c>
      <c r="G20" s="553">
        <f t="shared" si="1"/>
        <v>0</v>
      </c>
      <c r="H20" s="553">
        <f t="shared" si="1"/>
        <v>0</v>
      </c>
      <c r="I20" s="553">
        <f t="shared" si="1"/>
        <v>0</v>
      </c>
      <c r="J20" s="553">
        <f t="shared" si="1"/>
        <v>23687.394957983193</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63.75" hidden="1">
      <c r="A28" s="583"/>
      <c r="B28" s="745">
        <v>34027</v>
      </c>
      <c r="C28" s="745">
        <v>8930</v>
      </c>
      <c r="D28" s="631"/>
      <c r="E28" s="630"/>
      <c r="F28" s="630"/>
      <c r="G28" s="630" t="s">
        <v>883</v>
      </c>
      <c r="H28" s="630" t="s">
        <v>884</v>
      </c>
      <c r="I28" s="630"/>
      <c r="J28" s="744"/>
      <c r="K28" s="744"/>
      <c r="L28" s="630" t="s">
        <v>885</v>
      </c>
      <c r="M28" s="630">
        <v>3132</v>
      </c>
      <c r="N28" s="630">
        <v>14094</v>
      </c>
      <c r="O28" s="630">
        <v>20134.285714285714</v>
      </c>
      <c r="P28" s="630">
        <v>0</v>
      </c>
      <c r="Q28" s="630">
        <v>40268.571428571428</v>
      </c>
      <c r="R28" s="630">
        <v>0</v>
      </c>
      <c r="S28" s="630">
        <v>0</v>
      </c>
      <c r="T28" s="630">
        <v>0</v>
      </c>
      <c r="U28" s="630">
        <v>0</v>
      </c>
      <c r="V28" s="630">
        <v>0</v>
      </c>
      <c r="W28" s="630">
        <v>0</v>
      </c>
      <c r="X28" s="630"/>
      <c r="Y28" s="630">
        <v>1600</v>
      </c>
      <c r="Z28" s="630" t="s">
        <v>49</v>
      </c>
      <c r="AA28" s="632" t="s">
        <v>149</v>
      </c>
    </row>
    <row r="29" spans="1:27" s="564" customFormat="1" hidden="1">
      <c r="A29" s="586" t="s">
        <v>268</v>
      </c>
      <c r="B29" s="587"/>
      <c r="C29" s="587"/>
      <c r="D29" s="587"/>
      <c r="E29" s="587"/>
      <c r="F29" s="587"/>
      <c r="G29" s="587"/>
      <c r="H29" s="587"/>
      <c r="I29" s="587"/>
      <c r="J29" s="587"/>
      <c r="K29" s="587"/>
      <c r="L29" s="588"/>
      <c r="M29" s="588">
        <f>SUM(M28:M28)</f>
        <v>3132</v>
      </c>
      <c r="N29" s="588">
        <f>SUM(N28:N28)</f>
        <v>14094</v>
      </c>
      <c r="O29" s="588">
        <f>SUM(O28:O28)</f>
        <v>20134.285714285714</v>
      </c>
      <c r="P29" s="588">
        <f>SUM(P28:P28)</f>
        <v>0</v>
      </c>
      <c r="Q29" s="588">
        <f>SUM(Q28:Q28)</f>
        <v>40268.571428571428</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3132</v>
      </c>
      <c r="N31" s="588">
        <f ca="1">SUMIF($AA$28:AE28,"tertiair",N28:N28)</f>
        <v>14094</v>
      </c>
      <c r="O31" s="588">
        <f ca="1">SUMIF($AA$28:AF28,"tertiair",O28:O28)</f>
        <v>20134.285714285714</v>
      </c>
      <c r="P31" s="588">
        <f ca="1">SUMIF($AA$28:AG28,"tertiair",P28:P28)</f>
        <v>0</v>
      </c>
      <c r="Q31" s="588">
        <f ca="1">SUMIF($AA$28:AH28,"tertiair",Q28:Q28)</f>
        <v>40268.571428571428</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0.41176470588235298</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16581.176470588238</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23687.394957983193</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62620.187125999997</v>
      </c>
      <c r="D10" s="641">
        <f ca="1">tertiair!C16</f>
        <v>20134.285714285714</v>
      </c>
      <c r="E10" s="641">
        <f ca="1">tertiair!D16</f>
        <v>43426.980089283999</v>
      </c>
      <c r="F10" s="641">
        <f>tertiair!E16</f>
        <v>117.04813333285165</v>
      </c>
      <c r="G10" s="641">
        <f ca="1">tertiair!F16</f>
        <v>8717.3140410147262</v>
      </c>
      <c r="H10" s="641">
        <f>tertiair!G16</f>
        <v>0</v>
      </c>
      <c r="I10" s="641">
        <f>tertiair!H16</f>
        <v>0</v>
      </c>
      <c r="J10" s="641">
        <f>tertiair!I16</f>
        <v>0</v>
      </c>
      <c r="K10" s="641">
        <f>tertiair!J16</f>
        <v>6.3140647452411616E-2</v>
      </c>
      <c r="L10" s="641">
        <f>tertiair!K16</f>
        <v>0</v>
      </c>
      <c r="M10" s="641">
        <f ca="1">tertiair!L16</f>
        <v>0</v>
      </c>
      <c r="N10" s="641">
        <f>tertiair!M16</f>
        <v>0</v>
      </c>
      <c r="O10" s="641">
        <f ca="1">tertiair!N16</f>
        <v>0</v>
      </c>
      <c r="P10" s="641">
        <f>tertiair!O16</f>
        <v>14.691782297523464</v>
      </c>
      <c r="Q10" s="642">
        <f>tertiair!P16</f>
        <v>105.07827661299004</v>
      </c>
      <c r="R10" s="644">
        <f ca="1">SUM(C10:Q10)</f>
        <v>135135.64830347529</v>
      </c>
      <c r="S10" s="67"/>
    </row>
    <row r="11" spans="1:19" s="440" customFormat="1">
      <c r="A11" s="761" t="s">
        <v>213</v>
      </c>
      <c r="B11" s="766"/>
      <c r="C11" s="641">
        <f>huishoudens!B8</f>
        <v>47211.574031696837</v>
      </c>
      <c r="D11" s="641">
        <f>huishoudens!C8</f>
        <v>0</v>
      </c>
      <c r="E11" s="641">
        <f>huishoudens!D8</f>
        <v>145553.02610299003</v>
      </c>
      <c r="F11" s="641">
        <f>huishoudens!E8</f>
        <v>1803.329106336744</v>
      </c>
      <c r="G11" s="641">
        <f>huishoudens!F8</f>
        <v>34703.802940964415</v>
      </c>
      <c r="H11" s="641">
        <f>huishoudens!G8</f>
        <v>0</v>
      </c>
      <c r="I11" s="641">
        <f>huishoudens!H8</f>
        <v>0</v>
      </c>
      <c r="J11" s="641">
        <f>huishoudens!I8</f>
        <v>0</v>
      </c>
      <c r="K11" s="641">
        <f>huishoudens!J8</f>
        <v>177.58305339953353</v>
      </c>
      <c r="L11" s="641">
        <f>huishoudens!K8</f>
        <v>0</v>
      </c>
      <c r="M11" s="641">
        <f>huishoudens!L8</f>
        <v>0</v>
      </c>
      <c r="N11" s="641">
        <f>huishoudens!M8</f>
        <v>0</v>
      </c>
      <c r="O11" s="641">
        <f>huishoudens!N8</f>
        <v>16337.463724444844</v>
      </c>
      <c r="P11" s="641">
        <f>huishoudens!O8</f>
        <v>478.13393087227462</v>
      </c>
      <c r="Q11" s="642">
        <f>huishoudens!P8</f>
        <v>337.08669784592075</v>
      </c>
      <c r="R11" s="644">
        <f>SUM(C11:Q11)</f>
        <v>246601.99958855062</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47259.201410000001</v>
      </c>
      <c r="D13" s="641">
        <f>industrie!C18</f>
        <v>0</v>
      </c>
      <c r="E13" s="641">
        <f>industrie!D18</f>
        <v>66328.411440126001</v>
      </c>
      <c r="F13" s="641">
        <f>industrie!E18</f>
        <v>1184.7961054248606</v>
      </c>
      <c r="G13" s="641">
        <f>industrie!F18</f>
        <v>12983.479025579058</v>
      </c>
      <c r="H13" s="641">
        <f>industrie!G18</f>
        <v>0</v>
      </c>
      <c r="I13" s="641">
        <f>industrie!H18</f>
        <v>0</v>
      </c>
      <c r="J13" s="641">
        <f>industrie!I18</f>
        <v>0</v>
      </c>
      <c r="K13" s="641">
        <f>industrie!J18</f>
        <v>91.297111525401135</v>
      </c>
      <c r="L13" s="641">
        <f>industrie!K18</f>
        <v>0</v>
      </c>
      <c r="M13" s="641">
        <f>industrie!L18</f>
        <v>0</v>
      </c>
      <c r="N13" s="641">
        <f>industrie!M18</f>
        <v>0</v>
      </c>
      <c r="O13" s="641">
        <f>industrie!N18</f>
        <v>2017.6802550912012</v>
      </c>
      <c r="P13" s="641">
        <f>industrie!O18</f>
        <v>0</v>
      </c>
      <c r="Q13" s="642">
        <f>industrie!P18</f>
        <v>0</v>
      </c>
      <c r="R13" s="644">
        <f>SUM(C13:Q13)</f>
        <v>129864.86534774651</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157090.96256769684</v>
      </c>
      <c r="D16" s="677">
        <f t="shared" ref="D16:R16" ca="1" si="0">SUM(D9:D15)</f>
        <v>20134.285714285714</v>
      </c>
      <c r="E16" s="677">
        <f t="shared" ca="1" si="0"/>
        <v>255308.41763240006</v>
      </c>
      <c r="F16" s="677">
        <f t="shared" si="0"/>
        <v>3105.1733450944562</v>
      </c>
      <c r="G16" s="677">
        <f t="shared" ca="1" si="0"/>
        <v>56404.596007558197</v>
      </c>
      <c r="H16" s="677">
        <f t="shared" si="0"/>
        <v>0</v>
      </c>
      <c r="I16" s="677">
        <f t="shared" si="0"/>
        <v>0</v>
      </c>
      <c r="J16" s="677">
        <f t="shared" si="0"/>
        <v>0</v>
      </c>
      <c r="K16" s="677">
        <f t="shared" si="0"/>
        <v>268.94330557238709</v>
      </c>
      <c r="L16" s="677">
        <f t="shared" si="0"/>
        <v>0</v>
      </c>
      <c r="M16" s="677">
        <f t="shared" ca="1" si="0"/>
        <v>0</v>
      </c>
      <c r="N16" s="677">
        <f t="shared" si="0"/>
        <v>0</v>
      </c>
      <c r="O16" s="677">
        <f t="shared" ca="1" si="0"/>
        <v>18355.143979536046</v>
      </c>
      <c r="P16" s="677">
        <f t="shared" si="0"/>
        <v>492.82571316979806</v>
      </c>
      <c r="Q16" s="677">
        <f t="shared" si="0"/>
        <v>442.16497445891082</v>
      </c>
      <c r="R16" s="677">
        <f t="shared" ca="1" si="0"/>
        <v>511602.51323977241</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28.512585294358878</v>
      </c>
      <c r="D19" s="641">
        <f>transport!C54</f>
        <v>0</v>
      </c>
      <c r="E19" s="641">
        <f>transport!D54</f>
        <v>0</v>
      </c>
      <c r="F19" s="641">
        <f>transport!E54</f>
        <v>0</v>
      </c>
      <c r="G19" s="641">
        <f>transport!F54</f>
        <v>0</v>
      </c>
      <c r="H19" s="641">
        <f>transport!G54</f>
        <v>2065.7797785639787</v>
      </c>
      <c r="I19" s="641">
        <f>transport!H54</f>
        <v>0</v>
      </c>
      <c r="J19" s="641">
        <f>transport!I54</f>
        <v>0</v>
      </c>
      <c r="K19" s="641">
        <f>transport!J54</f>
        <v>0</v>
      </c>
      <c r="L19" s="641">
        <f>transport!K54</f>
        <v>0</v>
      </c>
      <c r="M19" s="641">
        <f>transport!L54</f>
        <v>0</v>
      </c>
      <c r="N19" s="641">
        <f>transport!M54</f>
        <v>116.84665623668408</v>
      </c>
      <c r="O19" s="641">
        <f>transport!N54</f>
        <v>0</v>
      </c>
      <c r="P19" s="641">
        <f>transport!O54</f>
        <v>0</v>
      </c>
      <c r="Q19" s="642">
        <f>transport!P54</f>
        <v>0</v>
      </c>
      <c r="R19" s="644">
        <f>SUM(C19:Q19)</f>
        <v>2211.1390200950214</v>
      </c>
      <c r="S19" s="67"/>
    </row>
    <row r="20" spans="1:19" s="440" customFormat="1">
      <c r="A20" s="761" t="s">
        <v>295</v>
      </c>
      <c r="B20" s="766"/>
      <c r="C20" s="641">
        <f>transport!B14</f>
        <v>203.5022417958802</v>
      </c>
      <c r="D20" s="641">
        <f>transport!C14</f>
        <v>0</v>
      </c>
      <c r="E20" s="641">
        <f>transport!D14</f>
        <v>330.96088940517149</v>
      </c>
      <c r="F20" s="641">
        <f>transport!E14</f>
        <v>307.05973782634845</v>
      </c>
      <c r="G20" s="641">
        <f>transport!F14</f>
        <v>0</v>
      </c>
      <c r="H20" s="641">
        <f>transport!G14</f>
        <v>156957.9907847124</v>
      </c>
      <c r="I20" s="641">
        <f>transport!H14</f>
        <v>32280.948252382976</v>
      </c>
      <c r="J20" s="641">
        <f>transport!I14</f>
        <v>0</v>
      </c>
      <c r="K20" s="641">
        <f>transport!J14</f>
        <v>0</v>
      </c>
      <c r="L20" s="641">
        <f>transport!K14</f>
        <v>0</v>
      </c>
      <c r="M20" s="641">
        <f>transport!L14</f>
        <v>0</v>
      </c>
      <c r="N20" s="641">
        <f>transport!M14</f>
        <v>11184.665740378861</v>
      </c>
      <c r="O20" s="641">
        <f>transport!N14</f>
        <v>0</v>
      </c>
      <c r="P20" s="641">
        <f>transport!O14</f>
        <v>0</v>
      </c>
      <c r="Q20" s="642">
        <f>transport!P14</f>
        <v>0</v>
      </c>
      <c r="R20" s="644">
        <f>SUM(C20:Q20)</f>
        <v>201265.12764650164</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232.01482709023907</v>
      </c>
      <c r="D22" s="764">
        <f t="shared" ref="D22:R22" si="1">SUM(D18:D21)</f>
        <v>0</v>
      </c>
      <c r="E22" s="764">
        <f t="shared" si="1"/>
        <v>330.96088940517149</v>
      </c>
      <c r="F22" s="764">
        <f t="shared" si="1"/>
        <v>307.05973782634845</v>
      </c>
      <c r="G22" s="764">
        <f t="shared" si="1"/>
        <v>0</v>
      </c>
      <c r="H22" s="764">
        <f t="shared" si="1"/>
        <v>159023.77056327637</v>
      </c>
      <c r="I22" s="764">
        <f t="shared" si="1"/>
        <v>32280.948252382976</v>
      </c>
      <c r="J22" s="764">
        <f t="shared" si="1"/>
        <v>0</v>
      </c>
      <c r="K22" s="764">
        <f t="shared" si="1"/>
        <v>0</v>
      </c>
      <c r="L22" s="764">
        <f t="shared" si="1"/>
        <v>0</v>
      </c>
      <c r="M22" s="764">
        <f t="shared" si="1"/>
        <v>0</v>
      </c>
      <c r="N22" s="764">
        <f t="shared" si="1"/>
        <v>11301.512396615546</v>
      </c>
      <c r="O22" s="764">
        <f t="shared" si="1"/>
        <v>0</v>
      </c>
      <c r="P22" s="764">
        <f t="shared" si="1"/>
        <v>0</v>
      </c>
      <c r="Q22" s="764">
        <f t="shared" si="1"/>
        <v>0</v>
      </c>
      <c r="R22" s="764">
        <f t="shared" si="1"/>
        <v>203476.26666659667</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1151.008169</v>
      </c>
      <c r="D24" s="641">
        <f>+landbouw!C8</f>
        <v>0</v>
      </c>
      <c r="E24" s="641">
        <f>+landbouw!D8</f>
        <v>363.18284046000002</v>
      </c>
      <c r="F24" s="641">
        <f>+landbouw!E8</f>
        <v>46.761375720885681</v>
      </c>
      <c r="G24" s="641">
        <f>+landbouw!F8</f>
        <v>4071.5186424078051</v>
      </c>
      <c r="H24" s="641">
        <f>+landbouw!G8</f>
        <v>0</v>
      </c>
      <c r="I24" s="641">
        <f>+landbouw!H8</f>
        <v>0</v>
      </c>
      <c r="J24" s="641">
        <f>+landbouw!I8</f>
        <v>0</v>
      </c>
      <c r="K24" s="641">
        <f>+landbouw!J8</f>
        <v>327.02527985164249</v>
      </c>
      <c r="L24" s="641">
        <f>+landbouw!K8</f>
        <v>0</v>
      </c>
      <c r="M24" s="641">
        <f>+landbouw!L8</f>
        <v>0</v>
      </c>
      <c r="N24" s="641">
        <f>+landbouw!M8</f>
        <v>0</v>
      </c>
      <c r="O24" s="641">
        <f>+landbouw!N8</f>
        <v>0</v>
      </c>
      <c r="P24" s="641">
        <f>+landbouw!O8</f>
        <v>0</v>
      </c>
      <c r="Q24" s="642">
        <f>+landbouw!P8</f>
        <v>0</v>
      </c>
      <c r="R24" s="644">
        <f>SUM(C24:Q24)</f>
        <v>5959.4963074403331</v>
      </c>
      <c r="S24" s="67"/>
    </row>
    <row r="25" spans="1:19" s="440" customFormat="1" ht="15" thickBot="1">
      <c r="A25" s="783" t="s">
        <v>683</v>
      </c>
      <c r="B25" s="901"/>
      <c r="C25" s="902">
        <f>IF(Onbekend_ele_kWh="---",0,Onbekend_ele_kWh)/1000+IF(REST_rest_ele_kWh="---",0,REST_rest_ele_kWh)/1000</f>
        <v>1205.6362139999999</v>
      </c>
      <c r="D25" s="902"/>
      <c r="E25" s="902">
        <f>IF(onbekend_gas_kWh="---",0,onbekend_gas_kWh)/1000+IF(REST_rest_gas_kWh="---",0,REST_rest_gas_kWh)/1000</f>
        <v>4325.1742999999997</v>
      </c>
      <c r="F25" s="902"/>
      <c r="G25" s="902"/>
      <c r="H25" s="902"/>
      <c r="I25" s="902"/>
      <c r="J25" s="902"/>
      <c r="K25" s="902"/>
      <c r="L25" s="902"/>
      <c r="M25" s="902"/>
      <c r="N25" s="902"/>
      <c r="O25" s="902"/>
      <c r="P25" s="902"/>
      <c r="Q25" s="903"/>
      <c r="R25" s="644">
        <f>SUM(C25:Q25)</f>
        <v>5530.8105139999998</v>
      </c>
      <c r="S25" s="67"/>
    </row>
    <row r="26" spans="1:19" s="440" customFormat="1" ht="15.75" thickBot="1">
      <c r="A26" s="649" t="s">
        <v>684</v>
      </c>
      <c r="B26" s="769"/>
      <c r="C26" s="764">
        <f>SUM(C24:C25)</f>
        <v>2356.6443829999998</v>
      </c>
      <c r="D26" s="764">
        <f t="shared" ref="D26:R26" si="2">SUM(D24:D25)</f>
        <v>0</v>
      </c>
      <c r="E26" s="764">
        <f t="shared" si="2"/>
        <v>4688.3571404599998</v>
      </c>
      <c r="F26" s="764">
        <f t="shared" si="2"/>
        <v>46.761375720885681</v>
      </c>
      <c r="G26" s="764">
        <f t="shared" si="2"/>
        <v>4071.5186424078051</v>
      </c>
      <c r="H26" s="764">
        <f t="shared" si="2"/>
        <v>0</v>
      </c>
      <c r="I26" s="764">
        <f t="shared" si="2"/>
        <v>0</v>
      </c>
      <c r="J26" s="764">
        <f t="shared" si="2"/>
        <v>0</v>
      </c>
      <c r="K26" s="764">
        <f t="shared" si="2"/>
        <v>327.02527985164249</v>
      </c>
      <c r="L26" s="764">
        <f t="shared" si="2"/>
        <v>0</v>
      </c>
      <c r="M26" s="764">
        <f t="shared" si="2"/>
        <v>0</v>
      </c>
      <c r="N26" s="764">
        <f t="shared" si="2"/>
        <v>0</v>
      </c>
      <c r="O26" s="764">
        <f t="shared" si="2"/>
        <v>0</v>
      </c>
      <c r="P26" s="764">
        <f t="shared" si="2"/>
        <v>0</v>
      </c>
      <c r="Q26" s="764">
        <f t="shared" si="2"/>
        <v>0</v>
      </c>
      <c r="R26" s="764">
        <f t="shared" si="2"/>
        <v>11490.306821440332</v>
      </c>
      <c r="S26" s="67"/>
    </row>
    <row r="27" spans="1:19" s="440" customFormat="1" ht="17.25" thickTop="1" thickBot="1">
      <c r="A27" s="650" t="s">
        <v>109</v>
      </c>
      <c r="B27" s="756"/>
      <c r="C27" s="651">
        <f ca="1">C22+C16+C26</f>
        <v>159679.62177778708</v>
      </c>
      <c r="D27" s="651">
        <f t="shared" ref="D27:R27" ca="1" si="3">D22+D16+D26</f>
        <v>20134.285714285714</v>
      </c>
      <c r="E27" s="651">
        <f t="shared" ca="1" si="3"/>
        <v>260327.73566226522</v>
      </c>
      <c r="F27" s="651">
        <f t="shared" si="3"/>
        <v>3458.99445864169</v>
      </c>
      <c r="G27" s="651">
        <f t="shared" ca="1" si="3"/>
        <v>60476.114649966003</v>
      </c>
      <c r="H27" s="651">
        <f t="shared" si="3"/>
        <v>159023.77056327637</v>
      </c>
      <c r="I27" s="651">
        <f t="shared" si="3"/>
        <v>32280.948252382976</v>
      </c>
      <c r="J27" s="651">
        <f t="shared" si="3"/>
        <v>0</v>
      </c>
      <c r="K27" s="651">
        <f t="shared" si="3"/>
        <v>595.96858542402958</v>
      </c>
      <c r="L27" s="651">
        <f t="shared" si="3"/>
        <v>0</v>
      </c>
      <c r="M27" s="651">
        <f t="shared" ca="1" si="3"/>
        <v>0</v>
      </c>
      <c r="N27" s="651">
        <f t="shared" si="3"/>
        <v>11301.512396615546</v>
      </c>
      <c r="O27" s="651">
        <f t="shared" ca="1" si="3"/>
        <v>18355.143979536046</v>
      </c>
      <c r="P27" s="651">
        <f t="shared" si="3"/>
        <v>492.82571316979806</v>
      </c>
      <c r="Q27" s="651">
        <f t="shared" si="3"/>
        <v>442.16497445891082</v>
      </c>
      <c r="R27" s="651">
        <f t="shared" ca="1" si="3"/>
        <v>726569.08672780939</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10836.917403455815</v>
      </c>
      <c r="D40" s="641">
        <f ca="1">tertiair!C20</f>
        <v>0</v>
      </c>
      <c r="E40" s="641">
        <f ca="1">tertiair!D20</f>
        <v>8772.2499780353683</v>
      </c>
      <c r="F40" s="641">
        <f>tertiair!E20</f>
        <v>26.569926266557324</v>
      </c>
      <c r="G40" s="641">
        <f ca="1">tertiair!F20</f>
        <v>2327.5228489509318</v>
      </c>
      <c r="H40" s="641">
        <f>tertiair!G20</f>
        <v>0</v>
      </c>
      <c r="I40" s="641">
        <f>tertiair!H20</f>
        <v>0</v>
      </c>
      <c r="J40" s="641">
        <f>tertiair!I20</f>
        <v>0</v>
      </c>
      <c r="K40" s="641">
        <f>tertiair!J20</f>
        <v>2.2351789198153713E-2</v>
      </c>
      <c r="L40" s="641">
        <f>tertiair!K20</f>
        <v>0</v>
      </c>
      <c r="M40" s="641">
        <f ca="1">tertiair!L20</f>
        <v>0</v>
      </c>
      <c r="N40" s="641">
        <f>tertiair!M20</f>
        <v>0</v>
      </c>
      <c r="O40" s="641">
        <f ca="1">tertiair!N20</f>
        <v>0</v>
      </c>
      <c r="P40" s="641">
        <f>tertiair!O20</f>
        <v>0</v>
      </c>
      <c r="Q40" s="724">
        <f>tertiair!P20</f>
        <v>0</v>
      </c>
      <c r="R40" s="802">
        <f t="shared" ca="1" si="4"/>
        <v>21963.282508497872</v>
      </c>
    </row>
    <row r="41" spans="1:18">
      <c r="A41" s="774" t="s">
        <v>213</v>
      </c>
      <c r="B41" s="781"/>
      <c r="C41" s="641">
        <f ca="1">huishoudens!B12</f>
        <v>8170.3353463185258</v>
      </c>
      <c r="D41" s="641">
        <f ca="1">huishoudens!C12</f>
        <v>0</v>
      </c>
      <c r="E41" s="641">
        <f>huishoudens!D12</f>
        <v>29401.711272803987</v>
      </c>
      <c r="F41" s="641">
        <f>huishoudens!E12</f>
        <v>409.35570713844089</v>
      </c>
      <c r="G41" s="641">
        <f>huishoudens!F12</f>
        <v>9265.9153852375002</v>
      </c>
      <c r="H41" s="641">
        <f>huishoudens!G12</f>
        <v>0</v>
      </c>
      <c r="I41" s="641">
        <f>huishoudens!H12</f>
        <v>0</v>
      </c>
      <c r="J41" s="641">
        <f>huishoudens!I12</f>
        <v>0</v>
      </c>
      <c r="K41" s="641">
        <f>huishoudens!J12</f>
        <v>62.864400903434863</v>
      </c>
      <c r="L41" s="641">
        <f>huishoudens!K12</f>
        <v>0</v>
      </c>
      <c r="M41" s="641">
        <f>huishoudens!L12</f>
        <v>0</v>
      </c>
      <c r="N41" s="641">
        <f>huishoudens!M12</f>
        <v>0</v>
      </c>
      <c r="O41" s="641">
        <f>huishoudens!N12</f>
        <v>0</v>
      </c>
      <c r="P41" s="641">
        <f>huishoudens!O12</f>
        <v>0</v>
      </c>
      <c r="Q41" s="724">
        <f>huishoudens!P12</f>
        <v>0</v>
      </c>
      <c r="R41" s="802">
        <f t="shared" ca="1" si="4"/>
        <v>47310.18211240189</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8178.5776398743728</v>
      </c>
      <c r="D43" s="641">
        <f ca="1">industrie!C22</f>
        <v>0</v>
      </c>
      <c r="E43" s="641">
        <f>industrie!D22</f>
        <v>13398.339110905454</v>
      </c>
      <c r="F43" s="641">
        <f>industrie!E22</f>
        <v>268.94871593144336</v>
      </c>
      <c r="G43" s="641">
        <f>industrie!F22</f>
        <v>3466.5888998296086</v>
      </c>
      <c r="H43" s="641">
        <f>industrie!G22</f>
        <v>0</v>
      </c>
      <c r="I43" s="641">
        <f>industrie!H22</f>
        <v>0</v>
      </c>
      <c r="J43" s="641">
        <f>industrie!I22</f>
        <v>0</v>
      </c>
      <c r="K43" s="641">
        <f>industrie!J22</f>
        <v>32.319177479992</v>
      </c>
      <c r="L43" s="641">
        <f>industrie!K22</f>
        <v>0</v>
      </c>
      <c r="M43" s="641">
        <f>industrie!L22</f>
        <v>0</v>
      </c>
      <c r="N43" s="641">
        <f>industrie!M22</f>
        <v>0</v>
      </c>
      <c r="O43" s="641">
        <f>industrie!N22</f>
        <v>0</v>
      </c>
      <c r="P43" s="641">
        <f>industrie!O22</f>
        <v>0</v>
      </c>
      <c r="Q43" s="724">
        <f>industrie!P22</f>
        <v>0</v>
      </c>
      <c r="R43" s="801">
        <f t="shared" ca="1" si="4"/>
        <v>25344.773544020871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27185.830389648712</v>
      </c>
      <c r="D46" s="677">
        <f t="shared" ref="D46:Q46" ca="1" si="5">SUM(D39:D45)</f>
        <v>0</v>
      </c>
      <c r="E46" s="677">
        <f t="shared" ca="1" si="5"/>
        <v>51572.300361744812</v>
      </c>
      <c r="F46" s="677">
        <f t="shared" si="5"/>
        <v>704.87434933644158</v>
      </c>
      <c r="G46" s="677">
        <f t="shared" ca="1" si="5"/>
        <v>15060.027134018041</v>
      </c>
      <c r="H46" s="677">
        <f t="shared" si="5"/>
        <v>0</v>
      </c>
      <c r="I46" s="677">
        <f t="shared" si="5"/>
        <v>0</v>
      </c>
      <c r="J46" s="677">
        <f t="shared" si="5"/>
        <v>0</v>
      </c>
      <c r="K46" s="677">
        <f t="shared" si="5"/>
        <v>95.205930172625017</v>
      </c>
      <c r="L46" s="677">
        <f t="shared" si="5"/>
        <v>0</v>
      </c>
      <c r="M46" s="677">
        <f t="shared" ca="1" si="5"/>
        <v>0</v>
      </c>
      <c r="N46" s="677">
        <f t="shared" si="5"/>
        <v>0</v>
      </c>
      <c r="O46" s="677">
        <f t="shared" ca="1" si="5"/>
        <v>0</v>
      </c>
      <c r="P46" s="677">
        <f t="shared" si="5"/>
        <v>0</v>
      </c>
      <c r="Q46" s="677">
        <f t="shared" si="5"/>
        <v>0</v>
      </c>
      <c r="R46" s="677">
        <f ca="1">SUM(R39:R45)</f>
        <v>94618.238164920622</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4.9343278258212608</v>
      </c>
      <c r="D49" s="641">
        <f ca="1">transport!C58</f>
        <v>0</v>
      </c>
      <c r="E49" s="641">
        <f>transport!D58</f>
        <v>0</v>
      </c>
      <c r="F49" s="641">
        <f>transport!E58</f>
        <v>0</v>
      </c>
      <c r="G49" s="641">
        <f>transport!F58</f>
        <v>0</v>
      </c>
      <c r="H49" s="641">
        <f>transport!G58</f>
        <v>551.5632008765823</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556.49752870240354</v>
      </c>
    </row>
    <row r="50" spans="1:18">
      <c r="A50" s="777" t="s">
        <v>295</v>
      </c>
      <c r="B50" s="787"/>
      <c r="C50" s="647">
        <f ca="1">transport!B18</f>
        <v>35.217668406557479</v>
      </c>
      <c r="D50" s="647">
        <f>transport!C18</f>
        <v>0</v>
      </c>
      <c r="E50" s="647">
        <f>transport!D18</f>
        <v>66.85409965984465</v>
      </c>
      <c r="F50" s="647">
        <f>transport!E18</f>
        <v>69.702560486581106</v>
      </c>
      <c r="G50" s="647">
        <f>transport!F18</f>
        <v>0</v>
      </c>
      <c r="H50" s="647">
        <f>transport!G18</f>
        <v>41907.783539518212</v>
      </c>
      <c r="I50" s="647">
        <f>transport!H18</f>
        <v>8037.9561148433613</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50117.513982914563</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40.151996232378742</v>
      </c>
      <c r="D52" s="677">
        <f t="shared" ref="D52:Q52" ca="1" si="6">SUM(D48:D51)</f>
        <v>0</v>
      </c>
      <c r="E52" s="677">
        <f t="shared" si="6"/>
        <v>66.85409965984465</v>
      </c>
      <c r="F52" s="677">
        <f t="shared" si="6"/>
        <v>69.702560486581106</v>
      </c>
      <c r="G52" s="677">
        <f t="shared" si="6"/>
        <v>0</v>
      </c>
      <c r="H52" s="677">
        <f t="shared" si="6"/>
        <v>42459.346740394794</v>
      </c>
      <c r="I52" s="677">
        <f t="shared" si="6"/>
        <v>8037.9561148433613</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50674.011511616969</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199.19104414456382</v>
      </c>
      <c r="D54" s="647">
        <f ca="1">+landbouw!C12</f>
        <v>0</v>
      </c>
      <c r="E54" s="647">
        <f>+landbouw!D12</f>
        <v>73.362933772920016</v>
      </c>
      <c r="F54" s="647">
        <f>+landbouw!E12</f>
        <v>10.61483228864105</v>
      </c>
      <c r="G54" s="647">
        <f>+landbouw!F12</f>
        <v>1087.095477522884</v>
      </c>
      <c r="H54" s="647">
        <f>+landbouw!G12</f>
        <v>0</v>
      </c>
      <c r="I54" s="647">
        <f>+landbouw!H12</f>
        <v>0</v>
      </c>
      <c r="J54" s="647">
        <f>+landbouw!I12</f>
        <v>0</v>
      </c>
      <c r="K54" s="647">
        <f>+landbouw!J12</f>
        <v>115.76694906748143</v>
      </c>
      <c r="L54" s="647">
        <f>+landbouw!K12</f>
        <v>0</v>
      </c>
      <c r="M54" s="647">
        <f>+landbouw!L12</f>
        <v>0</v>
      </c>
      <c r="N54" s="647">
        <f>+landbouw!M12</f>
        <v>0</v>
      </c>
      <c r="O54" s="647">
        <f>+landbouw!N12</f>
        <v>0</v>
      </c>
      <c r="P54" s="647">
        <f>+landbouw!O12</f>
        <v>0</v>
      </c>
      <c r="Q54" s="648">
        <f>+landbouw!P12</f>
        <v>0</v>
      </c>
      <c r="R54" s="676">
        <f ca="1">SUM(C54:Q54)</f>
        <v>1486.0312367964902</v>
      </c>
    </row>
    <row r="55" spans="1:18" ht="15" thickBot="1">
      <c r="A55" s="777" t="s">
        <v>683</v>
      </c>
      <c r="B55" s="787"/>
      <c r="C55" s="647">
        <f ca="1">C25*'EF ele_warmte'!B12</f>
        <v>208.64485830174743</v>
      </c>
      <c r="D55" s="647"/>
      <c r="E55" s="647">
        <f>E25*EF_CO2_aardgas</f>
        <v>873.68520860000001</v>
      </c>
      <c r="F55" s="647"/>
      <c r="G55" s="647"/>
      <c r="H55" s="647"/>
      <c r="I55" s="647"/>
      <c r="J55" s="647"/>
      <c r="K55" s="647"/>
      <c r="L55" s="647"/>
      <c r="M55" s="647"/>
      <c r="N55" s="647"/>
      <c r="O55" s="647"/>
      <c r="P55" s="647"/>
      <c r="Q55" s="648"/>
      <c r="R55" s="676">
        <f ca="1">SUM(C55:Q55)</f>
        <v>1082.3300669017474</v>
      </c>
    </row>
    <row r="56" spans="1:18" ht="15.75" thickBot="1">
      <c r="A56" s="775" t="s">
        <v>684</v>
      </c>
      <c r="B56" s="788"/>
      <c r="C56" s="677">
        <f ca="1">SUM(C54:C55)</f>
        <v>407.83590244631125</v>
      </c>
      <c r="D56" s="677">
        <f t="shared" ref="D56:Q56" ca="1" si="7">SUM(D54:D55)</f>
        <v>0</v>
      </c>
      <c r="E56" s="677">
        <f t="shared" si="7"/>
        <v>947.04814237291998</v>
      </c>
      <c r="F56" s="677">
        <f t="shared" si="7"/>
        <v>10.61483228864105</v>
      </c>
      <c r="G56" s="677">
        <f t="shared" si="7"/>
        <v>1087.095477522884</v>
      </c>
      <c r="H56" s="677">
        <f t="shared" si="7"/>
        <v>0</v>
      </c>
      <c r="I56" s="677">
        <f t="shared" si="7"/>
        <v>0</v>
      </c>
      <c r="J56" s="677">
        <f t="shared" si="7"/>
        <v>0</v>
      </c>
      <c r="K56" s="677">
        <f t="shared" si="7"/>
        <v>115.76694906748143</v>
      </c>
      <c r="L56" s="677">
        <f t="shared" si="7"/>
        <v>0</v>
      </c>
      <c r="M56" s="677">
        <f t="shared" si="7"/>
        <v>0</v>
      </c>
      <c r="N56" s="677">
        <f t="shared" si="7"/>
        <v>0</v>
      </c>
      <c r="O56" s="677">
        <f t="shared" si="7"/>
        <v>0</v>
      </c>
      <c r="P56" s="677">
        <f t="shared" si="7"/>
        <v>0</v>
      </c>
      <c r="Q56" s="678">
        <f t="shared" si="7"/>
        <v>0</v>
      </c>
      <c r="R56" s="679">
        <f ca="1">SUM(R54:R55)</f>
        <v>2568.3613036982379</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27633.818288327402</v>
      </c>
      <c r="D61" s="685">
        <f t="shared" ref="D61:Q61" ca="1" si="8">D46+D52+D56</f>
        <v>0</v>
      </c>
      <c r="E61" s="685">
        <f t="shared" ca="1" si="8"/>
        <v>52586.202603777579</v>
      </c>
      <c r="F61" s="685">
        <f t="shared" si="8"/>
        <v>785.19174211166376</v>
      </c>
      <c r="G61" s="685">
        <f t="shared" ca="1" si="8"/>
        <v>16147.122611540924</v>
      </c>
      <c r="H61" s="685">
        <f t="shared" si="8"/>
        <v>42459.346740394794</v>
      </c>
      <c r="I61" s="685">
        <f t="shared" si="8"/>
        <v>8037.9561148433613</v>
      </c>
      <c r="J61" s="685">
        <f t="shared" si="8"/>
        <v>0</v>
      </c>
      <c r="K61" s="685">
        <f t="shared" si="8"/>
        <v>210.97287924010647</v>
      </c>
      <c r="L61" s="685">
        <f t="shared" si="8"/>
        <v>0</v>
      </c>
      <c r="M61" s="685">
        <f t="shared" ca="1" si="8"/>
        <v>0</v>
      </c>
      <c r="N61" s="685">
        <f t="shared" si="8"/>
        <v>0</v>
      </c>
      <c r="O61" s="685">
        <f t="shared" ca="1" si="8"/>
        <v>0</v>
      </c>
      <c r="P61" s="685">
        <f t="shared" si="8"/>
        <v>0</v>
      </c>
      <c r="Q61" s="685">
        <f t="shared" si="8"/>
        <v>0</v>
      </c>
      <c r="R61" s="685">
        <f ca="1">R46+R52+R56</f>
        <v>147860.61098023583</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0.17305788916999754</v>
      </c>
      <c r="D63" s="731">
        <f t="shared" ca="1" si="9"/>
        <v>0</v>
      </c>
      <c r="E63" s="927">
        <f t="shared" ca="1" si="9"/>
        <v>0.20200000000000001</v>
      </c>
      <c r="F63" s="731">
        <f t="shared" si="9"/>
        <v>0.22700000000000004</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8136.854075276764</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12408.86594537272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14094</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16581.176470588238</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34639.720020649482</v>
      </c>
      <c r="C78" s="703">
        <f>SUM(C72:C77)</f>
        <v>0</v>
      </c>
      <c r="D78" s="704">
        <f t="shared" ref="D78:H78" si="10">SUM(D76:D77)</f>
        <v>0</v>
      </c>
      <c r="E78" s="704">
        <f t="shared" si="10"/>
        <v>0</v>
      </c>
      <c r="F78" s="704">
        <f t="shared" si="10"/>
        <v>0</v>
      </c>
      <c r="G78" s="704">
        <f t="shared" si="10"/>
        <v>0</v>
      </c>
      <c r="H78" s="704">
        <f t="shared" si="10"/>
        <v>0</v>
      </c>
      <c r="I78" s="704">
        <f>SUM(I76:I77)</f>
        <v>0</v>
      </c>
      <c r="J78" s="704">
        <f>SUM(J76:J77)</f>
        <v>16581.176470588238</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20134.285714285714</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23687.394957983193</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20134.285714285714</v>
      </c>
      <c r="C90" s="703">
        <f>SUM(C87:C89)</f>
        <v>0</v>
      </c>
      <c r="D90" s="703">
        <f t="shared" ref="D90:H90" si="12">SUM(D87:D89)</f>
        <v>0</v>
      </c>
      <c r="E90" s="703">
        <f t="shared" si="12"/>
        <v>0</v>
      </c>
      <c r="F90" s="703">
        <f t="shared" si="12"/>
        <v>0</v>
      </c>
      <c r="G90" s="703">
        <f t="shared" si="12"/>
        <v>0</v>
      </c>
      <c r="H90" s="703">
        <f t="shared" si="12"/>
        <v>0</v>
      </c>
      <c r="I90" s="703">
        <f>SUM(I87:I89)</f>
        <v>0</v>
      </c>
      <c r="J90" s="703">
        <f>SUM(J87:J89)</f>
        <v>23687.394957983193</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47211.574031696837</v>
      </c>
      <c r="C4" s="444">
        <f>huishoudens!C8</f>
        <v>0</v>
      </c>
      <c r="D4" s="444">
        <f>huishoudens!D8</f>
        <v>145553.02610299003</v>
      </c>
      <c r="E4" s="444">
        <f>huishoudens!E8</f>
        <v>1803.329106336744</v>
      </c>
      <c r="F4" s="444">
        <f>huishoudens!F8</f>
        <v>34703.802940964415</v>
      </c>
      <c r="G4" s="444">
        <f>huishoudens!G8</f>
        <v>0</v>
      </c>
      <c r="H4" s="444">
        <f>huishoudens!H8</f>
        <v>0</v>
      </c>
      <c r="I4" s="444">
        <f>huishoudens!I8</f>
        <v>0</v>
      </c>
      <c r="J4" s="444">
        <f>huishoudens!J8</f>
        <v>177.58305339953353</v>
      </c>
      <c r="K4" s="444">
        <f>huishoudens!K8</f>
        <v>0</v>
      </c>
      <c r="L4" s="444">
        <f>huishoudens!L8</f>
        <v>0</v>
      </c>
      <c r="M4" s="444">
        <f>huishoudens!M8</f>
        <v>0</v>
      </c>
      <c r="N4" s="444">
        <f>huishoudens!N8</f>
        <v>16337.463724444844</v>
      </c>
      <c r="O4" s="444">
        <f>huishoudens!O8</f>
        <v>478.13393087227462</v>
      </c>
      <c r="P4" s="445">
        <f>huishoudens!P8</f>
        <v>337.08669784592075</v>
      </c>
      <c r="Q4" s="446">
        <f>SUM(B4:P4)</f>
        <v>246601.99958855062</v>
      </c>
    </row>
    <row r="5" spans="1:17">
      <c r="A5" s="443" t="s">
        <v>149</v>
      </c>
      <c r="B5" s="444">
        <f ca="1">tertiair!B16</f>
        <v>60484.175125999995</v>
      </c>
      <c r="C5" s="444">
        <f ca="1">tertiair!C16</f>
        <v>20134.285714285714</v>
      </c>
      <c r="D5" s="444">
        <f ca="1">tertiair!D16</f>
        <v>43426.980089283999</v>
      </c>
      <c r="E5" s="444">
        <f>tertiair!E16</f>
        <v>117.04813333285165</v>
      </c>
      <c r="F5" s="444">
        <f ca="1">tertiair!F16</f>
        <v>8717.3140410147262</v>
      </c>
      <c r="G5" s="444">
        <f>tertiair!G16</f>
        <v>0</v>
      </c>
      <c r="H5" s="444">
        <f>tertiair!H16</f>
        <v>0</v>
      </c>
      <c r="I5" s="444">
        <f>tertiair!I16</f>
        <v>0</v>
      </c>
      <c r="J5" s="444">
        <f>tertiair!J16</f>
        <v>6.3140647452411616E-2</v>
      </c>
      <c r="K5" s="444">
        <f>tertiair!K16</f>
        <v>0</v>
      </c>
      <c r="L5" s="444">
        <f ca="1">tertiair!L16</f>
        <v>0</v>
      </c>
      <c r="M5" s="444">
        <f>tertiair!M16</f>
        <v>0</v>
      </c>
      <c r="N5" s="444">
        <f ca="1">tertiair!N16</f>
        <v>0</v>
      </c>
      <c r="O5" s="444">
        <f>tertiair!O16</f>
        <v>14.691782297523464</v>
      </c>
      <c r="P5" s="445">
        <f>tertiair!P16</f>
        <v>105.07827661299004</v>
      </c>
      <c r="Q5" s="443">
        <f t="shared" ref="Q5:Q14" ca="1" si="0">SUM(B5:P5)</f>
        <v>132999.63630347527</v>
      </c>
    </row>
    <row r="6" spans="1:17">
      <c r="A6" s="443" t="s">
        <v>187</v>
      </c>
      <c r="B6" s="444">
        <f>'openbare verlichting'!B8</f>
        <v>2136.0120000000002</v>
      </c>
      <c r="C6" s="444"/>
      <c r="D6" s="444"/>
      <c r="E6" s="444"/>
      <c r="F6" s="444"/>
      <c r="G6" s="444"/>
      <c r="H6" s="444"/>
      <c r="I6" s="444"/>
      <c r="J6" s="444"/>
      <c r="K6" s="444"/>
      <c r="L6" s="444"/>
      <c r="M6" s="444"/>
      <c r="N6" s="444"/>
      <c r="O6" s="444"/>
      <c r="P6" s="445"/>
      <c r="Q6" s="443">
        <f t="shared" si="0"/>
        <v>2136.0120000000002</v>
      </c>
    </row>
    <row r="7" spans="1:17">
      <c r="A7" s="443" t="s">
        <v>105</v>
      </c>
      <c r="B7" s="444">
        <f>landbouw!B8</f>
        <v>1151.008169</v>
      </c>
      <c r="C7" s="444">
        <f>landbouw!C8</f>
        <v>0</v>
      </c>
      <c r="D7" s="444">
        <f>landbouw!D8</f>
        <v>363.18284046000002</v>
      </c>
      <c r="E7" s="444">
        <f>landbouw!E8</f>
        <v>46.761375720885681</v>
      </c>
      <c r="F7" s="444">
        <f>landbouw!F8</f>
        <v>4071.5186424078051</v>
      </c>
      <c r="G7" s="444">
        <f>landbouw!G8</f>
        <v>0</v>
      </c>
      <c r="H7" s="444">
        <f>landbouw!H8</f>
        <v>0</v>
      </c>
      <c r="I7" s="444">
        <f>landbouw!I8</f>
        <v>0</v>
      </c>
      <c r="J7" s="444">
        <f>landbouw!J8</f>
        <v>327.02527985164249</v>
      </c>
      <c r="K7" s="444">
        <f>landbouw!K8</f>
        <v>0</v>
      </c>
      <c r="L7" s="444">
        <f>landbouw!L8</f>
        <v>0</v>
      </c>
      <c r="M7" s="444">
        <f>landbouw!M8</f>
        <v>0</v>
      </c>
      <c r="N7" s="444">
        <f>landbouw!N8</f>
        <v>0</v>
      </c>
      <c r="O7" s="444">
        <f>landbouw!O8</f>
        <v>0</v>
      </c>
      <c r="P7" s="445">
        <f>landbouw!P8</f>
        <v>0</v>
      </c>
      <c r="Q7" s="443">
        <f t="shared" si="0"/>
        <v>5959.4963074403331</v>
      </c>
    </row>
    <row r="8" spans="1:17">
      <c r="A8" s="443" t="s">
        <v>587</v>
      </c>
      <c r="B8" s="444">
        <f>industrie!B18</f>
        <v>47259.201410000001</v>
      </c>
      <c r="C8" s="444">
        <f>industrie!C18</f>
        <v>0</v>
      </c>
      <c r="D8" s="444">
        <f>industrie!D18</f>
        <v>66328.411440126001</v>
      </c>
      <c r="E8" s="444">
        <f>industrie!E18</f>
        <v>1184.7961054248606</v>
      </c>
      <c r="F8" s="444">
        <f>industrie!F18</f>
        <v>12983.479025579058</v>
      </c>
      <c r="G8" s="444">
        <f>industrie!G18</f>
        <v>0</v>
      </c>
      <c r="H8" s="444">
        <f>industrie!H18</f>
        <v>0</v>
      </c>
      <c r="I8" s="444">
        <f>industrie!I18</f>
        <v>0</v>
      </c>
      <c r="J8" s="444">
        <f>industrie!J18</f>
        <v>91.297111525401135</v>
      </c>
      <c r="K8" s="444">
        <f>industrie!K18</f>
        <v>0</v>
      </c>
      <c r="L8" s="444">
        <f>industrie!L18</f>
        <v>0</v>
      </c>
      <c r="M8" s="444">
        <f>industrie!M18</f>
        <v>0</v>
      </c>
      <c r="N8" s="444">
        <f>industrie!N18</f>
        <v>2017.6802550912012</v>
      </c>
      <c r="O8" s="444">
        <f>industrie!O18</f>
        <v>0</v>
      </c>
      <c r="P8" s="445">
        <f>industrie!P18</f>
        <v>0</v>
      </c>
      <c r="Q8" s="443">
        <f t="shared" si="0"/>
        <v>129864.86534774651</v>
      </c>
    </row>
    <row r="9" spans="1:17" s="449" customFormat="1">
      <c r="A9" s="447" t="s">
        <v>536</v>
      </c>
      <c r="B9" s="448">
        <f>transport!B14</f>
        <v>203.5022417958802</v>
      </c>
      <c r="C9" s="448">
        <f>transport!C14</f>
        <v>0</v>
      </c>
      <c r="D9" s="448">
        <f>transport!D14</f>
        <v>330.96088940517149</v>
      </c>
      <c r="E9" s="448">
        <f>transport!E14</f>
        <v>307.05973782634845</v>
      </c>
      <c r="F9" s="448">
        <f>transport!F14</f>
        <v>0</v>
      </c>
      <c r="G9" s="448">
        <f>transport!G14</f>
        <v>156957.9907847124</v>
      </c>
      <c r="H9" s="448">
        <f>transport!H14</f>
        <v>32280.948252382976</v>
      </c>
      <c r="I9" s="448">
        <f>transport!I14</f>
        <v>0</v>
      </c>
      <c r="J9" s="448">
        <f>transport!J14</f>
        <v>0</v>
      </c>
      <c r="K9" s="448">
        <f>transport!K14</f>
        <v>0</v>
      </c>
      <c r="L9" s="448">
        <f>transport!L14</f>
        <v>0</v>
      </c>
      <c r="M9" s="448">
        <f>transport!M14</f>
        <v>11184.665740378861</v>
      </c>
      <c r="N9" s="448">
        <f>transport!N14</f>
        <v>0</v>
      </c>
      <c r="O9" s="448">
        <f>transport!O14</f>
        <v>0</v>
      </c>
      <c r="P9" s="448">
        <f>transport!P14</f>
        <v>0</v>
      </c>
      <c r="Q9" s="447">
        <f>SUM(B9:P9)</f>
        <v>201265.12764650164</v>
      </c>
    </row>
    <row r="10" spans="1:17">
      <c r="A10" s="443" t="s">
        <v>526</v>
      </c>
      <c r="B10" s="444">
        <f>transport!B54</f>
        <v>28.512585294358878</v>
      </c>
      <c r="C10" s="444">
        <f>transport!C54</f>
        <v>0</v>
      </c>
      <c r="D10" s="444">
        <f>transport!D54</f>
        <v>0</v>
      </c>
      <c r="E10" s="444">
        <f>transport!E54</f>
        <v>0</v>
      </c>
      <c r="F10" s="444">
        <f>transport!F54</f>
        <v>0</v>
      </c>
      <c r="G10" s="444">
        <f>transport!G54</f>
        <v>2065.7797785639787</v>
      </c>
      <c r="H10" s="444">
        <f>transport!H54</f>
        <v>0</v>
      </c>
      <c r="I10" s="444">
        <f>transport!I54</f>
        <v>0</v>
      </c>
      <c r="J10" s="444">
        <f>transport!J54</f>
        <v>0</v>
      </c>
      <c r="K10" s="444">
        <f>transport!K54</f>
        <v>0</v>
      </c>
      <c r="L10" s="444">
        <f>transport!L54</f>
        <v>0</v>
      </c>
      <c r="M10" s="444">
        <f>transport!M54</f>
        <v>116.84665623668408</v>
      </c>
      <c r="N10" s="444">
        <f>transport!N54</f>
        <v>0</v>
      </c>
      <c r="O10" s="444">
        <f>transport!O54</f>
        <v>0</v>
      </c>
      <c r="P10" s="445">
        <f>transport!P54</f>
        <v>0</v>
      </c>
      <c r="Q10" s="443">
        <f t="shared" si="0"/>
        <v>2211.1390200950214</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1205.6362139999999</v>
      </c>
      <c r="C14" s="451"/>
      <c r="D14" s="451">
        <f>'SEAP template'!E25</f>
        <v>4325.1742999999997</v>
      </c>
      <c r="E14" s="451"/>
      <c r="F14" s="451"/>
      <c r="G14" s="451"/>
      <c r="H14" s="451"/>
      <c r="I14" s="451"/>
      <c r="J14" s="451"/>
      <c r="K14" s="451"/>
      <c r="L14" s="451"/>
      <c r="M14" s="451"/>
      <c r="N14" s="451"/>
      <c r="O14" s="451"/>
      <c r="P14" s="452"/>
      <c r="Q14" s="443">
        <f t="shared" si="0"/>
        <v>5530.8105139999998</v>
      </c>
    </row>
    <row r="15" spans="1:17" s="455" customFormat="1">
      <c r="A15" s="453" t="s">
        <v>530</v>
      </c>
      <c r="B15" s="454">
        <f ca="1">SUM(B4:B14)</f>
        <v>159679.62177778705</v>
      </c>
      <c r="C15" s="454">
        <f t="shared" ref="C15:Q15" ca="1" si="1">SUM(C4:C14)</f>
        <v>20134.285714285714</v>
      </c>
      <c r="D15" s="454">
        <f t="shared" ca="1" si="1"/>
        <v>260327.73566226522</v>
      </c>
      <c r="E15" s="454">
        <f t="shared" si="1"/>
        <v>3458.9944586416905</v>
      </c>
      <c r="F15" s="454">
        <f t="shared" ca="1" si="1"/>
        <v>60476.114649966003</v>
      </c>
      <c r="G15" s="454">
        <f t="shared" si="1"/>
        <v>159023.77056327637</v>
      </c>
      <c r="H15" s="454">
        <f t="shared" si="1"/>
        <v>32280.948252382976</v>
      </c>
      <c r="I15" s="454">
        <f t="shared" si="1"/>
        <v>0</v>
      </c>
      <c r="J15" s="454">
        <f t="shared" si="1"/>
        <v>595.96858542402947</v>
      </c>
      <c r="K15" s="454">
        <f t="shared" si="1"/>
        <v>0</v>
      </c>
      <c r="L15" s="454">
        <f t="shared" ca="1" si="1"/>
        <v>0</v>
      </c>
      <c r="M15" s="454">
        <f t="shared" si="1"/>
        <v>11301.512396615546</v>
      </c>
      <c r="N15" s="454">
        <f t="shared" ca="1" si="1"/>
        <v>18355.143979536046</v>
      </c>
      <c r="O15" s="454">
        <f t="shared" si="1"/>
        <v>492.82571316979806</v>
      </c>
      <c r="P15" s="454">
        <f t="shared" si="1"/>
        <v>442.16497445891082</v>
      </c>
      <c r="Q15" s="454">
        <f t="shared" ca="1" si="1"/>
        <v>726569.08672780939</v>
      </c>
    </row>
    <row r="17" spans="1:17">
      <c r="A17" s="456" t="s">
        <v>531</v>
      </c>
      <c r="B17" s="736">
        <f ca="1">huishoudens!B10</f>
        <v>0.17305788916999756</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8170.3353463185258</v>
      </c>
      <c r="C22" s="444">
        <f t="shared" ref="C22:C32" ca="1" si="3">C4*$C$17</f>
        <v>0</v>
      </c>
      <c r="D22" s="444">
        <f t="shared" ref="D22:D32" si="4">D4*$D$17</f>
        <v>29401.711272803987</v>
      </c>
      <c r="E22" s="444">
        <f t="shared" ref="E22:E32" si="5">E4*$E$17</f>
        <v>409.35570713844089</v>
      </c>
      <c r="F22" s="444">
        <f t="shared" ref="F22:F32" si="6">F4*$F$17</f>
        <v>9265.9153852375002</v>
      </c>
      <c r="G22" s="444">
        <f t="shared" ref="G22:G32" si="7">G4*$G$17</f>
        <v>0</v>
      </c>
      <c r="H22" s="444">
        <f t="shared" ref="H22:H32" si="8">H4*$H$17</f>
        <v>0</v>
      </c>
      <c r="I22" s="444">
        <f t="shared" ref="I22:I32" si="9">I4*$I$17</f>
        <v>0</v>
      </c>
      <c r="J22" s="444">
        <f t="shared" ref="J22:J32" si="10">J4*$J$17</f>
        <v>62.864400903434863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47310.18211240189</v>
      </c>
    </row>
    <row r="23" spans="1:17">
      <c r="A23" s="443" t="s">
        <v>149</v>
      </c>
      <c r="B23" s="444">
        <f t="shared" ca="1" si="2"/>
        <v>10467.26367549403</v>
      </c>
      <c r="C23" s="444">
        <f t="shared" ca="1" si="3"/>
        <v>0</v>
      </c>
      <c r="D23" s="444">
        <f t="shared" ca="1" si="4"/>
        <v>8772.2499780353683</v>
      </c>
      <c r="E23" s="444">
        <f t="shared" si="5"/>
        <v>26.569926266557324</v>
      </c>
      <c r="F23" s="444">
        <f t="shared" ca="1" si="6"/>
        <v>2327.5228489509318</v>
      </c>
      <c r="G23" s="444">
        <f t="shared" si="7"/>
        <v>0</v>
      </c>
      <c r="H23" s="444">
        <f t="shared" si="8"/>
        <v>0</v>
      </c>
      <c r="I23" s="444">
        <f t="shared" si="9"/>
        <v>0</v>
      </c>
      <c r="J23" s="444">
        <f t="shared" si="10"/>
        <v>2.2351789198153713E-2</v>
      </c>
      <c r="K23" s="444">
        <f t="shared" si="11"/>
        <v>0</v>
      </c>
      <c r="L23" s="444">
        <f t="shared" ca="1" si="12"/>
        <v>0</v>
      </c>
      <c r="M23" s="444">
        <f t="shared" si="13"/>
        <v>0</v>
      </c>
      <c r="N23" s="444">
        <f t="shared" ca="1" si="14"/>
        <v>0</v>
      </c>
      <c r="O23" s="444">
        <f t="shared" si="15"/>
        <v>0</v>
      </c>
      <c r="P23" s="445">
        <f t="shared" si="16"/>
        <v>0</v>
      </c>
      <c r="Q23" s="443">
        <f t="shared" ref="Q23:Q31" ca="1" si="17">SUM(B23:P23)</f>
        <v>21593.628780536088</v>
      </c>
    </row>
    <row r="24" spans="1:17">
      <c r="A24" s="443" t="s">
        <v>187</v>
      </c>
      <c r="B24" s="444">
        <f t="shared" ca="1" si="2"/>
        <v>369.65372796178485</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369.65372796178485</v>
      </c>
    </row>
    <row r="25" spans="1:17">
      <c r="A25" s="443" t="s">
        <v>105</v>
      </c>
      <c r="B25" s="444">
        <f t="shared" ca="1" si="2"/>
        <v>199.19104414456382</v>
      </c>
      <c r="C25" s="444">
        <f t="shared" ca="1" si="3"/>
        <v>0</v>
      </c>
      <c r="D25" s="444">
        <f t="shared" si="4"/>
        <v>73.362933772920016</v>
      </c>
      <c r="E25" s="444">
        <f t="shared" si="5"/>
        <v>10.61483228864105</v>
      </c>
      <c r="F25" s="444">
        <f t="shared" si="6"/>
        <v>1087.095477522884</v>
      </c>
      <c r="G25" s="444">
        <f t="shared" si="7"/>
        <v>0</v>
      </c>
      <c r="H25" s="444">
        <f t="shared" si="8"/>
        <v>0</v>
      </c>
      <c r="I25" s="444">
        <f t="shared" si="9"/>
        <v>0</v>
      </c>
      <c r="J25" s="444">
        <f t="shared" si="10"/>
        <v>115.76694906748143</v>
      </c>
      <c r="K25" s="444">
        <f t="shared" si="11"/>
        <v>0</v>
      </c>
      <c r="L25" s="444">
        <f t="shared" si="12"/>
        <v>0</v>
      </c>
      <c r="M25" s="444">
        <f t="shared" si="13"/>
        <v>0</v>
      </c>
      <c r="N25" s="444">
        <f t="shared" si="14"/>
        <v>0</v>
      </c>
      <c r="O25" s="444">
        <f t="shared" si="15"/>
        <v>0</v>
      </c>
      <c r="P25" s="445">
        <f t="shared" si="16"/>
        <v>0</v>
      </c>
      <c r="Q25" s="443">
        <f t="shared" ca="1" si="17"/>
        <v>1486.0312367964902</v>
      </c>
    </row>
    <row r="26" spans="1:17">
      <c r="A26" s="443" t="s">
        <v>587</v>
      </c>
      <c r="B26" s="444">
        <f t="shared" ca="1" si="2"/>
        <v>8178.5776398743728</v>
      </c>
      <c r="C26" s="444">
        <f t="shared" ca="1" si="3"/>
        <v>0</v>
      </c>
      <c r="D26" s="444">
        <f t="shared" si="4"/>
        <v>13398.339110905454</v>
      </c>
      <c r="E26" s="444">
        <f t="shared" si="5"/>
        <v>268.94871593144336</v>
      </c>
      <c r="F26" s="444">
        <f t="shared" si="6"/>
        <v>3466.5888998296086</v>
      </c>
      <c r="G26" s="444">
        <f t="shared" si="7"/>
        <v>0</v>
      </c>
      <c r="H26" s="444">
        <f t="shared" si="8"/>
        <v>0</v>
      </c>
      <c r="I26" s="444">
        <f t="shared" si="9"/>
        <v>0</v>
      </c>
      <c r="J26" s="444">
        <f t="shared" si="10"/>
        <v>32.319177479992</v>
      </c>
      <c r="K26" s="444">
        <f t="shared" si="11"/>
        <v>0</v>
      </c>
      <c r="L26" s="444">
        <f t="shared" si="12"/>
        <v>0</v>
      </c>
      <c r="M26" s="444">
        <f t="shared" si="13"/>
        <v>0</v>
      </c>
      <c r="N26" s="444">
        <f t="shared" si="14"/>
        <v>0</v>
      </c>
      <c r="O26" s="444">
        <f t="shared" si="15"/>
        <v>0</v>
      </c>
      <c r="P26" s="445">
        <f t="shared" si="16"/>
        <v>0</v>
      </c>
      <c r="Q26" s="443">
        <f t="shared" ca="1" si="17"/>
        <v>25344.773544020871</v>
      </c>
    </row>
    <row r="27" spans="1:17" s="449" customFormat="1">
      <c r="A27" s="447" t="s">
        <v>536</v>
      </c>
      <c r="B27" s="730">
        <f t="shared" ca="1" si="2"/>
        <v>35.217668406557479</v>
      </c>
      <c r="C27" s="448">
        <f t="shared" ca="1" si="3"/>
        <v>0</v>
      </c>
      <c r="D27" s="448">
        <f t="shared" si="4"/>
        <v>66.85409965984465</v>
      </c>
      <c r="E27" s="448">
        <f t="shared" si="5"/>
        <v>69.702560486581106</v>
      </c>
      <c r="F27" s="448">
        <f t="shared" si="6"/>
        <v>0</v>
      </c>
      <c r="G27" s="448">
        <f t="shared" si="7"/>
        <v>41907.783539518212</v>
      </c>
      <c r="H27" s="448">
        <f t="shared" si="8"/>
        <v>8037.9561148433613</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50117.513982914563</v>
      </c>
    </row>
    <row r="28" spans="1:17" ht="16.5" customHeight="1">
      <c r="A28" s="443" t="s">
        <v>526</v>
      </c>
      <c r="B28" s="444">
        <f t="shared" ca="1" si="2"/>
        <v>4.9343278258212608</v>
      </c>
      <c r="C28" s="444">
        <f t="shared" ca="1" si="3"/>
        <v>0</v>
      </c>
      <c r="D28" s="444">
        <f t="shared" si="4"/>
        <v>0</v>
      </c>
      <c r="E28" s="444">
        <f t="shared" si="5"/>
        <v>0</v>
      </c>
      <c r="F28" s="444">
        <f t="shared" si="6"/>
        <v>0</v>
      </c>
      <c r="G28" s="444">
        <f t="shared" si="7"/>
        <v>551.5632008765823</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556.49752870240354</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208.64485830174743</v>
      </c>
      <c r="C32" s="444">
        <f t="shared" ca="1" si="3"/>
        <v>0</v>
      </c>
      <c r="D32" s="444">
        <f t="shared" si="4"/>
        <v>873.68520860000001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1082.3300669017474</v>
      </c>
    </row>
    <row r="33" spans="1:17" s="455" customFormat="1">
      <c r="A33" s="453" t="s">
        <v>530</v>
      </c>
      <c r="B33" s="454">
        <f ca="1">SUM(B22:B32)</f>
        <v>27633.818288327402</v>
      </c>
      <c r="C33" s="454">
        <f t="shared" ref="C33:Q33" ca="1" si="19">SUM(C22:C32)</f>
        <v>0</v>
      </c>
      <c r="D33" s="454">
        <f t="shared" ca="1" si="19"/>
        <v>52586.202603777579</v>
      </c>
      <c r="E33" s="454">
        <f t="shared" si="19"/>
        <v>785.19174211166376</v>
      </c>
      <c r="F33" s="454">
        <f t="shared" ca="1" si="19"/>
        <v>16147.122611540924</v>
      </c>
      <c r="G33" s="454">
        <f t="shared" si="19"/>
        <v>42459.346740394794</v>
      </c>
      <c r="H33" s="454">
        <f t="shared" si="19"/>
        <v>8037.9561148433613</v>
      </c>
      <c r="I33" s="454">
        <f t="shared" si="19"/>
        <v>0</v>
      </c>
      <c r="J33" s="454">
        <f t="shared" si="19"/>
        <v>210.97287924010644</v>
      </c>
      <c r="K33" s="454">
        <f t="shared" si="19"/>
        <v>0</v>
      </c>
      <c r="L33" s="454">
        <f t="shared" ca="1" si="19"/>
        <v>0</v>
      </c>
      <c r="M33" s="454">
        <f t="shared" si="19"/>
        <v>0</v>
      </c>
      <c r="N33" s="454">
        <f t="shared" ca="1" si="19"/>
        <v>0</v>
      </c>
      <c r="O33" s="454">
        <f t="shared" si="19"/>
        <v>0</v>
      </c>
      <c r="P33" s="454">
        <f t="shared" si="19"/>
        <v>0</v>
      </c>
      <c r="Q33" s="454">
        <f t="shared" ca="1" si="19"/>
        <v>147860.61098023586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8136.854075276764</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12408.86594537272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14094</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16581.176470588238</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34639.720020649482</v>
      </c>
      <c r="C10" s="981">
        <f>SUM(C4:C9)</f>
        <v>0</v>
      </c>
      <c r="D10" s="981">
        <f t="shared" ref="D10:H10" si="0">SUM(D8:D9)</f>
        <v>0</v>
      </c>
      <c r="E10" s="981">
        <f t="shared" si="0"/>
        <v>0</v>
      </c>
      <c r="F10" s="981">
        <f t="shared" si="0"/>
        <v>0</v>
      </c>
      <c r="G10" s="981">
        <f t="shared" si="0"/>
        <v>0</v>
      </c>
      <c r="H10" s="981">
        <f t="shared" si="0"/>
        <v>0</v>
      </c>
      <c r="I10" s="981">
        <f>SUM(I8:I9)</f>
        <v>0</v>
      </c>
      <c r="J10" s="981">
        <f>SUM(J8:J9)</f>
        <v>16581.176470588238</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0.17305788916999756</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20134.285714285714</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23687.394957983193</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20134.285714285714</v>
      </c>
      <c r="C20" s="981">
        <f>SUM(C17:C19)</f>
        <v>0</v>
      </c>
      <c r="D20" s="981">
        <f t="shared" ref="D20:H20" si="2">SUM(D17:D19)</f>
        <v>0</v>
      </c>
      <c r="E20" s="981">
        <f t="shared" si="2"/>
        <v>0</v>
      </c>
      <c r="F20" s="981">
        <f t="shared" si="2"/>
        <v>0</v>
      </c>
      <c r="G20" s="981">
        <f t="shared" si="2"/>
        <v>0</v>
      </c>
      <c r="H20" s="981">
        <f t="shared" si="2"/>
        <v>0</v>
      </c>
      <c r="I20" s="981">
        <f>SUM(I17:I19)</f>
        <v>0</v>
      </c>
      <c r="J20" s="981">
        <f>SUM(J17:J19)</f>
        <v>23687.394957983193</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0.17305788916999756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2022-07-26T10:17:25Z</dcterms:modified>
</cp:coreProperties>
</file>