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407BC67-AF2A-4ED0-B893-68055B69127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<sst xmlns="http://schemas.openxmlformats.org/spreadsheetml/2006/main" count="2415" uniqueCount="886">
  <si>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</si>
  <si>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</si>
  <si>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</si>
  <si>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</si>
  <si>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</si>
  <si>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</si>
  <si>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</si>
  <si>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</si>
  <si>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</si>
  <si>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</si>
  <si>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</si>
  <si>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</si>
  <si>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</si>
  <si>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</si>
  <si>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</si>
  <si>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</si>
  <si>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</si>
  <si>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</si>
  <si>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</si>
  <si>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</si>
  <si>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</si>
  <si>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</si>
  <si>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</si>
  <si>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</si>
  <si>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</si>
  <si>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</si>
  <si>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</si>
  <si>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</si>
  <si>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</si>
  <si>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</si>
  <si>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</si>
  <si>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</si>
  <si>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</si>
  <si>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</si>
  <si>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</si>
  <si>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</si>
  <si>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</si>
  <si>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</si>
  <si>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</si>
  <si>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</si>
  <si>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</si>
  <si>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</si>
  <si>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</si>
  <si>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</si>
  <si>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</si>
  <si>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</si>
  <si>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</si>
  <si>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</si>
  <si>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</si>
  <si>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</si>
  <si>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</si>
  <si>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</si>
  <si>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</si>
  <si>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</si>
  <si>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</si>
  <si>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</si>
  <si>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</si>
  <si>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</si>
  <si>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</si>
  <si>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</si>
  <si>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</si>
  <si>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</si>
  <si>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</si>
  <si>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</si>
  <si>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</si>
  <si>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</si>
  <si>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</si>
  <si>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</si>
  <si>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</si>
  <si>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</si>
  <si>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</si>
  <si>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</si>
  <si>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</si>
  <si>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</si>
  <si>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</si>
  <si>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</si>
  <si>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</si>
  <si>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</si>
  <si>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</si>
  <si>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</si>
  <si>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</si>
  <si>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</si>
  <si>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</si>
  <si>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</si>
  <si>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</si>
  <si>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</si>
  <si>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</si>
  <si>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</si>
  <si>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</si>
  <si>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</si>
  <si>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</si>
  <si>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</si>
  <si>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</si>
  <si>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</si>
  <si>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</si>
  <si>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</si>
  <si>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</si>
  <si>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</si>
  <si>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</si>
  <si>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</si>
  <si>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</si>
  <si>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</si>
  <si>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</si>
  <si>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</si>
  <si>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</si>
  <si>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</si>
  <si>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</si>
  <si>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</si>
  <si>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</si>
  <si>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</si>
  <si>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</si>
  <si>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</si>
  <si>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</si>
  <si>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</si>
  <si>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</si>
  <si>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</si>
  <si>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</si>
  <si>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</si>
  <si>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</si>
  <si>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</si>
  <si>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</si>
  <si>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</si>
  <si>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</si>
  <si>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</si>
  <si>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</si>
  <si>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</si>
  <si>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</si>
  <si>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</si>
  <si>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</si>
  <si>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</si>
  <si>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</si>
  <si>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</si>
  <si>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</si>
  <si>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</si>
  <si>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</si>
  <si>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</si>
  <si>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</si>
  <si>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</si>
  <si>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</si>
  <si>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</si>
  <si>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</si>
  <si>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</si>
  <si>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</si>
  <si>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</si>
  <si>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</si>
  <si>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</si>
  <si>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</si>
  <si>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</si>
  <si>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</si>
  <si>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</si>
  <si>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</si>
  <si>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</si>
  <si>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</si>
  <si>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</si>
  <si>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</si>
  <si>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</si>
  <si>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</si>
  <si>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</si>
  <si>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</si>
  <si>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</si>
  <si>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</si>
  <si>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</si>
  <si>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</si>
  <si>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</si>
  <si>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</si>
  <si>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</si>
  <si>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</si>
  <si>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</si>
  <si>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</si>
  <si>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</si>
  <si>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</si>
  <si>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</si>
  <si>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</si>
  <si>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</si>
  <si>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</si>
  <si>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</si>
  <si>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</si>
  <si>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</si>
  <si>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</si>
  <si>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</si>
  <si>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</si>
  <si>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</si>
  <si>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</si>
  <si>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</si>
  <si>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</si>
  <si>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</si>
  <si>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</si>
  <si>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</si>
  <si>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</si>
  <si>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</si>
  <si>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</si>
  <si>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</si>
  <si>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</si>
  <si>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</si>
  <si>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</si>
  <si>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</si>
  <si>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</si>
  <si>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</si>
  <si>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</si>
  <si>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</si>
  <si>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</si>
  <si>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</si>
  <si>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</si>
  <si>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</si>
  <si>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</si>
  <si>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</si>
  <si>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</si>
  <si>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</si>
  <si>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</si>
  <si>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</si>
  <si>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</si>
  <si>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</si>
  <si>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</si>
  <si>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</si>
  <si>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</si>
  <si>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</si>
  <si>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</si>
  <si>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</si>
  <si>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</si>
  <si>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</si>
  <si>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</si>
  <si>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</si>
  <si>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</si>
  <si>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</si>
  <si>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</si>
  <si>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</si>
  <si>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</si>
  <si>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</si>
  <si>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</si>
  <si>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</si>
  <si>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</si>
  <si>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</si>
  <si>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</si>
  <si>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</si>
  <si>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</si>
  <si>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</si>
  <si>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</si>
  <si>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</si>
  <si>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</si>
  <si>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</si>
  <si>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</si>
  <si>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</si>
  <si>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</si>
  <si>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</si>
  <si>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</si>
  <si>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</si>
  <si>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</si>
  <si>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</si>
  <si>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</si>
  <si>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</si>
  <si>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</si>
  <si>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</si>
  <si>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</si>
  <si>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</si>
  <si>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</si>
  <si>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</si>
  <si>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</si>
  <si>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</si>
  <si>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</si>
  <si>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</si>
  <si>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</si>
  <si>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</si>
  <si>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</si>
  <si>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</si>
  <si>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</si>
  <si>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</si>
  <si>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</si>
  <si>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</si>
  <si>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</si>
  <si>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</si>
  <si>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</si>
  <si>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</si>
  <si>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</si>
  <si>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</si>
  <si>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</si>
  <si>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</si>
  <si>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</si>
  <si>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</si>
  <si>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</si>
  <si>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</si>
  <si>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</si>
  <si>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</si>
  <si>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</si>
  <si>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</si>
  <si>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</si>
  <si>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</si>
  <si>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</si>
  <si>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</si>
  <si>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</si>
  <si>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</si>
  <si>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</si>
  <si>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</si>
  <si>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</si>
  <si>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</si>
  <si>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</si>
  <si>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</si>
  <si>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</si>
  <si>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</si>
  <si>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</si>
  <si>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</si>
  <si>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</si>
  <si>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</si>
  <si>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</si>
  <si>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</si>
  <si>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</si>
  <si>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</si>
  <si>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</si>
  <si>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</si>
  <si>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</si>
  <si>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</si>
  <si>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</si>
  <si>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</si>
  <si>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</si>
  <si>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</si>
  <si>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</si>
  <si>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</si>
  <si>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</si>
  <si>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</si>
  <si>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</si>
  <si>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</si>
  <si>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</si>
  <si>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</si>
  <si>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</si>
  <si>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</si>
  <si>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</si>
  <si>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</si>
  <si>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</si>
  <si>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</si>
  <si>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</si>
  <si>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</si>
  <si>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</si>
  <si>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</si>
  <si>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</si>
  <si>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</si>
  <si>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</si>
  <si>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</si>
  <si>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</si>
  <si>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</si>
  <si>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</si>
  <si>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</si>
  <si>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</si>
  <si>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</si>
  <si>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</si>
  <si>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</si>
  <si>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</si>
  <si>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</si>
  <si>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</si>
  <si>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</si>
  <si>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</si>
  <si>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</si>
  <si>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</si>
  <si>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</si>
  <si>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</si>
  <si>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</si>
  <si>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</si>
  <si>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</si>
  <si>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</si>
  <si>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</si>
  <si>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</si>
  <si>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</si>
  <si>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</si>
  <si>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</si>
  <si>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</si>
  <si>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</si>
  <si>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</si>
  <si>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</si>
  <si>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</si>
  <si>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</si>
  <si>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</si>
  <si>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</si>
  <si>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</si>
  <si>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</si>
  <si>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</si>
  <si>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</si>
  <si>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</si>
  <si>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</si>
  <si>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</si>
  <si>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</si>
  <si>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</si>
  <si>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</si>
  <si>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</si>
  <si>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</si>
  <si>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</si>
  <si>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</si>
  <si>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</si>
  <si>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</si>
  <si>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</si>
  <si>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</si>
  <si>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</si>
  <si>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</si>
  <si>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</si>
  <si>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</si>
  <si>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</si>
  <si>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</si>
  <si>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</si>
  <si>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</si>
  <si>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</si>
  <si>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</si>
  <si>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</si>
  <si>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</si>
  <si>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</si>
  <si>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</si>
  <si>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</si>
  <si>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</si>
  <si>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</si>
  <si>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</si>
  <si>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</si>
  <si>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</si>
  <si>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</si>
  <si>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</si>
  <si>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</si>
  <si>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</si>
  <si>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</si>
  <si>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</si>
  <si>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</si>
  <si>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</si>
  <si>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</si>
  <si>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</si>
  <si>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</si>
  <si>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</si>
  <si>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</si>
  <si>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</si>
  <si>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</si>
  <si>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</si>
  <si>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</si>
  <si>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</si>
  <si>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</si>
  <si>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</si>
  <si>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</si>
  <si>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</si>
  <si>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</si>
  <si>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</si>
  <si>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</si>
  <si>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</si>
  <si>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</si>
  <si>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</si>
  <si>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</si>
  <si>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</si>
  <si>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</si>
  <si>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</si>
  <si>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</si>
  <si>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</si>
  <si>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</si>
  <si>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</si>
  <si>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</si>
  <si>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</si>
  <si>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</si>
  <si>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</si>
  <si>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</si>
  <si>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</si>
  <si>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</si>
  <si>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</si>
  <si>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</si>
  <si>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</si>
  <si>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</si>
  <si>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</si>
  <si>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</si>
  <si>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</si>
  <si>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</si>
  <si>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</si>
  <si>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</si>
  <si>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</si>
  <si>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</si>
  <si>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</si>
  <si>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</si>
  <si>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</si>
  <si>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</si>
  <si>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</si>
  <si>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</si>
  <si>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</si>
  <si>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</si>
  <si>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</si>
  <si>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</si>
  <si>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</si>
  <si>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</si>
  <si>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</si>
  <si>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</si>
  <si>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</si>
  <si>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</si>
  <si>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</si>
  <si>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</si>
  <si>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</si>
  <si>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</si>
  <si>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</si>
  <si>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</si>
  <si>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</si>
  <si>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</si>
  <si>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</si>
  <si>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</si>
  <si>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</si>
  <si>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</si>
  <si>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</si>
  <si>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</si>
  <si>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</si>
  <si>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</si>
  <si>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</si>
  <si>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</si>
  <si>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</si>
  <si>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</si>
  <si>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</si>
  <si>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</si>
  <si>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</si>
  <si>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</si>
  <si>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</si>
  <si>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</si>
  <si>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</si>
  <si>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</si>
  <si>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</si>
  <si>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</si>
  <si>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</si>
  <si>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</si>
  <si>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</si>
  <si>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</si>
  <si>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</si>
  <si>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</si>
  <si>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</si>
  <si>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</si>
  <si>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</si>
  <si>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</si>
  <si>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</si>
  <si>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</si>
  <si>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</si>
  <si>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</si>
  <si>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</si>
  <si>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</si>
  <si>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</si>
  <si>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</si>
  <si>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</si>
  <si>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</si>
  <si>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</si>
  <si>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</si>
  <si>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</si>
  <si>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</si>
  <si>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</si>
  <si>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</si>
  <si>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</si>
  <si>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</si>
  <si>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</si>
  <si>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</si>
  <si>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</si>
  <si>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</si>
  <si>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</si>
  <si>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</si>
  <si>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</si>
  <si>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</si>
  <si>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</si>
  <si>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</si>
  <si>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</si>
  <si>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</si>
  <si>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</si>
  <si>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</si>
  <si>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</si>
  <si>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</si>
  <si>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</si>
  <si>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</si>
  <si>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</si>
  <si>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</si>
  <si>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</si>
  <si>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</si>
  <si>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</si>
  <si>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</si>
  <si>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</si>
  <si>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</si>
  <si>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</si>
  <si>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</si>
  <si>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</si>
  <si>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</si>
  <si>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</si>
  <si>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</si>
  <si>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</si>
  <si>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</si>
  <si>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</si>
  <si>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</si>
  <si>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</si>
  <si>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</si>
  <si>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</si>
  <si>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</si>
  <si>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</si>
  <si>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</si>
  <si>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</si>
  <si>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</si>
  <si>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</si>
  <si>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</si>
  <si>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</si>
  <si>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</si>
  <si>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</si>
  <si>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</si>
  <si>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</si>
  <si>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</si>
  <si>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</si>
  <si>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</si>
  <si>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</si>
  <si>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</si>
  <si>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</si>
  <si>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</si>
  <si>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</si>
  <si>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</si>
  <si>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</si>
  <si>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</si>
  <si>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</si>
  <si>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</si>
  <si>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</si>
  <si>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</si>
  <si>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</si>
  <si>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</si>
  <si>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</si>
  <si>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</si>
  <si>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</si>
  <si>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</si>
  <si>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</si>
  <si>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</si>
  <si>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</si>
  <si>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</si>
  <si>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</si>
  <si>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</si>
  <si>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</si>
  <si>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</si>
  <si>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</si>
  <si>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</si>
  <si>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</si>
  <si>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</si>
  <si>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</si>
  <si>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</si>
  <si>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</si>
  <si>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</si>
  <si>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</si>
  <si>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</si>
  <si>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</si>
  <si>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</si>
  <si>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</si>
  <si>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</si>
  <si>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</si>
  <si>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</si>
  <si>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</si>
  <si>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</si>
  <si>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</si>
  <si>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</si>
  <si>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</si>
  <si>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</si>
  <si>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</si>
  <si>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</si>
  <si>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</si>
  <si>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</si>
  <si>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</si>
  <si>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</si>
  <si>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</si>
  <si>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</si>
  <si>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</si>
  <si>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</si>
  <si>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</si>
  <si>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</si>
  <si>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</si>
  <si>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</si>
  <si>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</si>
  <si>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</si>
  <si>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</si>
  <si>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</si>
  <si>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</si>
  <si>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</si>
  <si>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</si>
  <si>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</si>
  <si>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</si>
  <si>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</si>
  <si>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</si>
  <si>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</si>
  <si>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</si>
  <si>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</si>
  <si>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</si>
  <si>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</si>
  <si>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</si>
  <si>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</si>
  <si>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</si>
  <si>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</si>
  <si>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</si>
  <si>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</si>
  <si>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</si>
  <si>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</si>
  <si>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</si>
  <si>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</si>
  <si>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</si>
  <si>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</si>
  <si>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</si>
  <si>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</si>
  <si>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</si>
  <si>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</si>
  <si>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</si>
  <si>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</si>
  <si>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</si>
  <si>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</si>
  <si>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</si>
  <si>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</si>
  <si>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</si>
  <si>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</si>
  <si>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</si>
  <si>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</si>
  <si>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</si>
  <si>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</si>
  <si>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</si>
  <si>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</si>
  <si>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</si>
  <si>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</si>
  <si>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</si>
  <si>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</si>
  <si>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</si>
  <si>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</si>
  <si>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</si>
  <si>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</si>
  <si>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</si>
  <si>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</si>
  <si>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</si>
  <si>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</si>
  <si>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</si>
  <si>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</si>
  <si>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</si>
  <si>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</si>
  <si>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</si>
  <si>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</si>
  <si>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</si>
  <si>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</si>
  <si>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</si>
  <si>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</si>
  <si>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</si>
  <si>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</si>
  <si>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</si>
  <si>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</si>
  <si>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</si>
  <si>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</si>
  <si>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</si>
  <si>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</si>
  <si>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</si>
  <si>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</si>
  <si>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</si>
  <si>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</si>
  <si>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</si>
  <si>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</si>
  <si>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</si>
  <si>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</si>
  <si>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</si>
  <si>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</si>
  <si>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</si>
  <si>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</si>
  <si>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</si>
  <si>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</si>
  <si>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</si>
  <si>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</si>
  <si>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</si>
  <si>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</si>
  <si>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</si>
  <si>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</si>
  <si>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</si>
  <si>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</si>
  <si>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</si>
  <si>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</si>
  <si>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</si>
  <si>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</si>
  <si>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</si>
  <si>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</si>
  <si>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</si>
  <si>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</si>
  <si>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</si>
  <si>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</si>
  <si>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</si>
  <si>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</si>
  <si>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</si>
  <si>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</si>
  <si>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</si>
  <si>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</si>
  <si>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</si>
  <si>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</si>
  <si>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</si>
  <si>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</si>
  <si>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</si>
  <si>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</si>
  <si>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</si>
  <si>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</si>
  <si>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</si>
  <si>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</si>
  <si>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</si>
  <si>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</si>
  <si>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</si>
  <si>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</si>
  <si>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</si>
  <si>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</si>
  <si>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</si>
  <si>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</si>
  <si>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</si>
  <si>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</si>
  <si>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</si>
  <si>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</si>
  <si>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</si>
  <si>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</si>
  <si>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</si>
  <si>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</si>
  <si>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</si>
  <si>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</si>
  <si>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</si>
  <si>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</si>
  <si>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</si>
  <si>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</si>
  <si>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</si>
  <si>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</si>
  <si>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</si>
  <si>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</si>
  <si>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</si>
  <si>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</si>
  <si>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</si>
  <si>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</si>
  <si>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</si>
  <si>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</si>
  <si>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</si>
  <si>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</si>
  <si>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</si>
  <si>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</si>
  <si>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</si>
  <si>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</si>
  <si>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</si>
  <si>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</si>
  <si>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</si>
  <si>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</si>
  <si>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</si>
  <si>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</si>
  <si>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</si>
  <si>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</si>
  <si>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</si>
  <si>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</si>
  <si>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</si>
  <si>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</si>
  <si>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</si>
  <si>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</si>
  <si>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</si>
  <si>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</si>
  <si>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</si>
  <si>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</si>
  <si>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</si>
  <si>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</si>
  <si>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</si>
  <si>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</si>
  <si>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</si>
  <si>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</si>
  <si>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</si>
  <si>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</si>
  <si>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</si>
  <si>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</si>
  <si>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</si>
  <si>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</si>
  <si>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</si>
  <si>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</si>
  <si>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</si>
  <si>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</si>
  <si>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</si>
  <si>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</si>
  <si>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</si>
  <si>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</si>
  <si>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</si>
  <si>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</si>
  <si>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</si>
  <si>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</si>
  <si>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</si>
  <si>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</si>
  <si>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</si>
  <si>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</si>
  <si>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</si>
  <si>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</si>
  <si>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</si>
  <si>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</si>
  <si>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</si>
  <si>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</si>
  <si>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</si>
  <si>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</si>
  <si>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</si>
  <si>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</si>
  <si>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</si>
  <si>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</si>
  <si>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</si>
  <si>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</si>
  <si>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</si>
  <si>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</si>
  <si>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</si>
  <si>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</si>
  <si>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</si>
  <si>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31022</t>
  </si>
  <si>
    <t>OOSTKAMP</t>
  </si>
  <si>
    <t>vloeibaar gas (MWh)</t>
  </si>
  <si>
    <t>Interne verbrandingsmotor</t>
  </si>
  <si>
    <t>WKK interne verbrandinsgmotor (gas)</t>
  </si>
  <si>
    <t>IMEWO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</si>
</sst>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4A210102-C2E0-4AEA-AEFA-8097FE7FF3B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190267.91810664057</c:v>
                </c:pt>
                <c:pt idx="1">
                  <c:v>63370.861014068338</c:v>
                </c:pt>
                <c:pt idx="2">
                  <c:v>1300.114</c:v>
                </c:pt>
                <c:pt idx="3">
                  <c:v>18719.385963497902</c:v>
                </c:pt>
                <c:pt idx="4">
                  <c:v>65987.656075451319</c:v>
                </c:pt>
                <c:pt idx="5">
                  <c:v>419563.07702443335</c:v>
                </c:pt>
                <c:pt idx="6">
                  <c:v>1623.1789527162937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190267.91810664057</c:v>
                </c:pt>
                <c:pt idx="1">
                  <c:v>63370.861014068338</c:v>
                </c:pt>
                <c:pt idx="2">
                  <c:v>1300.114</c:v>
                </c:pt>
                <c:pt idx="3">
                  <c:v>18719.385963497902</c:v>
                </c:pt>
                <c:pt idx="4">
                  <c:v>65987.656075451319</c:v>
                </c:pt>
                <c:pt idx="5">
                  <c:v>419563.07702443335</c:v>
                </c:pt>
                <c:pt idx="6">
                  <c:v>1623.1789527162937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38949.753451272845</c:v>
                </c:pt>
                <c:pt idx="1">
                  <c:v>12831.013076701189</c:v>
                </c:pt>
                <c:pt idx="2">
                  <c:v>260.16954996185376</c:v>
                </c:pt>
                <c:pt idx="3">
                  <c:v>4803.0824941852225</c:v>
                </c:pt>
                <c:pt idx="4">
                  <c:v>13435.963872630344</c:v>
                </c:pt>
                <c:pt idx="5">
                  <c:v>104522.66655720868</c:v>
                </c:pt>
                <c:pt idx="6">
                  <c:v>409.08653872921855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38949.753451272845</c:v>
                </c:pt>
                <c:pt idx="1">
                  <c:v>12831.013076701189</c:v>
                </c:pt>
                <c:pt idx="2">
                  <c:v>260.16954996185376</c:v>
                </c:pt>
                <c:pt idx="3">
                  <c:v>4803.0824941852225</c:v>
                </c:pt>
                <c:pt idx="4">
                  <c:v>13435.963872630344</c:v>
                </c:pt>
                <c:pt idx="5">
                  <c:v>104522.66655720868</c:v>
                </c:pt>
                <c:pt idx="6">
                  <c:v>409.08653872921855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31022</v>
      </c>
      <c r="B6" s="382"/>
      <c r="C6" s="383"/>
    </row>
    <row r="7" spans="1:7" s="380" customFormat="1" ht="15.75" customHeight="1">
      <c r="A7" s="384" t="str">
        <f>txtMunicipality</f>
        <v>OOSTKAMP</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0.20011287468779951</v>
      </c>
      <c r="C17" s="492">
        <f ca="1">'EF ele_warmte'!B22</f>
        <v>0.16492855817405827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0.20011287468779951</v>
      </c>
      <c r="C29" s="493">
        <f ca="1">'EF ele_warmte'!B22</f>
        <v>0.16492855817405827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9635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4645.3900000000003</v>
      </c>
      <c r="C14" s="324"/>
      <c r="D14" s="324"/>
      <c r="E14" s="324"/>
      <c r="F14" s="324"/>
    </row>
    <row r="15" spans="1:6">
      <c r="A15" s="1257" t="s">
        <v>177</v>
      </c>
      <c r="B15" s="1258">
        <v>461</v>
      </c>
      <c r="C15" s="324"/>
      <c r="D15" s="324"/>
      <c r="E15" s="324"/>
      <c r="F15" s="324"/>
    </row>
    <row r="16" spans="1:6">
      <c r="A16" s="1257" t="s">
        <v>6</v>
      </c>
      <c r="B16" s="1258">
        <v>2420</v>
      </c>
      <c r="C16" s="324"/>
      <c r="D16" s="324"/>
      <c r="E16" s="324"/>
      <c r="F16" s="324"/>
    </row>
    <row r="17" spans="1:6">
      <c r="A17" s="1257" t="s">
        <v>7</v>
      </c>
      <c r="B17" s="1258">
        <v>1544</v>
      </c>
      <c r="C17" s="324"/>
      <c r="D17" s="324"/>
      <c r="E17" s="324"/>
      <c r="F17" s="324"/>
    </row>
    <row r="18" spans="1:6">
      <c r="A18" s="1257" t="s">
        <v>8</v>
      </c>
      <c r="B18" s="1258">
        <v>2378</v>
      </c>
      <c r="C18" s="324"/>
      <c r="D18" s="324"/>
      <c r="E18" s="324"/>
      <c r="F18" s="324"/>
    </row>
    <row r="19" spans="1:6">
      <c r="A19" s="1257" t="s">
        <v>9</v>
      </c>
      <c r="B19" s="1258">
        <v>2416</v>
      </c>
      <c r="C19" s="324"/>
      <c r="D19" s="324"/>
      <c r="E19" s="324"/>
      <c r="F19" s="324"/>
    </row>
    <row r="20" spans="1:6">
      <c r="A20" s="1257" t="s">
        <v>10</v>
      </c>
      <c r="B20" s="1258">
        <v>1789</v>
      </c>
      <c r="C20" s="324"/>
      <c r="D20" s="324"/>
      <c r="E20" s="324"/>
      <c r="F20" s="324"/>
    </row>
    <row r="21" spans="1:6">
      <c r="A21" s="1257" t="s">
        <v>11</v>
      </c>
      <c r="B21" s="1258">
        <v>6583</v>
      </c>
      <c r="C21" s="324"/>
      <c r="D21" s="324"/>
      <c r="E21" s="324"/>
      <c r="F21" s="324"/>
    </row>
    <row r="22" spans="1:6">
      <c r="A22" s="1257" t="s">
        <v>12</v>
      </c>
      <c r="B22" s="1258">
        <v>53796</v>
      </c>
      <c r="C22" s="324"/>
      <c r="D22" s="324"/>
      <c r="E22" s="324"/>
      <c r="F22" s="324"/>
    </row>
    <row r="23" spans="1:6">
      <c r="A23" s="1257" t="s">
        <v>13</v>
      </c>
      <c r="B23" s="1258">
        <v>94</v>
      </c>
      <c r="C23" s="324"/>
      <c r="D23" s="324"/>
      <c r="E23" s="324"/>
      <c r="F23" s="324"/>
    </row>
    <row r="24" spans="1:6">
      <c r="A24" s="1257" t="s">
        <v>14</v>
      </c>
      <c r="B24" s="1258">
        <v>9</v>
      </c>
      <c r="C24" s="324"/>
      <c r="D24" s="324"/>
      <c r="E24" s="324"/>
      <c r="F24" s="324"/>
    </row>
    <row r="25" spans="1:6">
      <c r="A25" s="1257" t="s">
        <v>15</v>
      </c>
      <c r="B25" s="1258">
        <v>853</v>
      </c>
      <c r="C25" s="324"/>
      <c r="D25" s="324"/>
      <c r="E25" s="324"/>
      <c r="F25" s="324"/>
    </row>
    <row r="26" spans="1:6">
      <c r="A26" s="1257" t="s">
        <v>16</v>
      </c>
      <c r="B26" s="1258">
        <v>611</v>
      </c>
      <c r="C26" s="324"/>
      <c r="D26" s="324"/>
      <c r="E26" s="324"/>
      <c r="F26" s="324"/>
    </row>
    <row r="27" spans="1:6">
      <c r="A27" s="1257" t="s">
        <v>17</v>
      </c>
      <c r="B27" s="1258">
        <v>17</v>
      </c>
      <c r="C27" s="324"/>
      <c r="D27" s="324"/>
      <c r="E27" s="324"/>
      <c r="F27" s="324"/>
    </row>
    <row r="28" spans="1:6">
      <c r="A28" s="1257" t="s">
        <v>18</v>
      </c>
      <c r="B28" s="1259">
        <v>292242</v>
      </c>
      <c r="C28" s="324"/>
      <c r="D28" s="324"/>
      <c r="E28" s="324"/>
      <c r="F28" s="324"/>
    </row>
    <row r="29" spans="1:6">
      <c r="A29" s="1257" t="s">
        <v>664</v>
      </c>
      <c r="B29" s="1259">
        <v>156</v>
      </c>
      <c r="C29" s="324"/>
      <c r="D29" s="324"/>
      <c r="E29" s="324"/>
      <c r="F29" s="324"/>
    </row>
    <row r="30" spans="1:6">
      <c r="A30" s="1252" t="s">
        <v>665</v>
      </c>
      <c r="B30" s="1260">
        <v>29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146295.84700000001</v>
      </c>
      <c r="E38" s="1258">
        <v>4</v>
      </c>
      <c r="F38" s="1258">
        <v>35730.868999999999</v>
      </c>
    </row>
    <row r="39" spans="1:6">
      <c r="A39" s="1257" t="s">
        <v>29</v>
      </c>
      <c r="B39" s="1257" t="s">
        <v>30</v>
      </c>
      <c r="C39" s="1258">
        <v>5838</v>
      </c>
      <c r="D39" s="1258">
        <v>83321238.299999997</v>
      </c>
      <c r="E39" s="1258">
        <v>9099</v>
      </c>
      <c r="F39" s="1258">
        <v>36980400.450000003</v>
      </c>
    </row>
    <row r="40" spans="1:6">
      <c r="A40" s="1257" t="s">
        <v>29</v>
      </c>
      <c r="B40" s="1257" t="s">
        <v>28</v>
      </c>
      <c r="C40" s="1258">
        <v>0</v>
      </c>
      <c r="D40" s="1258">
        <v>0</v>
      </c>
      <c r="E40" s="1258">
        <v>0</v>
      </c>
      <c r="F40" s="1258">
        <v>0</v>
      </c>
    </row>
    <row r="41" spans="1:6">
      <c r="A41" s="1257" t="s">
        <v>31</v>
      </c>
      <c r="B41" s="1257" t="s">
        <v>32</v>
      </c>
      <c r="C41" s="1258">
        <v>132</v>
      </c>
      <c r="D41" s="1258">
        <v>2615205.0109999999</v>
      </c>
      <c r="E41" s="1258">
        <v>302</v>
      </c>
      <c r="F41" s="1258">
        <v>3233080.5410000002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7</v>
      </c>
      <c r="D44" s="1258">
        <v>3630207.9040000001</v>
      </c>
      <c r="E44" s="1258">
        <v>28</v>
      </c>
      <c r="F44" s="1258">
        <v>2125012.747</v>
      </c>
    </row>
    <row r="45" spans="1:6">
      <c r="A45" s="1257" t="s">
        <v>31</v>
      </c>
      <c r="B45" s="1257" t="s">
        <v>36</v>
      </c>
      <c r="C45" s="1258">
        <v>0</v>
      </c>
      <c r="D45" s="1258">
        <v>0</v>
      </c>
      <c r="E45" s="1258">
        <v>3</v>
      </c>
      <c r="F45" s="1258">
        <v>261535.61900000001</v>
      </c>
    </row>
    <row r="46" spans="1:6">
      <c r="A46" s="1257" t="s">
        <v>31</v>
      </c>
      <c r="B46" s="1257" t="s">
        <v>37</v>
      </c>
      <c r="C46" s="1258">
        <v>0</v>
      </c>
      <c r="D46" s="1258">
        <v>0</v>
      </c>
      <c r="E46" s="1258">
        <v>0</v>
      </c>
      <c r="F46" s="1258">
        <v>0</v>
      </c>
    </row>
    <row r="47" spans="1:6">
      <c r="A47" s="1257" t="s">
        <v>31</v>
      </c>
      <c r="B47" s="1257" t="s">
        <v>38</v>
      </c>
      <c r="C47" s="1258">
        <v>6</v>
      </c>
      <c r="D47" s="1258">
        <v>497783.734</v>
      </c>
      <c r="E47" s="1258">
        <v>11</v>
      </c>
      <c r="F47" s="1258">
        <v>1382979.1910000001</v>
      </c>
    </row>
    <row r="48" spans="1:6">
      <c r="A48" s="1257" t="s">
        <v>31</v>
      </c>
      <c r="B48" s="1257" t="s">
        <v>28</v>
      </c>
      <c r="C48" s="1258">
        <v>45</v>
      </c>
      <c r="D48" s="1258">
        <v>23651850.640000001</v>
      </c>
      <c r="E48" s="1258">
        <v>58</v>
      </c>
      <c r="F48" s="1258">
        <v>19036941.030000001</v>
      </c>
    </row>
    <row r="49" spans="1:6">
      <c r="A49" s="1257" t="s">
        <v>31</v>
      </c>
      <c r="B49" s="1257" t="s">
        <v>39</v>
      </c>
      <c r="C49" s="1258">
        <v>0</v>
      </c>
      <c r="D49" s="1258">
        <v>0</v>
      </c>
      <c r="E49" s="1258">
        <v>9</v>
      </c>
      <c r="F49" s="1258">
        <v>199416.342</v>
      </c>
    </row>
    <row r="50" spans="1:6">
      <c r="A50" s="1257" t="s">
        <v>31</v>
      </c>
      <c r="B50" s="1257" t="s">
        <v>40</v>
      </c>
      <c r="C50" s="1258">
        <v>19</v>
      </c>
      <c r="D50" s="1258">
        <v>2714736.9789999998</v>
      </c>
      <c r="E50" s="1258">
        <v>30</v>
      </c>
      <c r="F50" s="1258">
        <v>2254638.193</v>
      </c>
    </row>
    <row r="51" spans="1:6">
      <c r="A51" s="1257" t="s">
        <v>41</v>
      </c>
      <c r="B51" s="1257" t="s">
        <v>42</v>
      </c>
      <c r="C51" s="1258">
        <v>13</v>
      </c>
      <c r="D51" s="1258">
        <v>339407.77100000001</v>
      </c>
      <c r="E51" s="1258">
        <v>179</v>
      </c>
      <c r="F51" s="1258">
        <v>3555282.2719999999</v>
      </c>
    </row>
    <row r="52" spans="1:6">
      <c r="A52" s="1257" t="s">
        <v>41</v>
      </c>
      <c r="B52" s="1257" t="s">
        <v>28</v>
      </c>
      <c r="C52" s="1258">
        <v>6</v>
      </c>
      <c r="D52" s="1258">
        <v>144710.796</v>
      </c>
      <c r="E52" s="1258">
        <v>5</v>
      </c>
      <c r="F52" s="1258">
        <v>200694.82399999999</v>
      </c>
    </row>
    <row r="53" spans="1:6">
      <c r="A53" s="1257" t="s">
        <v>43</v>
      </c>
      <c r="B53" s="1257" t="s">
        <v>44</v>
      </c>
      <c r="C53" s="1258">
        <v>122</v>
      </c>
      <c r="D53" s="1258">
        <v>1586041.1740000001</v>
      </c>
      <c r="E53" s="1258">
        <v>289</v>
      </c>
      <c r="F53" s="1258">
        <v>1125887.287</v>
      </c>
    </row>
    <row r="54" spans="1:6">
      <c r="A54" s="1257" t="s">
        <v>45</v>
      </c>
      <c r="B54" s="1257" t="s">
        <v>46</v>
      </c>
      <c r="C54" s="1258">
        <v>0</v>
      </c>
      <c r="D54" s="1258">
        <v>0</v>
      </c>
      <c r="E54" s="1258">
        <v>1</v>
      </c>
      <c r="F54" s="1258">
        <v>1300114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72</v>
      </c>
      <c r="D57" s="1258">
        <v>3489059.6809999999</v>
      </c>
      <c r="E57" s="1258">
        <v>210</v>
      </c>
      <c r="F57" s="1258">
        <v>2235763.1310000001</v>
      </c>
    </row>
    <row r="58" spans="1:6">
      <c r="A58" s="1257" t="s">
        <v>48</v>
      </c>
      <c r="B58" s="1257" t="s">
        <v>50</v>
      </c>
      <c r="C58" s="1258">
        <v>38</v>
      </c>
      <c r="D58" s="1258">
        <v>896554.33200000005</v>
      </c>
      <c r="E58" s="1258">
        <v>76</v>
      </c>
      <c r="F58" s="1258">
        <v>818926.74300000002</v>
      </c>
    </row>
    <row r="59" spans="1:6">
      <c r="A59" s="1257" t="s">
        <v>48</v>
      </c>
      <c r="B59" s="1257" t="s">
        <v>51</v>
      </c>
      <c r="C59" s="1258">
        <v>139</v>
      </c>
      <c r="D59" s="1258">
        <v>5051442.9270000001</v>
      </c>
      <c r="E59" s="1258">
        <v>349</v>
      </c>
      <c r="F59" s="1258">
        <v>9774424.6359999999</v>
      </c>
    </row>
    <row r="60" spans="1:6">
      <c r="A60" s="1257" t="s">
        <v>48</v>
      </c>
      <c r="B60" s="1257" t="s">
        <v>52</v>
      </c>
      <c r="C60" s="1258">
        <v>57</v>
      </c>
      <c r="D60" s="1258">
        <v>3161551.892</v>
      </c>
      <c r="E60" s="1258">
        <v>90</v>
      </c>
      <c r="F60" s="1258">
        <v>2851916.9539999999</v>
      </c>
    </row>
    <row r="61" spans="1:6">
      <c r="A61" s="1257" t="s">
        <v>48</v>
      </c>
      <c r="B61" s="1257" t="s">
        <v>53</v>
      </c>
      <c r="C61" s="1258">
        <v>222</v>
      </c>
      <c r="D61" s="1258">
        <v>7901792.8820000002</v>
      </c>
      <c r="E61" s="1258">
        <v>506</v>
      </c>
      <c r="F61" s="1258">
        <v>9188417.6940000001</v>
      </c>
    </row>
    <row r="62" spans="1:6">
      <c r="A62" s="1257" t="s">
        <v>48</v>
      </c>
      <c r="B62" s="1257" t="s">
        <v>54</v>
      </c>
      <c r="C62" s="1258">
        <v>17</v>
      </c>
      <c r="D62" s="1258">
        <v>1333969.6359999999</v>
      </c>
      <c r="E62" s="1258">
        <v>28</v>
      </c>
      <c r="F62" s="1258">
        <v>540685.79599999997</v>
      </c>
    </row>
    <row r="63" spans="1:6">
      <c r="A63" s="1257" t="s">
        <v>48</v>
      </c>
      <c r="B63" s="1257" t="s">
        <v>28</v>
      </c>
      <c r="C63" s="1258">
        <v>117</v>
      </c>
      <c r="D63" s="1258">
        <v>8483602.784</v>
      </c>
      <c r="E63" s="1258">
        <v>85</v>
      </c>
      <c r="F63" s="1258">
        <v>4376054.0319999997</v>
      </c>
    </row>
    <row r="64" spans="1:6">
      <c r="A64" s="1257" t="s">
        <v>55</v>
      </c>
      <c r="B64" s="1257" t="s">
        <v>56</v>
      </c>
      <c r="C64" s="1258">
        <v>0</v>
      </c>
      <c r="D64" s="1258">
        <v>0</v>
      </c>
      <c r="E64" s="1258">
        <v>0</v>
      </c>
      <c r="F64" s="1258">
        <v>0</v>
      </c>
    </row>
    <row r="65" spans="1:6">
      <c r="A65" s="1257" t="s">
        <v>55</v>
      </c>
      <c r="B65" s="1257" t="s">
        <v>28</v>
      </c>
      <c r="C65" s="1258">
        <v>1</v>
      </c>
      <c r="D65" s="1258">
        <v>6864.0860000000002</v>
      </c>
      <c r="E65" s="1258">
        <v>2</v>
      </c>
      <c r="F65" s="1258">
        <v>3365.2510000000002</v>
      </c>
    </row>
    <row r="66" spans="1:6">
      <c r="A66" s="1257" t="s">
        <v>55</v>
      </c>
      <c r="B66" s="1257" t="s">
        <v>57</v>
      </c>
      <c r="C66" s="1258">
        <v>0</v>
      </c>
      <c r="D66" s="1258">
        <v>0</v>
      </c>
      <c r="E66" s="1258">
        <v>21</v>
      </c>
      <c r="F66" s="1258">
        <v>1070833.0349999999</v>
      </c>
    </row>
    <row r="67" spans="1:6">
      <c r="A67" s="1257" t="s">
        <v>55</v>
      </c>
      <c r="B67" s="1257" t="s">
        <v>58</v>
      </c>
      <c r="C67" s="1258">
        <v>0</v>
      </c>
      <c r="D67" s="1258">
        <v>0</v>
      </c>
      <c r="E67" s="1258">
        <v>0</v>
      </c>
      <c r="F67" s="1258">
        <v>0</v>
      </c>
    </row>
    <row r="68" spans="1:6">
      <c r="A68" s="1252" t="s">
        <v>55</v>
      </c>
      <c r="B68" s="1252" t="s">
        <v>59</v>
      </c>
      <c r="C68" s="1260">
        <v>8</v>
      </c>
      <c r="D68" s="1260">
        <v>789331.62199999997</v>
      </c>
      <c r="E68" s="1260">
        <v>21</v>
      </c>
      <c r="F68" s="1260">
        <v>5928282.4199999999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76671447</v>
      </c>
      <c r="E73" s="442"/>
      <c r="F73" s="324"/>
    </row>
    <row r="74" spans="1:6">
      <c r="A74" s="1257" t="s">
        <v>63</v>
      </c>
      <c r="B74" s="1257" t="s">
        <v>608</v>
      </c>
      <c r="C74" s="1270" t="s">
        <v>610</v>
      </c>
      <c r="D74" s="1258">
        <v>7112329</v>
      </c>
      <c r="E74" s="442"/>
      <c r="F74" s="324"/>
    </row>
    <row r="75" spans="1:6">
      <c r="A75" s="1257" t="s">
        <v>64</v>
      </c>
      <c r="B75" s="1257" t="s">
        <v>607</v>
      </c>
      <c r="C75" s="1270" t="s">
        <v>611</v>
      </c>
      <c r="D75" s="1258">
        <v>39959789</v>
      </c>
      <c r="E75" s="442"/>
      <c r="F75" s="324"/>
    </row>
    <row r="76" spans="1:6">
      <c r="A76" s="1257" t="s">
        <v>64</v>
      </c>
      <c r="B76" s="1257" t="s">
        <v>608</v>
      </c>
      <c r="C76" s="1270" t="s">
        <v>612</v>
      </c>
      <c r="D76" s="1258">
        <v>2405085</v>
      </c>
      <c r="E76" s="442"/>
      <c r="F76" s="324"/>
    </row>
    <row r="77" spans="1:6">
      <c r="A77" s="1257" t="s">
        <v>65</v>
      </c>
      <c r="B77" s="1257" t="s">
        <v>607</v>
      </c>
      <c r="C77" s="1270" t="s">
        <v>613</v>
      </c>
      <c r="D77" s="1258">
        <v>287108437</v>
      </c>
      <c r="E77" s="442"/>
      <c r="F77" s="324"/>
    </row>
    <row r="78" spans="1:6">
      <c r="A78" s="1252" t="s">
        <v>65</v>
      </c>
      <c r="B78" s="1252" t="s">
        <v>608</v>
      </c>
      <c r="C78" s="1252" t="s">
        <v>614</v>
      </c>
      <c r="D78" s="1260">
        <v>43667425</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444784</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6544.2859616843143</v>
      </c>
      <c r="C91" s="324"/>
      <c r="D91" s="324"/>
      <c r="E91" s="324"/>
      <c r="F91" s="324"/>
    </row>
    <row r="92" spans="1:6">
      <c r="A92" s="1252" t="s">
        <v>68</v>
      </c>
      <c r="B92" s="1253">
        <v>3696.4799724291634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2716</v>
      </c>
      <c r="C97" s="324"/>
      <c r="D97" s="324"/>
      <c r="E97" s="324"/>
      <c r="F97" s="324"/>
    </row>
    <row r="98" spans="1:6">
      <c r="A98" s="1257" t="s">
        <v>71</v>
      </c>
      <c r="B98" s="1258">
        <v>1</v>
      </c>
      <c r="C98" s="324"/>
      <c r="D98" s="324"/>
      <c r="E98" s="324"/>
      <c r="F98" s="324"/>
    </row>
    <row r="99" spans="1:6">
      <c r="A99" s="1257" t="s">
        <v>72</v>
      </c>
      <c r="B99" s="1258">
        <v>234</v>
      </c>
      <c r="C99" s="324"/>
      <c r="D99" s="324"/>
      <c r="E99" s="324"/>
      <c r="F99" s="324"/>
    </row>
    <row r="100" spans="1:6">
      <c r="A100" s="1257" t="s">
        <v>73</v>
      </c>
      <c r="B100" s="1258">
        <v>1001</v>
      </c>
      <c r="C100" s="324"/>
      <c r="D100" s="324"/>
      <c r="E100" s="324"/>
      <c r="F100" s="324"/>
    </row>
    <row r="101" spans="1:6">
      <c r="A101" s="1257" t="s">
        <v>74</v>
      </c>
      <c r="B101" s="1258">
        <v>222</v>
      </c>
      <c r="C101" s="324"/>
      <c r="D101" s="324"/>
      <c r="E101" s="324"/>
      <c r="F101" s="324"/>
    </row>
    <row r="102" spans="1:6">
      <c r="A102" s="1257" t="s">
        <v>75</v>
      </c>
      <c r="B102" s="1258">
        <v>140</v>
      </c>
      <c r="C102" s="324"/>
      <c r="D102" s="324"/>
      <c r="E102" s="324"/>
      <c r="F102" s="324"/>
    </row>
    <row r="103" spans="1:6">
      <c r="A103" s="1257" t="s">
        <v>76</v>
      </c>
      <c r="B103" s="1258">
        <v>292</v>
      </c>
      <c r="C103" s="324"/>
      <c r="D103" s="324"/>
      <c r="E103" s="324"/>
      <c r="F103" s="324"/>
    </row>
    <row r="104" spans="1:6">
      <c r="A104" s="1257" t="s">
        <v>77</v>
      </c>
      <c r="B104" s="1258">
        <v>3420</v>
      </c>
      <c r="C104" s="324"/>
      <c r="D104" s="324"/>
      <c r="E104" s="324"/>
      <c r="F104" s="324"/>
    </row>
    <row r="105" spans="1:6">
      <c r="A105" s="1252" t="s">
        <v>78</v>
      </c>
      <c r="B105" s="1260">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49</v>
      </c>
      <c r="C123" s="1258">
        <v>57</v>
      </c>
      <c r="D123" s="324"/>
      <c r="E123" s="324"/>
      <c r="F123" s="324"/>
    </row>
    <row r="124" spans="1:6">
      <c r="A124" s="1257" t="s">
        <v>88</v>
      </c>
      <c r="B124" s="1258">
        <v>1</v>
      </c>
      <c r="C124" s="1258">
        <v>3</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329</v>
      </c>
      <c r="C129" s="324"/>
      <c r="D129" s="324"/>
      <c r="E129" s="324"/>
      <c r="F129" s="324"/>
    </row>
    <row r="130" spans="1:6">
      <c r="A130" s="1257" t="s">
        <v>283</v>
      </c>
      <c r="B130" s="1258">
        <v>3</v>
      </c>
      <c r="C130" s="324"/>
      <c r="D130" s="324"/>
      <c r="E130" s="324"/>
      <c r="F130" s="324"/>
    </row>
    <row r="131" spans="1:6">
      <c r="A131" s="1257" t="s">
        <v>284</v>
      </c>
      <c r="B131" s="1258">
        <v>0</v>
      </c>
      <c r="C131" s="324"/>
      <c r="D131" s="324"/>
      <c r="E131" s="324"/>
      <c r="F131" s="324"/>
    </row>
    <row r="132" spans="1:6">
      <c r="A132" s="1252" t="s">
        <v>285</v>
      </c>
      <c r="B132" s="1253">
        <v>41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108481.92054338683</v>
      </c>
      <c r="C3" s="43" t="s">
        <v>163</v>
      </c>
      <c r="D3" s="43"/>
      <c r="E3" s="153"/>
      <c r="F3" s="43"/>
      <c r="G3" s="43"/>
      <c r="H3" s="43"/>
      <c r="I3" s="43"/>
      <c r="J3" s="43"/>
      <c r="K3" s="96"/>
    </row>
    <row r="4" spans="1:11">
      <c r="A4" s="350" t="s">
        <v>164</v>
      </c>
      <c r="B4" s="49">
        <f>IF(ISERROR('SEAP template'!B78+'SEAP template'!C78),0,'SEAP template'!B78+'SEAP template'!C78)</f>
        <v>10288.315934113478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7.8423529411764719</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0.20011287468779951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11.203361344537816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67.928571428571431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0.16492855817405827</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1300.114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1300.114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0.20011287468779951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260.16954996185376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36980.400450000001</v>
      </c>
      <c r="C5" s="17">
        <f>IF(ISERROR('Eigen informatie GS &amp; warmtenet'!B59),0,'Eigen informatie GS &amp; warmtenet'!B59)</f>
        <v>0</v>
      </c>
      <c r="D5" s="30">
        <f>(SUM(HH_hh_gas_kWh,HH_rest_gas_kWh)/1000)*0.902</f>
        <v>75155.756946599999</v>
      </c>
      <c r="E5" s="17">
        <f>B32*B41</f>
        <v>2788.5547436465031</v>
      </c>
      <c r="F5" s="17">
        <f>B36*B45</f>
        <v>53663.778826364069</v>
      </c>
      <c r="G5" s="18"/>
      <c r="H5" s="17"/>
      <c r="I5" s="17"/>
      <c r="J5" s="17">
        <f>B35*B44+C35*C44</f>
        <v>274.60326803821272</v>
      </c>
      <c r="K5" s="17"/>
      <c r="L5" s="17"/>
      <c r="M5" s="17"/>
      <c r="N5" s="17">
        <f>B34*B43+C34*C43</f>
        <v>13130.187865966584</v>
      </c>
      <c r="O5" s="17">
        <f>B52*B53*B54</f>
        <v>771.75974734155545</v>
      </c>
      <c r="P5" s="17">
        <f>B60*B61*B62/1000-B60*B61*B62/1000/B63</f>
        <v>958.59029699933717</v>
      </c>
    </row>
    <row r="6" spans="1:16">
      <c r="A6" s="16" t="s">
        <v>573</v>
      </c>
      <c r="B6" s="738">
        <f>kWh_PV_kleiner_dan_10kW</f>
        <v>6544.2859616843143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43524.686411684313</v>
      </c>
      <c r="C8" s="21">
        <f>C5</f>
        <v>0</v>
      </c>
      <c r="D8" s="21">
        <f>D5</f>
        <v>75155.756946599999</v>
      </c>
      <c r="E8" s="21">
        <f>E5</f>
        <v>2788.5547436465031</v>
      </c>
      <c r="F8" s="21">
        <f>F5</f>
        <v>53663.778826364069</v>
      </c>
      <c r="G8" s="21"/>
      <c r="H8" s="21"/>
      <c r="I8" s="21"/>
      <c r="J8" s="21">
        <f>J5</f>
        <v>274.60326803821272</v>
      </c>
      <c r="K8" s="21"/>
      <c r="L8" s="21">
        <f>L5</f>
        <v>0</v>
      </c>
      <c r="M8" s="21">
        <f>M5</f>
        <v>0</v>
      </c>
      <c r="N8" s="21">
        <f>N5</f>
        <v>13130.187865966584</v>
      </c>
      <c r="O8" s="21">
        <f>O5</f>
        <v>771.75974734155545</v>
      </c>
      <c r="P8" s="21">
        <f>P5</f>
        <v>958.59029699933717</v>
      </c>
    </row>
    <row r="9" spans="1:16">
      <c r="B9" s="19"/>
      <c r="C9" s="19"/>
      <c r="D9" s="255"/>
      <c r="E9" s="19"/>
      <c r="F9" s="19"/>
      <c r="G9" s="19"/>
      <c r="H9" s="19"/>
      <c r="I9" s="19"/>
      <c r="J9" s="19"/>
      <c r="K9" s="19"/>
      <c r="L9" s="19"/>
      <c r="M9" s="19"/>
      <c r="N9" s="19"/>
      <c r="O9" s="19"/>
      <c r="P9" s="19"/>
    </row>
    <row r="10" spans="1:16">
      <c r="A10" s="24" t="s">
        <v>207</v>
      </c>
      <c r="B10" s="25">
        <f ca="1">'EF ele_warmte'!B12</f>
        <v>0.20011287468779951</v>
      </c>
      <c r="C10" s="25">
        <f ca="1">'EF ele_warmte'!B22</f>
        <v>0.16492855817405827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8709.8501177271537</v>
      </c>
      <c r="C12" s="23">
        <f ca="1">C10*C8</f>
        <v>0</v>
      </c>
      <c r="D12" s="23">
        <f>D8*D10</f>
        <v>15181.462903213202</v>
      </c>
      <c r="E12" s="23">
        <f>E10*E8</f>
        <v>633.00192680775626</v>
      </c>
      <c r="F12" s="23">
        <f>F10*F8</f>
        <v>14328.228946639207</v>
      </c>
      <c r="G12" s="23"/>
      <c r="H12" s="23"/>
      <c r="I12" s="23"/>
      <c r="J12" s="23">
        <f>J10*J8</f>
        <v>97.209556885527292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9635</v>
      </c>
      <c r="C26" s="36"/>
      <c r="D26" s="225"/>
    </row>
    <row r="27" spans="1:7" s="15" customFormat="1">
      <c r="A27" s="227" t="s">
        <v>774</v>
      </c>
      <c r="B27" s="37">
        <f>SUM(HH_hh_gas_aantal,HH_rest_gas_aantal)</f>
        <v>5838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5546.1</v>
      </c>
      <c r="C31" s="165" t="s">
        <v>104</v>
      </c>
      <c r="D31" s="230"/>
      <c r="G31" s="15"/>
    </row>
    <row r="32" spans="1:7">
      <c r="A32" s="168" t="s">
        <v>72</v>
      </c>
      <c r="B32" s="165">
        <f>IF((B21*($B$26-($B$27-0.05*$B$27)-$B$60))&lt;0,0,B21*($B$26-($B$27-0.05*$B$27)-$B$60))</f>
        <v>45.068995669425568</v>
      </c>
      <c r="C32" s="165" t="s">
        <v>104</v>
      </c>
      <c r="D32" s="230"/>
      <c r="G32" s="15"/>
    </row>
    <row r="33" spans="1:7">
      <c r="A33" s="168" t="s">
        <v>73</v>
      </c>
      <c r="B33" s="165">
        <f>IF((B22*($B$26-($B$27-0.05*$B$27)-$B$60))&lt;0,0,B22*($B$26-($B$27-0.05*$B$27)-$B$60))</f>
        <v>937.02226752555475</v>
      </c>
      <c r="C33" s="165" t="s">
        <v>104</v>
      </c>
      <c r="D33" s="230"/>
      <c r="G33" s="15"/>
    </row>
    <row r="34" spans="1:7">
      <c r="A34" s="168" t="s">
        <v>74</v>
      </c>
      <c r="B34" s="165">
        <f>IF((B24*($B$26-($B$27-0.05*$B$27)-$B$60))&lt;0,0,B24*($B$26-($B$27-0.05*$B$27)-$B$60))</f>
        <v>395.65213458311706</v>
      </c>
      <c r="C34" s="165">
        <f>B26*C24</f>
        <v>1662.6392812174568</v>
      </c>
      <c r="D34" s="230"/>
      <c r="G34" s="15"/>
    </row>
    <row r="35" spans="1:7">
      <c r="A35" s="168" t="s">
        <v>76</v>
      </c>
      <c r="B35" s="165">
        <f>IF((B19*($B$26-($B$27-0.05*$B$27)-$B$60))&lt;0,0,B19*($B$26-($B$27-0.05*$B$27)-$B$60))</f>
        <v>34.112369901418525</v>
      </c>
      <c r="C35" s="165">
        <f>B35/2</f>
        <v>17.056184950709262</v>
      </c>
      <c r="D35" s="231"/>
      <c r="G35" s="15"/>
    </row>
    <row r="36" spans="1:7">
      <c r="A36" s="168" t="s">
        <v>77</v>
      </c>
      <c r="B36" s="165">
        <f>IF((B18*($B$26-($B$27-0.05*$B$27)-$B$60))&lt;0,0,B18*($B$26-($B$27-0.05*$B$27)-$B$60))</f>
        <v>2586.0442323204838</v>
      </c>
      <c r="C36" s="165" t="s">
        <v>104</v>
      </c>
      <c r="D36" s="231"/>
      <c r="G36" s="15"/>
    </row>
    <row r="37" spans="1:7">
      <c r="A37" s="168" t="s">
        <v>78</v>
      </c>
      <c r="B37" s="165">
        <f>B60</f>
        <v>91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389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91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29786.188986000001</v>
      </c>
      <c r="C5" s="17">
        <f>IF(ISERROR('Eigen informatie GS &amp; warmtenet'!B60),0,'Eigen informatie GS &amp; warmtenet'!B60)</f>
        <v>0</v>
      </c>
      <c r="D5" s="30">
        <f>SUM(D6:D12)</f>
        <v>27346.812668868006</v>
      </c>
      <c r="E5" s="17">
        <f>SUM(E6:E12)</f>
        <v>71.530677519481529</v>
      </c>
      <c r="F5" s="17">
        <f>SUM(F6:F12)</f>
        <v>4999.1587856724782</v>
      </c>
      <c r="G5" s="18"/>
      <c r="H5" s="17"/>
      <c r="I5" s="17"/>
      <c r="J5" s="17">
        <f>SUM(J6:J12)</f>
        <v>3.090395504565523E-2</v>
      </c>
      <c r="K5" s="17"/>
      <c r="L5" s="17"/>
      <c r="M5" s="17"/>
      <c r="N5" s="17">
        <f>SUM(N6:N12)</f>
        <v>1166.5900668986505</v>
      </c>
      <c r="O5" s="17">
        <f>B38*B39*B40</f>
        <v>14.691782297523464</v>
      </c>
      <c r="P5" s="17">
        <f>B46*B47*B48/1000-B46*B47*B48/1000/B49</f>
        <v>0</v>
      </c>
      <c r="R5" s="32"/>
    </row>
    <row r="6" spans="1:18">
      <c r="A6" s="32" t="s">
        <v>53</v>
      </c>
      <c r="B6" s="37">
        <f>B26</f>
        <v>9188.4176939999998</v>
      </c>
      <c r="C6" s="33"/>
      <c r="D6" s="37">
        <f>IF(ISERROR(TER_kantoor_gas_kWh/1000),0,TER_kantoor_gas_kWh/1000)*0.902</f>
        <v>7127.4171795640004</v>
      </c>
      <c r="E6" s="33">
        <f>$C$26*'E Balans VL '!I12/100/3.6*1000000</f>
        <v>2.3993593263361777</v>
      </c>
      <c r="F6" s="33">
        <f>$C$26*('E Balans VL '!L12+'E Balans VL '!N12)/100/3.6*1000000</f>
        <v>918.07177100305171</v>
      </c>
      <c r="G6" s="34"/>
      <c r="H6" s="33"/>
      <c r="I6" s="33"/>
      <c r="J6" s="33">
        <f>$C$26*('E Balans VL '!D12+'E Balans VL '!E12)/100/3.6*1000000</f>
        <v>0</v>
      </c>
      <c r="K6" s="33"/>
      <c r="L6" s="33"/>
      <c r="M6" s="33"/>
      <c r="N6" s="33">
        <f>$C$26*'E Balans VL '!Y12/100/3.6*1000000</f>
        <v>6.5145402230367866</v>
      </c>
      <c r="O6" s="33"/>
      <c r="P6" s="33"/>
      <c r="R6" s="32"/>
    </row>
    <row r="7" spans="1:18">
      <c r="A7" s="32" t="s">
        <v>52</v>
      </c>
      <c r="B7" s="37">
        <f t="shared" ref="B7:B12" si="0">B27</f>
        <v>2851.9169539999998</v>
      </c>
      <c r="C7" s="33"/>
      <c r="D7" s="37">
        <f>IF(ISERROR(TER_horeca_gas_kWh/1000),0,TER_horeca_gas_kWh/1000)*0.902</f>
        <v>2851.7198065840003</v>
      </c>
      <c r="E7" s="33">
        <f>$C$27*'E Balans VL '!I9/100/3.6*1000000</f>
        <v>0</v>
      </c>
      <c r="F7" s="33">
        <f>$C$27*('E Balans VL '!L9+'E Balans VL '!N9)/100/3.6*1000000</f>
        <v>234.21787780708505</v>
      </c>
      <c r="G7" s="34"/>
      <c r="H7" s="33"/>
      <c r="I7" s="33"/>
      <c r="J7" s="33">
        <f>$C$27*('E Balans VL '!D9+'E Balans VL '!E9)/100/3.6*1000000</f>
        <v>0</v>
      </c>
      <c r="K7" s="33"/>
      <c r="L7" s="33"/>
      <c r="M7" s="33"/>
      <c r="N7" s="33">
        <f>$C$27*'E Balans VL '!Y9/100/3.6*1000000</f>
        <v>36.039880991779171</v>
      </c>
      <c r="O7" s="33"/>
      <c r="P7" s="33"/>
      <c r="R7" s="32"/>
    </row>
    <row r="8" spans="1:18">
      <c r="A8" s="6" t="s">
        <v>51</v>
      </c>
      <c r="B8" s="37">
        <f t="shared" si="0"/>
        <v>9774.4246359999997</v>
      </c>
      <c r="C8" s="33"/>
      <c r="D8" s="37">
        <f>IF(ISERROR(TER_handel_gas_kWh/1000),0,TER_handel_gas_kWh/1000)*0.902</f>
        <v>4556.4015201540005</v>
      </c>
      <c r="E8" s="33">
        <f>$C$28*'E Balans VL '!I13/100/3.6*1000000</f>
        <v>35.923575439941459</v>
      </c>
      <c r="F8" s="33">
        <f>$C$28*('E Balans VL '!L13+'E Balans VL '!N13)/100/3.6*1000000</f>
        <v>933.6222565299604</v>
      </c>
      <c r="G8" s="34"/>
      <c r="H8" s="33"/>
      <c r="I8" s="33"/>
      <c r="J8" s="33">
        <f>$C$28*('E Balans VL '!D13+'E Balans VL '!E13)/100/3.6*1000000</f>
        <v>0</v>
      </c>
      <c r="K8" s="33"/>
      <c r="L8" s="33"/>
      <c r="M8" s="33"/>
      <c r="N8" s="33">
        <f>$C$28*'E Balans VL '!Y13/100/3.6*1000000</f>
        <v>3.8675101537352572</v>
      </c>
      <c r="O8" s="33"/>
      <c r="P8" s="33"/>
      <c r="R8" s="32"/>
    </row>
    <row r="9" spans="1:18">
      <c r="A9" s="32" t="s">
        <v>50</v>
      </c>
      <c r="B9" s="37">
        <f t="shared" si="0"/>
        <v>818.92674299999999</v>
      </c>
      <c r="C9" s="33"/>
      <c r="D9" s="37">
        <f>IF(ISERROR(TER_gezond_gas_kWh/1000),0,TER_gezond_gas_kWh/1000)*0.902</f>
        <v>808.69200746400008</v>
      </c>
      <c r="E9" s="33">
        <f>$C$29*'E Balans VL '!I10/100/3.6*1000000</f>
        <v>0</v>
      </c>
      <c r="F9" s="33">
        <f>$C$29*('E Balans VL '!L10+'E Balans VL '!N10)/100/3.6*1000000</f>
        <v>55.322315217310873</v>
      </c>
      <c r="G9" s="34"/>
      <c r="H9" s="33"/>
      <c r="I9" s="33"/>
      <c r="J9" s="33">
        <f>$C$29*('E Balans VL '!D10+'E Balans VL '!E10)/100/3.6*1000000</f>
        <v>0</v>
      </c>
      <c r="K9" s="33"/>
      <c r="L9" s="33"/>
      <c r="M9" s="33"/>
      <c r="N9" s="33">
        <f>$C$29*'E Balans VL '!Y10/100/3.6*1000000</f>
        <v>6.3718610676840335</v>
      </c>
      <c r="O9" s="33"/>
      <c r="P9" s="33"/>
      <c r="R9" s="32"/>
    </row>
    <row r="10" spans="1:18">
      <c r="A10" s="32" t="s">
        <v>49</v>
      </c>
      <c r="B10" s="37">
        <f t="shared" si="0"/>
        <v>2235.7631310000002</v>
      </c>
      <c r="C10" s="33"/>
      <c r="D10" s="37">
        <f>IF(ISERROR(TER_ander_gas_kWh/1000),0,TER_ander_gas_kWh/1000)*0.902</f>
        <v>3147.131832262</v>
      </c>
      <c r="E10" s="33">
        <f>$C$30*'E Balans VL '!I14/100/3.6*1000000</f>
        <v>20.273464747731147</v>
      </c>
      <c r="F10" s="33">
        <f>$C$30*('E Balans VL '!L14+'E Balans VL '!N14)/100/3.6*1000000</f>
        <v>1767.2524162290031</v>
      </c>
      <c r="G10" s="34"/>
      <c r="H10" s="33"/>
      <c r="I10" s="33"/>
      <c r="J10" s="33">
        <f>$C$30*('E Balans VL '!D14+'E Balans VL '!E14)/100/3.6*1000000</f>
        <v>2.2128518066369163E-2</v>
      </c>
      <c r="K10" s="33"/>
      <c r="L10" s="33"/>
      <c r="M10" s="33"/>
      <c r="N10" s="33">
        <f>$C$30*'E Balans VL '!Y14/100/3.6*1000000</f>
        <v>789.11041440716099</v>
      </c>
      <c r="O10" s="33"/>
      <c r="P10" s="33"/>
      <c r="R10" s="32"/>
    </row>
    <row r="11" spans="1:18">
      <c r="A11" s="32" t="s">
        <v>54</v>
      </c>
      <c r="B11" s="37">
        <f t="shared" si="0"/>
        <v>540.68579599999998</v>
      </c>
      <c r="C11" s="33"/>
      <c r="D11" s="37">
        <f>IF(ISERROR(TER_onderwijs_gas_kWh/1000),0,TER_onderwijs_gas_kWh/1000)*0.902</f>
        <v>1203.2406116720001</v>
      </c>
      <c r="E11" s="33">
        <f>$C$31*'E Balans VL '!I11/100/3.6*1000000</f>
        <v>0</v>
      </c>
      <c r="F11" s="33">
        <f>$C$31*('E Balans VL '!L11+'E Balans VL '!N11)/100/3.6*1000000</f>
        <v>64.348879381951278</v>
      </c>
      <c r="G11" s="34"/>
      <c r="H11" s="33"/>
      <c r="I11" s="33"/>
      <c r="J11" s="33">
        <f>$C$31*('E Balans VL '!D11+'E Balans VL '!E11)/100/3.6*1000000</f>
        <v>0</v>
      </c>
      <c r="K11" s="33"/>
      <c r="L11" s="33"/>
      <c r="M11" s="33"/>
      <c r="N11" s="33">
        <f>$C$31*'E Balans VL '!Y11/100/3.6*1000000</f>
        <v>1.202472017456899</v>
      </c>
      <c r="O11" s="33"/>
      <c r="P11" s="33"/>
      <c r="R11" s="32"/>
    </row>
    <row r="12" spans="1:18">
      <c r="A12" s="32" t="s">
        <v>248</v>
      </c>
      <c r="B12" s="37">
        <f t="shared" si="0"/>
        <v>4376.054032</v>
      </c>
      <c r="C12" s="33"/>
      <c r="D12" s="37">
        <f>IF(ISERROR(TER_rest_gas_kWh/1000),0,TER_rest_gas_kWh/1000)*0.902</f>
        <v>7652.2097111680005</v>
      </c>
      <c r="E12" s="33">
        <f>$C$32*'E Balans VL '!I8/100/3.6*1000000</f>
        <v>12.934278005472754</v>
      </c>
      <c r="F12" s="33">
        <f>$C$32*('E Balans VL '!L8+'E Balans VL '!N8)/100/3.6*1000000</f>
        <v>1026.3232695041161</v>
      </c>
      <c r="G12" s="34"/>
      <c r="H12" s="33"/>
      <c r="I12" s="33"/>
      <c r="J12" s="33">
        <f>$C$32*('E Balans VL '!D8+'E Balans VL '!E8)/100/3.6*1000000</f>
        <v>8.7754369792860665E-3</v>
      </c>
      <c r="K12" s="33"/>
      <c r="L12" s="33"/>
      <c r="M12" s="33"/>
      <c r="N12" s="33">
        <f>$C$32*'E Balans VL '!Y8/100/3.6*1000000</f>
        <v>323.48338803779734</v>
      </c>
      <c r="O12" s="33"/>
      <c r="P12" s="33"/>
      <c r="R12" s="32"/>
    </row>
    <row r="13" spans="1:18">
      <c r="A13" s="16" t="s">
        <v>464</v>
      </c>
      <c r="B13" s="244">
        <f ca="1">'lokale energieproductie'!N39+'lokale energieproductie'!N32</f>
        <v>33</v>
      </c>
      <c r="C13" s="244">
        <f ca="1">'lokale energieproductie'!O39+'lokale energieproductie'!O32</f>
        <v>47.142857142857146</v>
      </c>
      <c r="D13" s="302">
        <f ca="1">('lokale energieproductie'!P32+'lokale energieproductie'!P39)*(-1)</f>
        <v>-94.285714285714292</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29819.188986000001</v>
      </c>
      <c r="C16" s="21">
        <f t="shared" ca="1" si="1"/>
        <v>47.142857142857146</v>
      </c>
      <c r="D16" s="21">
        <f t="shared" ca="1" si="1"/>
        <v>27252.526954582292</v>
      </c>
      <c r="E16" s="21">
        <f t="shared" si="1"/>
        <v>71.530677519481529</v>
      </c>
      <c r="F16" s="21">
        <f t="shared" ca="1" si="1"/>
        <v>4999.1587856724782</v>
      </c>
      <c r="G16" s="21">
        <f t="shared" si="1"/>
        <v>0</v>
      </c>
      <c r="H16" s="21">
        <f t="shared" si="1"/>
        <v>0</v>
      </c>
      <c r="I16" s="21">
        <f t="shared" si="1"/>
        <v>0</v>
      </c>
      <c r="J16" s="21">
        <f t="shared" si="1"/>
        <v>3.090395504565523E-2</v>
      </c>
      <c r="K16" s="21">
        <f t="shared" si="1"/>
        <v>0</v>
      </c>
      <c r="L16" s="21">
        <f t="shared" ca="1" si="1"/>
        <v>0</v>
      </c>
      <c r="M16" s="21">
        <f t="shared" si="1"/>
        <v>0</v>
      </c>
      <c r="N16" s="21">
        <f t="shared" ca="1" si="1"/>
        <v>1166.5900668986505</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0.20011287468779951</v>
      </c>
      <c r="C18" s="25">
        <f ca="1">'EF ele_warmte'!B22</f>
        <v>0.16492855817405827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5967.2036288472291</v>
      </c>
      <c r="C20" s="23">
        <f t="shared" ref="C20:P20" ca="1" si="2">C16*C18</f>
        <v>7.7752034567770334</v>
      </c>
      <c r="D20" s="23">
        <f t="shared" ca="1" si="2"/>
        <v>5505.0104448256234</v>
      </c>
      <c r="E20" s="23">
        <f t="shared" si="2"/>
        <v>16.237463796922306</v>
      </c>
      <c r="F20" s="23">
        <f t="shared" ca="1" si="2"/>
        <v>1334.7753957745517</v>
      </c>
      <c r="G20" s="23">
        <f t="shared" si="2"/>
        <v>0</v>
      </c>
      <c r="H20" s="23">
        <f t="shared" si="2"/>
        <v>0</v>
      </c>
      <c r="I20" s="23">
        <f t="shared" si="2"/>
        <v>0</v>
      </c>
      <c r="J20" s="23">
        <f t="shared" si="2"/>
        <v>1.0940000086161951E-2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9188.4176939999998</v>
      </c>
      <c r="C26" s="39">
        <f>IF(ISERROR(B26*3.6/1000000/'E Balans VL '!Z12*100),0,B26*3.6/1000000/'E Balans VL '!Z12*100)</f>
        <v>0.25713985763587738</v>
      </c>
      <c r="D26" s="234" t="s">
        <v>667</v>
      </c>
      <c r="F26" s="6"/>
    </row>
    <row r="27" spans="1:18">
      <c r="A27" s="228" t="s">
        <v>52</v>
      </c>
      <c r="B27" s="33">
        <f>IF(ISERROR(TER_horeca_ele_kWh/1000),0,TER_horeca_ele_kWh/1000)</f>
        <v>2851.9169539999998</v>
      </c>
      <c r="C27" s="39">
        <f>IF(ISERROR(B27*3.6/1000000/'E Balans VL '!Z9*100),0,B27*3.6/1000000/'E Balans VL '!Z9*100)</f>
        <v>0.2125603255154998</v>
      </c>
      <c r="D27" s="234" t="s">
        <v>667</v>
      </c>
      <c r="F27" s="6"/>
    </row>
    <row r="28" spans="1:18">
      <c r="A28" s="168" t="s">
        <v>51</v>
      </c>
      <c r="B28" s="33">
        <f>IF(ISERROR(TER_handel_ele_kWh/1000),0,TER_handel_ele_kWh/1000)</f>
        <v>9774.4246359999997</v>
      </c>
      <c r="C28" s="39">
        <f>IF(ISERROR(B28*3.6/1000000/'E Balans VL '!Z13*100),0,B28*3.6/1000000/'E Balans VL '!Z13*100)</f>
        <v>0.28319095891752832</v>
      </c>
      <c r="D28" s="234" t="s">
        <v>667</v>
      </c>
      <c r="F28" s="6"/>
    </row>
    <row r="29" spans="1:18">
      <c r="A29" s="228" t="s">
        <v>50</v>
      </c>
      <c r="B29" s="33">
        <f>IF(ISERROR(TER_gezond_ele_kWh/1000),0,TER_gezond_ele_kWh/1000)</f>
        <v>818.92674299999999</v>
      </c>
      <c r="C29" s="39">
        <f>IF(ISERROR(B29*3.6/1000000/'E Balans VL '!Z10*100),0,B29*3.6/1000000/'E Balans VL '!Z10*100)</f>
        <v>8.2589738641467486E-2</v>
      </c>
      <c r="D29" s="234" t="s">
        <v>667</v>
      </c>
      <c r="F29" s="6"/>
    </row>
    <row r="30" spans="1:18">
      <c r="A30" s="228" t="s">
        <v>49</v>
      </c>
      <c r="B30" s="33">
        <f>IF(ISERROR(TER_ander_ele_kWh/1000),0,TER_ander_ele_kWh/1000)</f>
        <v>2235.7631310000002</v>
      </c>
      <c r="C30" s="39">
        <f>IF(ISERROR(B30*3.6/1000000/'E Balans VL '!Z14*100),0,B30*3.6/1000000/'E Balans VL '!Z14*100)</f>
        <v>9.0628742933935136E-2</v>
      </c>
      <c r="D30" s="234" t="s">
        <v>667</v>
      </c>
      <c r="F30" s="6"/>
    </row>
    <row r="31" spans="1:18">
      <c r="A31" s="228" t="s">
        <v>54</v>
      </c>
      <c r="B31" s="33">
        <f>IF(ISERROR(TER_onderwijs_ele_kWh/1000),0,TER_onderwijs_ele_kWh/1000)</f>
        <v>540.68579599999998</v>
      </c>
      <c r="C31" s="39">
        <f>IF(ISERROR(B31*3.6/1000000/'E Balans VL '!Z11*100),0,B31*3.6/1000000/'E Balans VL '!Z11*100)</f>
        <v>0.15411746961083944</v>
      </c>
      <c r="D31" s="234" t="s">
        <v>667</v>
      </c>
    </row>
    <row r="32" spans="1:18">
      <c r="A32" s="228" t="s">
        <v>248</v>
      </c>
      <c r="B32" s="33">
        <f>IF(ISERROR(TER_rest_ele_kWh/1000),0,TER_rest_ele_kWh/1000)</f>
        <v>4376.054032</v>
      </c>
      <c r="C32" s="39">
        <f>IF(ISERROR(B32*3.6/1000000/'E Balans VL '!Z8*100),0,B32*3.6/1000000/'E Balans VL '!Z8*100)</f>
        <v>3.5940356229157949E-2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28493.603663000002</v>
      </c>
      <c r="C5" s="17">
        <f>IF(ISERROR('Eigen informatie GS &amp; warmtenet'!B61),0,'Eigen informatie GS &amp; warmtenet'!B61)</f>
        <v>0</v>
      </c>
      <c r="D5" s="30">
        <f>SUM(D6:D15)</f>
        <v>29865.025409736001</v>
      </c>
      <c r="E5" s="17">
        <f>SUM(E6:E15)</f>
        <v>945.05514108436319</v>
      </c>
      <c r="F5" s="17">
        <f>SUM(F6:F15)</f>
        <v>5468.4318034107919</v>
      </c>
      <c r="G5" s="18"/>
      <c r="H5" s="17"/>
      <c r="I5" s="17"/>
      <c r="J5" s="17">
        <f>SUM(J6:J15)</f>
        <v>75.403932511569721</v>
      </c>
      <c r="K5" s="17"/>
      <c r="L5" s="17"/>
      <c r="M5" s="17"/>
      <c r="N5" s="17">
        <f>SUM(N6:N15)</f>
        <v>1140.1361257085978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2125.0127469999998</v>
      </c>
      <c r="C8" s="33"/>
      <c r="D8" s="37">
        <f>IF( ISERROR(IND_metaal_Gas_kWH/1000),0,IND_metaal_Gas_kWH/1000)*0.902</f>
        <v>3274.4475294079998</v>
      </c>
      <c r="E8" s="33">
        <f>C30*'E Balans VL '!I18/100/3.6*1000000</f>
        <v>15.249598882526053</v>
      </c>
      <c r="F8" s="33">
        <f>C30*'E Balans VL '!L18/100/3.6*1000000+C30*'E Balans VL '!N18/100/3.6*1000000</f>
        <v>141.43932712969956</v>
      </c>
      <c r="G8" s="34"/>
      <c r="H8" s="33"/>
      <c r="I8" s="33"/>
      <c r="J8" s="40">
        <f>C30*'E Balans VL '!D18/100/3.6*1000000+C30*'E Balans VL '!E18/100/3.6*1000000</f>
        <v>2.0486031560637756</v>
      </c>
      <c r="K8" s="33"/>
      <c r="L8" s="33"/>
      <c r="M8" s="33"/>
      <c r="N8" s="33">
        <f>C30*'E Balans VL '!Y18/100/3.6*1000000</f>
        <v>25.750262797389365</v>
      </c>
      <c r="O8" s="33"/>
      <c r="P8" s="33"/>
      <c r="R8" s="32"/>
    </row>
    <row r="9" spans="1:18">
      <c r="A9" s="6" t="s">
        <v>32</v>
      </c>
      <c r="B9" s="37">
        <f t="shared" si="0"/>
        <v>3233.0805410000003</v>
      </c>
      <c r="C9" s="33"/>
      <c r="D9" s="37">
        <f>IF( ISERROR(IND_andere_gas_kWh/1000),0,IND_andere_gas_kWh/1000)*0.902</f>
        <v>2358.9149199220001</v>
      </c>
      <c r="E9" s="33">
        <f>C31*'E Balans VL '!I19/100/3.6*1000000</f>
        <v>8.5003391166803528</v>
      </c>
      <c r="F9" s="33">
        <f>C31*'E Balans VL '!L19/100/3.6*1000000+C31*'E Balans VL '!N19/100/3.6*1000000</f>
        <v>2135.1414856168767</v>
      </c>
      <c r="G9" s="34"/>
      <c r="H9" s="33"/>
      <c r="I9" s="33"/>
      <c r="J9" s="40">
        <f>C31*'E Balans VL '!D19/100/3.6*1000000+C31*'E Balans VL '!E19/100/3.6*1000000</f>
        <v>0</v>
      </c>
      <c r="K9" s="33"/>
      <c r="L9" s="33"/>
      <c r="M9" s="33"/>
      <c r="N9" s="33">
        <f>C31*'E Balans VL '!Y19/100/3.6*1000000</f>
        <v>172.60902574770401</v>
      </c>
      <c r="O9" s="33"/>
      <c r="P9" s="33"/>
      <c r="R9" s="32"/>
    </row>
    <row r="10" spans="1:18">
      <c r="A10" s="6" t="s">
        <v>40</v>
      </c>
      <c r="B10" s="37">
        <f t="shared" si="0"/>
        <v>2254.6381929999998</v>
      </c>
      <c r="C10" s="33"/>
      <c r="D10" s="37">
        <f>IF( ISERROR(IND_voed_gas_kWh/1000),0,IND_voed_gas_kWh/1000)*0.902</f>
        <v>2448.6927550579999</v>
      </c>
      <c r="E10" s="33">
        <f>C32*'E Balans VL '!I20/100/3.6*1000000</f>
        <v>3.8063446824173681</v>
      </c>
      <c r="F10" s="33">
        <f>C32*'E Balans VL '!L20/100/3.6*1000000+C32*'E Balans VL '!N20/100/3.6*1000000</f>
        <v>132.33742184553122</v>
      </c>
      <c r="G10" s="34"/>
      <c r="H10" s="33"/>
      <c r="I10" s="33"/>
      <c r="J10" s="40">
        <f>C32*'E Balans VL '!D20/100/3.6*1000000+C32*'E Balans VL '!E20/100/3.6*1000000</f>
        <v>0</v>
      </c>
      <c r="K10" s="33"/>
      <c r="L10" s="33"/>
      <c r="M10" s="33"/>
      <c r="N10" s="33">
        <f>C32*'E Balans VL '!Y20/100/3.6*1000000</f>
        <v>122.75376288833917</v>
      </c>
      <c r="O10" s="33"/>
      <c r="P10" s="33"/>
      <c r="R10" s="32"/>
    </row>
    <row r="11" spans="1:18">
      <c r="A11" s="6" t="s">
        <v>39</v>
      </c>
      <c r="B11" s="37">
        <f t="shared" si="0"/>
        <v>199.41634200000001</v>
      </c>
      <c r="C11" s="33"/>
      <c r="D11" s="37">
        <f>IF( ISERROR(IND_textiel_gas_kWh/1000),0,IND_textiel_gas_kWh/1000)*0.902</f>
        <v>0</v>
      </c>
      <c r="E11" s="33">
        <f>C33*'E Balans VL '!I21/100/3.6*1000000</f>
        <v>0.6946186750515263</v>
      </c>
      <c r="F11" s="33">
        <f>C33*'E Balans VL '!L21/100/3.6*1000000+C33*'E Balans VL '!N21/100/3.6*1000000</f>
        <v>5.2993165421418054</v>
      </c>
      <c r="G11" s="34"/>
      <c r="H11" s="33"/>
      <c r="I11" s="33"/>
      <c r="J11" s="40">
        <f>C33*'E Balans VL '!D21/100/3.6*1000000+C33*'E Balans VL '!E21/100/3.6*1000000</f>
        <v>0</v>
      </c>
      <c r="K11" s="33"/>
      <c r="L11" s="33"/>
      <c r="M11" s="33"/>
      <c r="N11" s="33">
        <f>C33*'E Balans VL '!Y21/100/3.6*1000000</f>
        <v>2.4651799694780568E-2</v>
      </c>
      <c r="O11" s="33"/>
      <c r="P11" s="33"/>
      <c r="R11" s="32"/>
    </row>
    <row r="12" spans="1:18">
      <c r="A12" s="6" t="s">
        <v>36</v>
      </c>
      <c r="B12" s="37">
        <f t="shared" si="0"/>
        <v>261.535619</v>
      </c>
      <c r="C12" s="33"/>
      <c r="D12" s="37">
        <f>IF( ISERROR(IND_min_gas_kWh/1000),0,IND_min_gas_kWh/1000)*0.902</f>
        <v>0</v>
      </c>
      <c r="E12" s="33">
        <f>C34*'E Balans VL '!I22/100/3.6*1000000</f>
        <v>3.7651654911241432</v>
      </c>
      <c r="F12" s="33">
        <f>C34*'E Balans VL '!L22/100/3.6*1000000+C34*'E Balans VL '!N22/100/3.6*1000000</f>
        <v>31.44404877891936</v>
      </c>
      <c r="G12" s="34"/>
      <c r="H12" s="33"/>
      <c r="I12" s="33"/>
      <c r="J12" s="40">
        <f>C34*'E Balans VL '!D22/100/3.6*1000000+C34*'E Balans VL '!E22/100/3.6*1000000</f>
        <v>0.19095385011757371</v>
      </c>
      <c r="K12" s="33"/>
      <c r="L12" s="33"/>
      <c r="M12" s="33"/>
      <c r="N12" s="33">
        <f>C34*'E Balans VL '!Y22/100/3.6*1000000</f>
        <v>155.56873307956667</v>
      </c>
      <c r="O12" s="33"/>
      <c r="P12" s="33"/>
      <c r="R12" s="32"/>
    </row>
    <row r="13" spans="1:18">
      <c r="A13" s="6" t="s">
        <v>38</v>
      </c>
      <c r="B13" s="37">
        <f t="shared" si="0"/>
        <v>1382.9791910000001</v>
      </c>
      <c r="C13" s="33"/>
      <c r="D13" s="37">
        <f>IF( ISERROR(IND_papier_gas_kWh/1000),0,IND_papier_gas_kWh/1000)*0.902</f>
        <v>449.00092806800001</v>
      </c>
      <c r="E13" s="33">
        <f>C35*'E Balans VL '!I23/100/3.6*1000000</f>
        <v>4.8929937618648882</v>
      </c>
      <c r="F13" s="33">
        <f>C35*'E Balans VL '!L23/100/3.6*1000000+C35*'E Balans VL '!N23/100/3.6*1000000</f>
        <v>12.821281295451916</v>
      </c>
      <c r="G13" s="34"/>
      <c r="H13" s="33"/>
      <c r="I13" s="33"/>
      <c r="J13" s="40">
        <f>C35*'E Balans VL '!D23/100/3.6*1000000+C35*'E Balans VL '!E23/100/3.6*1000000</f>
        <v>0</v>
      </c>
      <c r="K13" s="33"/>
      <c r="L13" s="33"/>
      <c r="M13" s="33"/>
      <c r="N13" s="33">
        <f>C35*'E Balans VL '!Y23/100/3.6*1000000</f>
        <v>-30.126435087484825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19036.941030000002</v>
      </c>
      <c r="C15" s="33"/>
      <c r="D15" s="37">
        <f>IF( ISERROR(IND_rest_gas_kWh/1000),0,IND_rest_gas_kWh/1000)*0.902</f>
        <v>21333.969277280001</v>
      </c>
      <c r="E15" s="33">
        <f>C37*'E Balans VL '!I15/100/3.6*1000000</f>
        <v>908.14608047469881</v>
      </c>
      <c r="F15" s="33">
        <f>C37*'E Balans VL '!L15/100/3.6*1000000+C37*'E Balans VL '!N15/100/3.6*1000000</f>
        <v>3009.9489222021716</v>
      </c>
      <c r="G15" s="34"/>
      <c r="H15" s="33"/>
      <c r="I15" s="33"/>
      <c r="J15" s="40">
        <f>C37*'E Balans VL '!D15/100/3.6*1000000+C37*'E Balans VL '!E15/100/3.6*1000000</f>
        <v>73.164375505388378</v>
      </c>
      <c r="K15" s="33"/>
      <c r="L15" s="33"/>
      <c r="M15" s="33"/>
      <c r="N15" s="33">
        <f>C37*'E Balans VL '!Y15/100/3.6*1000000</f>
        <v>693.55612448338866</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28493.603663000002</v>
      </c>
      <c r="C18" s="21">
        <f>C5+C16</f>
        <v>0</v>
      </c>
      <c r="D18" s="21">
        <f>MAX((D5+D16),0)</f>
        <v>29865.025409736001</v>
      </c>
      <c r="E18" s="21">
        <f>MAX((E5+E16),0)</f>
        <v>945.05514108436319</v>
      </c>
      <c r="F18" s="21">
        <f>MAX((F5+F16),0)</f>
        <v>5468.4318034107919</v>
      </c>
      <c r="G18" s="21"/>
      <c r="H18" s="21"/>
      <c r="I18" s="21"/>
      <c r="J18" s="21">
        <f>MAX((J5+J16),0)</f>
        <v>75.403932511569721</v>
      </c>
      <c r="K18" s="21"/>
      <c r="L18" s="21">
        <f>MAX((L5+L16),0)</f>
        <v>0</v>
      </c>
      <c r="M18" s="21"/>
      <c r="N18" s="21">
        <f>MAX((N5+N16),0)</f>
        <v>1140.1361257085978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0.20011287468779951</v>
      </c>
      <c r="C20" s="25">
        <f ca="1">'EF ele_warmte'!B22</f>
        <v>0.16492855817405827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5701.9369392177441</v>
      </c>
      <c r="C22" s="23">
        <f ca="1">C18*C20</f>
        <v>0</v>
      </c>
      <c r="D22" s="23">
        <f>D18*D20</f>
        <v>6032.7351327666729</v>
      </c>
      <c r="E22" s="23">
        <f>E18*E20</f>
        <v>214.52751702615046</v>
      </c>
      <c r="F22" s="23">
        <f>F18*F20</f>
        <v>1460.0712915106815</v>
      </c>
      <c r="G22" s="23"/>
      <c r="H22" s="23"/>
      <c r="I22" s="23"/>
      <c r="J22" s="23">
        <f>J18*J20</f>
        <v>26.69299210909568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2125.0127469999998</v>
      </c>
      <c r="C30" s="39">
        <f>IF(ISERROR(B30*3.6/1000000/'E Balans VL '!Z18*100),0,B30*3.6/1000000/'E Balans VL '!Z18*100)</f>
        <v>0.11758001629114705</v>
      </c>
      <c r="D30" s="234" t="s">
        <v>667</v>
      </c>
    </row>
    <row r="31" spans="1:18">
      <c r="A31" s="6" t="s">
        <v>32</v>
      </c>
      <c r="B31" s="37">
        <f>IF( ISERROR(IND_ander_ele_kWh/1000),0,IND_ander_ele_kWh/1000)</f>
        <v>3233.0805410000003</v>
      </c>
      <c r="C31" s="39">
        <f>IF(ISERROR(B31*3.6/1000000/'E Balans VL '!Z19*100),0,B31*3.6/1000000/'E Balans VL '!Z19*100)</f>
        <v>0.14103707520266015</v>
      </c>
      <c r="D31" s="234" t="s">
        <v>667</v>
      </c>
    </row>
    <row r="32" spans="1:18">
      <c r="A32" s="168" t="s">
        <v>40</v>
      </c>
      <c r="B32" s="37">
        <f>IF( ISERROR(IND_voed_ele_kWh/1000),0,IND_voed_ele_kWh/1000)</f>
        <v>2254.6381929999998</v>
      </c>
      <c r="C32" s="39">
        <f>IF(ISERROR(B32*3.6/1000000/'E Balans VL '!Z20*100),0,B32*3.6/1000000/'E Balans VL '!Z20*100)</f>
        <v>7.0771493387522949E-2</v>
      </c>
      <c r="D32" s="234" t="s">
        <v>667</v>
      </c>
    </row>
    <row r="33" spans="1:5">
      <c r="A33" s="168" t="s">
        <v>39</v>
      </c>
      <c r="B33" s="37">
        <f>IF( ISERROR(IND_textiel_ele_kWh/1000),0,IND_textiel_ele_kWh/1000)</f>
        <v>199.41634200000001</v>
      </c>
      <c r="C33" s="39">
        <f>IF(ISERROR(B33*3.6/1000000/'E Balans VL '!Z21*100),0,B33*3.6/1000000/'E Balans VL '!Z21*100)</f>
        <v>3.0970246062246583E-2</v>
      </c>
      <c r="D33" s="234" t="s">
        <v>667</v>
      </c>
    </row>
    <row r="34" spans="1:5">
      <c r="A34" s="168" t="s">
        <v>36</v>
      </c>
      <c r="B34" s="37">
        <f>IF( ISERROR(IND_min_ele_kWh/1000),0,IND_min_ele_kWh/1000)</f>
        <v>261.535619</v>
      </c>
      <c r="C34" s="39">
        <f>IF(ISERROR(B34*3.6/1000000/'E Balans VL '!Z22*100),0,B34*3.6/1000000/'E Balans VL '!Z22*100)</f>
        <v>0.11730953249543159</v>
      </c>
      <c r="D34" s="234" t="s">
        <v>667</v>
      </c>
    </row>
    <row r="35" spans="1:5">
      <c r="A35" s="168" t="s">
        <v>38</v>
      </c>
      <c r="B35" s="37">
        <f>IF( ISERROR(IND_papier_ele_kWh/1000),0,IND_papier_ele_kWh/1000)</f>
        <v>1382.9791910000001</v>
      </c>
      <c r="C35" s="39">
        <f>IF(ISERROR(B35*3.6/1000000/'E Balans VL '!Z22*100),0,B35*3.6/1000000/'E Balans VL '!Z22*100)</f>
        <v>0.62032331568236687</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19036.941030000002</v>
      </c>
      <c r="C37" s="39">
        <f>IF(ISERROR(B37*3.6/1000000/'E Balans VL '!Z15*100),0,B37*3.6/1000000/'E Balans VL '!Z15*100)</f>
        <v>0.15493058305450919</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3755.9770960000001</v>
      </c>
      <c r="C5" s="17">
        <f>'Eigen informatie GS &amp; warmtenet'!B62</f>
        <v>0</v>
      </c>
      <c r="D5" s="30">
        <f>IF(ISERROR(SUM(LB_lb_gas_kWh,LB_rest_gas_kWh)/1000),0,SUM(LB_lb_gas_kWh,LB_rest_gas_kWh)/1000)*0.902</f>
        <v>436.67494743400005</v>
      </c>
      <c r="E5" s="17">
        <f>B17*'E Balans VL '!I25/3.6*1000000/100</f>
        <v>152.59201534398241</v>
      </c>
      <c r="F5" s="17">
        <f>B17*('E Balans VL '!L25/3.6*1000000+'E Balans VL '!N25/3.6*1000000)/100</f>
        <v>13286.205240495328</v>
      </c>
      <c r="G5" s="18"/>
      <c r="H5" s="17"/>
      <c r="I5" s="17"/>
      <c r="J5" s="17">
        <f>('E Balans VL '!D25+'E Balans VL '!E25)/3.6*1000000*landbouw!B17/100</f>
        <v>1067.150949938879</v>
      </c>
      <c r="K5" s="17"/>
      <c r="L5" s="17">
        <f>L6*(-1)</f>
        <v>0</v>
      </c>
      <c r="M5" s="17"/>
      <c r="N5" s="17">
        <f>N6*(-1)</f>
        <v>41.571428571428569</v>
      </c>
      <c r="O5" s="17"/>
      <c r="P5" s="17"/>
      <c r="R5" s="32"/>
    </row>
    <row r="6" spans="1:18">
      <c r="A6" s="16" t="s">
        <v>464</v>
      </c>
      <c r="B6" s="17" t="s">
        <v>204</v>
      </c>
      <c r="C6" s="17">
        <f>'lokale energieproductie'!O40+'lokale energieproductie'!O33</f>
        <v>20.785714285714281</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-41.571428571428569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3755.9770960000001</v>
      </c>
      <c r="C8" s="21">
        <f>C5+C6</f>
        <v>20.785714285714281</v>
      </c>
      <c r="D8" s="21">
        <f>MAX((D5+D6),0)</f>
        <v>436.67494743400005</v>
      </c>
      <c r="E8" s="21">
        <f>MAX((E5+E6),0)</f>
        <v>152.59201534398241</v>
      </c>
      <c r="F8" s="21">
        <f>MAX((F5+F6),0)</f>
        <v>13286.205240495328</v>
      </c>
      <c r="G8" s="21"/>
      <c r="H8" s="21"/>
      <c r="I8" s="21"/>
      <c r="J8" s="21">
        <f>MAX((J5+J6),0)</f>
        <v>1067.150949938879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0.20011287468779951</v>
      </c>
      <c r="C10" s="31">
        <f ca="1">'EF ele_warmte'!B22</f>
        <v>0.16492855817405827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751.61937394209315</v>
      </c>
      <c r="C12" s="23">
        <f ca="1">C8*C10</f>
        <v>3.4281578877607819</v>
      </c>
      <c r="D12" s="23">
        <f>D8*D10</f>
        <v>88.208339381668011</v>
      </c>
      <c r="E12" s="23">
        <f>E8*E10</f>
        <v>34.63838748308401</v>
      </c>
      <c r="F12" s="23">
        <f>F8*F10</f>
        <v>3547.416799212253</v>
      </c>
      <c r="G12" s="23"/>
      <c r="H12" s="23"/>
      <c r="I12" s="23"/>
      <c r="J12" s="23">
        <f>J8*J10</f>
        <v>377.77143627836313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0.55835292071465614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790.07024465097481</v>
      </c>
      <c r="C26" s="244">
        <f>B26*'GWP N2O_CH4'!B5</f>
        <v>16591.47513767047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392.92862242727261</v>
      </c>
      <c r="C27" s="244">
        <f>B27*'GWP N2O_CH4'!B5</f>
        <v>8251.5010709727248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12.130220489497212</v>
      </c>
      <c r="C28" s="244">
        <f>B28*'GWP N2O_CH4'!B4</f>
        <v>3760.3683517441359</v>
      </c>
      <c r="D28" s="50"/>
    </row>
    <row r="29" spans="1:4">
      <c r="A29" s="41" t="s">
        <v>265</v>
      </c>
      <c r="B29" s="244">
        <f>B34*'ha_N2O bodem landbouw'!B4</f>
        <v>31.36501656248965</v>
      </c>
      <c r="C29" s="244">
        <f>B29*'GWP N2O_CH4'!B4</f>
        <v>9723.1551343717911</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6.8777834177282723E-3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1.5895160839852446E-3</v>
      </c>
      <c r="C5" s="429" t="s">
        <v>204</v>
      </c>
      <c r="D5" s="414">
        <f>SUM(D6:D11)</f>
        <v>2.3808591419083752E-3</v>
      </c>
      <c r="E5" s="414">
        <f>SUM(E6:E11)</f>
        <v>2.3641402736199663E-3</v>
      </c>
      <c r="F5" s="427" t="s">
        <v>204</v>
      </c>
      <c r="G5" s="414">
        <f>SUM(G6:G11)</f>
        <v>1.1841377611067347</v>
      </c>
      <c r="H5" s="414">
        <f>SUM(H6:H11)</f>
        <v>0.23606884083834173</v>
      </c>
      <c r="I5" s="429" t="s">
        <v>204</v>
      </c>
      <c r="J5" s="429" t="s">
        <v>204</v>
      </c>
      <c r="K5" s="429" t="s">
        <v>204</v>
      </c>
      <c r="L5" s="429" t="s">
        <v>204</v>
      </c>
      <c r="M5" s="414">
        <f>SUM(M6:M11)</f>
        <v>8.3885959843370106E-2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2.4874749759796414E-4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4.2201328256164558E-4</v>
      </c>
      <c r="E6" s="843">
        <f>vkm_GW_PW*SUMIFS(TableVerdeelsleutelVkm[LPG],TableVerdeelsleutelVkm[Voertuigtype],"Lichte voertuigen")*SUMIFS(TableECFTransport[EnergieConsumptieFactor (PJ per km)],TableECFTransport[Index],CONCATENATE($A6,"_LPG_LPG"))</f>
        <v>3.653830583859882E-4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0.11671866879286448</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4.0604965097635878E-2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9.4163602091281579E-3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1.7682437510608302E-6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6.7488700160987208E-2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1.0755999857181723E-6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3.890218397445615E-3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1.7258473379635347E-4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3.7329090798160383E-4</v>
      </c>
      <c r="E8" s="417">
        <f>vkm_NGW_PW*SUMIFS(TableVerdeelsleutelVkm[LPG],TableVerdeelsleutelVkm[Voertuigtype],"Lichte voertuigen")*SUMIFS(TableECFTransport[EnergieConsumptieFactor (PJ per km)],TableECFTransport[Index],CONCATENATE($A8,"_LPG_LPG"))</f>
        <v>3.0868838134076349E-4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9.1492901583488426E-2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3.5292166800977139E-2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7.6105404982541088E-3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5.9794429110635025E-7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2.9339171787907119E-2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4.3902153698147908E-7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1.6911817520868363E-3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1.1549612135351513E-3</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1.5855549513651257E-3</v>
      </c>
      <c r="E10" s="417">
        <f>vkm_SW_PW*SUMIFS(TableVerdeelsleutelVkm[LPG],TableVerdeelsleutelVkm[Voertuigtype],"Lichte voertuigen")*SUMIFS(TableECFTransport[EnergieConsumptieFactor (PJ per km)],TableECFTransport[Index],CONCATENATE($A10,"_LPG_LPG"))</f>
        <v>1.6900688338932145E-3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0.48609826144217438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0.16016339716635627</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3.8624112028747895E-2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1.0856451013608548E-5</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0.39300005733931309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6.7971518497236E-6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2.2653546957707497E-2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441.53224555145687</v>
      </c>
      <c r="C14" s="21"/>
      <c r="D14" s="21">
        <f t="shared" ref="D14:M14" si="0">((D5)*10^9/3600)+D12</f>
        <v>661.34976164121531</v>
      </c>
      <c r="E14" s="21">
        <f t="shared" si="0"/>
        <v>656.70563156110165</v>
      </c>
      <c r="F14" s="21"/>
      <c r="G14" s="21">
        <f t="shared" si="0"/>
        <v>328927.15586298186</v>
      </c>
      <c r="H14" s="21">
        <f t="shared" si="0"/>
        <v>65574.678010650488</v>
      </c>
      <c r="I14" s="21"/>
      <c r="J14" s="21"/>
      <c r="K14" s="21"/>
      <c r="L14" s="21"/>
      <c r="M14" s="21">
        <f t="shared" si="0"/>
        <v>23301.655512047251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0.20011287468779951</v>
      </c>
      <c r="C16" s="56">
        <f ca="1">'EF ele_warmte'!B22</f>
        <v>0.16492855817405827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88.356286924661404</v>
      </c>
      <c r="C18" s="23"/>
      <c r="D18" s="23">
        <f t="shared" ref="D18:M18" si="1">D14*D16</f>
        <v>133.59265185152549</v>
      </c>
      <c r="E18" s="23">
        <f t="shared" si="1"/>
        <v>149.07217836437007</v>
      </c>
      <c r="F18" s="23"/>
      <c r="G18" s="23">
        <f t="shared" si="1"/>
        <v>87823.550615416156</v>
      </c>
      <c r="H18" s="23">
        <f t="shared" si="1"/>
        <v>16328.094824651971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7.5351074943823829E-5</v>
      </c>
      <c r="C50" s="313">
        <f t="shared" ref="C50:P50" si="2">SUM(C51:C52)</f>
        <v>0</v>
      </c>
      <c r="D50" s="313">
        <f t="shared" si="2"/>
        <v>0</v>
      </c>
      <c r="E50" s="313">
        <f t="shared" si="2"/>
        <v>0</v>
      </c>
      <c r="F50" s="313">
        <f t="shared" si="2"/>
        <v>0</v>
      </c>
      <c r="G50" s="313">
        <f t="shared" si="2"/>
        <v>5.4592989483421804E-3</v>
      </c>
      <c r="H50" s="313">
        <f t="shared" si="2"/>
        <v>0</v>
      </c>
      <c r="I50" s="313">
        <f t="shared" si="2"/>
        <v>0</v>
      </c>
      <c r="J50" s="313">
        <f t="shared" si="2"/>
        <v>0</v>
      </c>
      <c r="K50" s="313">
        <f t="shared" si="2"/>
        <v>0</v>
      </c>
      <c r="L50" s="313">
        <f t="shared" si="2"/>
        <v>0</v>
      </c>
      <c r="M50" s="313">
        <f t="shared" si="2"/>
        <v>3.0879420649265185E-4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7.5351074943823829E-5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5.4592989483421804E-3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3.0879420649265185E-4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20.930854151062174</v>
      </c>
      <c r="C54" s="21">
        <f t="shared" ref="C54:P54" si="3">(C50)*10^9/3600</f>
        <v>0</v>
      </c>
      <c r="D54" s="21">
        <f t="shared" si="3"/>
        <v>0</v>
      </c>
      <c r="E54" s="21">
        <f t="shared" si="3"/>
        <v>0</v>
      </c>
      <c r="F54" s="21">
        <f t="shared" si="3"/>
        <v>0</v>
      </c>
      <c r="G54" s="21">
        <f t="shared" si="3"/>
        <v>1516.4719300950503</v>
      </c>
      <c r="H54" s="21">
        <f t="shared" si="3"/>
        <v>0</v>
      </c>
      <c r="I54" s="21">
        <f t="shared" si="3"/>
        <v>0</v>
      </c>
      <c r="J54" s="21">
        <f t="shared" si="3"/>
        <v>0</v>
      </c>
      <c r="K54" s="21">
        <f t="shared" si="3"/>
        <v>0</v>
      </c>
      <c r="L54" s="21">
        <f t="shared" si="3"/>
        <v>0</v>
      </c>
      <c r="M54" s="21">
        <f t="shared" si="3"/>
        <v>85.776168470181062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0.20011287468779951</v>
      </c>
      <c r="C56" s="56">
        <f ca="1">'EF ele_warmte'!B22</f>
        <v>0.16492855817405827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4.188533393840113</v>
      </c>
      <c r="C58" s="23">
        <f t="shared" ref="C58:P58" ca="1" si="4">C54*C56</f>
        <v>0</v>
      </c>
      <c r="D58" s="23">
        <f t="shared" si="4"/>
        <v>0</v>
      </c>
      <c r="E58" s="23">
        <f t="shared" si="4"/>
        <v>0</v>
      </c>
      <c r="F58" s="23">
        <f t="shared" si="4"/>
        <v>0</v>
      </c>
      <c r="G58" s="23">
        <f t="shared" si="4"/>
        <v>404.89800533537846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10240.765934113479</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47.55</v>
      </c>
      <c r="C8" s="539">
        <f>B49</f>
        <v>38.82352941176471</v>
      </c>
      <c r="D8" s="540"/>
      <c r="E8" s="540">
        <f>E49</f>
        <v>0</v>
      </c>
      <c r="F8" s="541"/>
      <c r="G8" s="542"/>
      <c r="H8" s="540">
        <f>I49</f>
        <v>0</v>
      </c>
      <c r="I8" s="540">
        <f>G49+F49</f>
        <v>0</v>
      </c>
      <c r="J8" s="540">
        <f>H49+D49+C49</f>
        <v>17.117647058823529</v>
      </c>
      <c r="K8" s="540"/>
      <c r="L8" s="540"/>
      <c r="M8" s="540"/>
      <c r="N8" s="543"/>
      <c r="O8" s="544">
        <f>C8*$C$12+D8*$D$12+E8*$E$12+F8*$F$12+G8*$G$12+H8*$H$12+I8*$I$12+J8*$J$12</f>
        <v>7.8423529411764719</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10288.315934113478</v>
      </c>
      <c r="C10" s="554">
        <f t="shared" ref="C10:L10" si="0">SUM(C8:C9)</f>
        <v>38.82352941176471</v>
      </c>
      <c r="D10" s="554">
        <f t="shared" si="0"/>
        <v>0</v>
      </c>
      <c r="E10" s="554">
        <f t="shared" si="0"/>
        <v>0</v>
      </c>
      <c r="F10" s="554">
        <f t="shared" si="0"/>
        <v>0</v>
      </c>
      <c r="G10" s="554">
        <f t="shared" si="0"/>
        <v>0</v>
      </c>
      <c r="H10" s="554">
        <f t="shared" si="0"/>
        <v>0</v>
      </c>
      <c r="I10" s="554">
        <f t="shared" si="0"/>
        <v>0</v>
      </c>
      <c r="J10" s="554">
        <f t="shared" si="0"/>
        <v>17.117647058823529</v>
      </c>
      <c r="K10" s="554">
        <f t="shared" si="0"/>
        <v>0</v>
      </c>
      <c r="L10" s="554">
        <f t="shared" si="0"/>
        <v>0</v>
      </c>
      <c r="M10" s="923"/>
      <c r="N10" s="923"/>
      <c r="O10" s="555">
        <f>SUM(O4:O9)</f>
        <v>7.8423529411764719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67.928571428571431</v>
      </c>
      <c r="C17" s="570">
        <f>B50</f>
        <v>55.462184873949582</v>
      </c>
      <c r="D17" s="571"/>
      <c r="E17" s="571">
        <f>E50</f>
        <v>0</v>
      </c>
      <c r="F17" s="572"/>
      <c r="G17" s="573"/>
      <c r="H17" s="570">
        <f>I50</f>
        <v>0</v>
      </c>
      <c r="I17" s="571">
        <f>G50+F50</f>
        <v>0</v>
      </c>
      <c r="J17" s="571">
        <f>H50+D50+C50</f>
        <v>24.45378151260504</v>
      </c>
      <c r="K17" s="571"/>
      <c r="L17" s="571"/>
      <c r="M17" s="571"/>
      <c r="N17" s="924"/>
      <c r="O17" s="574">
        <f>C17*$C$22+E17*$E$22+H17*$H$22+I17*$I$22+J17*$J$22+D17*$D$22+F17*$F$22+G17*$G$22+K17*$K$22+L17*$L$22</f>
        <v>11.203361344537816</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67.928571428571431</v>
      </c>
      <c r="C20" s="553">
        <f>SUM(C17:C19)</f>
        <v>55.462184873949582</v>
      </c>
      <c r="D20" s="553">
        <f t="shared" ref="D20:L20" si="1">SUM(D17:D19)</f>
        <v>0</v>
      </c>
      <c r="E20" s="553">
        <f t="shared" si="1"/>
        <v>0</v>
      </c>
      <c r="F20" s="553">
        <f t="shared" si="1"/>
        <v>0</v>
      </c>
      <c r="G20" s="553">
        <f t="shared" si="1"/>
        <v>0</v>
      </c>
      <c r="H20" s="553">
        <f t="shared" si="1"/>
        <v>0</v>
      </c>
      <c r="I20" s="553">
        <f t="shared" si="1"/>
        <v>0</v>
      </c>
      <c r="J20" s="553">
        <f t="shared" si="1"/>
        <v>24.45378151260504</v>
      </c>
      <c r="K20" s="553">
        <f t="shared" si="1"/>
        <v>0</v>
      </c>
      <c r="L20" s="553">
        <f t="shared" si="1"/>
        <v>0</v>
      </c>
      <c r="M20" s="553"/>
      <c r="N20" s="553"/>
      <c r="O20" s="579">
        <f>SUM(O17:O19)</f>
        <v>11.203361344537816</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31022</v>
      </c>
      <c r="C28" s="745">
        <v>8020</v>
      </c>
      <c r="D28" s="631"/>
      <c r="E28" s="630"/>
      <c r="F28" s="630"/>
      <c r="G28" s="630" t="s">
        <v>883</v>
      </c>
      <c r="H28" s="630" t="s">
        <v>884</v>
      </c>
      <c r="I28" s="630"/>
      <c r="J28" s="744"/>
      <c r="K28" s="744"/>
      <c r="L28" s="630" t="s">
        <v>885</v>
      </c>
      <c r="M28" s="630">
        <v>22</v>
      </c>
      <c r="N28" s="630">
        <v>33</v>
      </c>
      <c r="O28" s="630">
        <v>47.142857142857146</v>
      </c>
      <c r="P28" s="630">
        <v>94.285714285714292</v>
      </c>
      <c r="Q28" s="630">
        <v>0</v>
      </c>
      <c r="R28" s="630">
        <v>0</v>
      </c>
      <c r="S28" s="630">
        <v>0</v>
      </c>
      <c r="T28" s="630">
        <v>0</v>
      </c>
      <c r="U28" s="630">
        <v>0</v>
      </c>
      <c r="V28" s="630">
        <v>0</v>
      </c>
      <c r="W28" s="630">
        <v>0</v>
      </c>
      <c r="X28" s="630"/>
      <c r="Y28" s="630">
        <v>1600</v>
      </c>
      <c r="Z28" s="630" t="s">
        <v>49</v>
      </c>
      <c r="AA28" s="632" t="s">
        <v>149</v>
      </c>
    </row>
    <row r="29" spans="1:27" s="584" customFormat="1" ht="25.5" hidden="1">
      <c r="A29" s="583"/>
      <c r="B29" s="745">
        <v>31022</v>
      </c>
      <c r="C29" s="745">
        <v>8020</v>
      </c>
      <c r="D29" s="631"/>
      <c r="E29" s="630"/>
      <c r="F29" s="630"/>
      <c r="G29" s="630" t="s">
        <v>883</v>
      </c>
      <c r="H29" s="630" t="s">
        <v>884</v>
      </c>
      <c r="I29" s="630"/>
      <c r="J29" s="744"/>
      <c r="K29" s="744"/>
      <c r="L29" s="630" t="s">
        <v>885</v>
      </c>
      <c r="M29" s="630">
        <v>19.399999999999999</v>
      </c>
      <c r="N29" s="630">
        <v>14.549999999999997</v>
      </c>
      <c r="O29" s="630">
        <v>20.785714285714281</v>
      </c>
      <c r="P29" s="630">
        <v>0</v>
      </c>
      <c r="Q29" s="630">
        <v>41.571428571428569</v>
      </c>
      <c r="R29" s="630">
        <v>0</v>
      </c>
      <c r="S29" s="630">
        <v>0</v>
      </c>
      <c r="T29" s="630">
        <v>0</v>
      </c>
      <c r="U29" s="630">
        <v>0</v>
      </c>
      <c r="V29" s="630">
        <v>0</v>
      </c>
      <c r="W29" s="630">
        <v>0</v>
      </c>
      <c r="X29" s="630"/>
      <c r="Y29" s="630">
        <v>10</v>
      </c>
      <c r="Z29" s="630" t="s">
        <v>105</v>
      </c>
      <c r="AA29" s="632" t="s">
        <v>105</v>
      </c>
    </row>
    <row r="30" spans="1:27" s="564" customFormat="1" hidden="1">
      <c r="A30" s="586" t="s">
        <v>268</v>
      </c>
      <c r="B30" s="587"/>
      <c r="C30" s="587"/>
      <c r="D30" s="587"/>
      <c r="E30" s="587"/>
      <c r="F30" s="587"/>
      <c r="G30" s="587"/>
      <c r="H30" s="587"/>
      <c r="I30" s="587"/>
      <c r="J30" s="587"/>
      <c r="K30" s="587"/>
      <c r="L30" s="588"/>
      <c r="M30" s="588">
        <f>SUM(M28:M29)</f>
        <v>41.4</v>
      </c>
      <c r="N30" s="588">
        <f>SUM(N28:N29)</f>
        <v>47.55</v>
      </c>
      <c r="O30" s="588">
        <f>SUM(O28:O29)</f>
        <v>67.928571428571431</v>
      </c>
      <c r="P30" s="588">
        <f>SUM(P28:P29)</f>
        <v>94.285714285714292</v>
      </c>
      <c r="Q30" s="588">
        <f>SUM(Q28:Q29)</f>
        <v>41.571428571428569</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22</v>
      </c>
      <c r="N32" s="588">
        <f ca="1">SUMIF($AA$28:AE29,"tertiair",N28:N29)</f>
        <v>33</v>
      </c>
      <c r="O32" s="588">
        <f ca="1">SUMIF($AA$28:AF29,"tertiair",O28:O29)</f>
        <v>47.142857142857146</v>
      </c>
      <c r="P32" s="588">
        <f ca="1">SUMIF($AA$28:AG29,"tertiair",P28:P29)</f>
        <v>94.285714285714292</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19.399999999999999</v>
      </c>
      <c r="N33" s="593">
        <f>SUMIF($AA$28:$AA$29,"landbouw",N28:N29)</f>
        <v>14.549999999999997</v>
      </c>
      <c r="O33" s="593">
        <f>SUMIF($AA$28:$AA$29,"landbouw",O28:O29)</f>
        <v>20.785714285714281</v>
      </c>
      <c r="P33" s="593">
        <f>SUMIF($AA$28:$AA$29,"landbouw",P28:P29)</f>
        <v>0</v>
      </c>
      <c r="Q33" s="593">
        <f>SUMIF($AA$28:$AA$29,"landbouw",Q28:Q29)</f>
        <v>41.571428571428569</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38.82352941176471</v>
      </c>
      <c r="C49" s="622">
        <f t="shared" si="2"/>
        <v>17.117647058823529</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55.462184873949582</v>
      </c>
      <c r="C50" s="625">
        <f t="shared" si="3"/>
        <v>24.45378151260504</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31119.302986000002</v>
      </c>
      <c r="D10" s="641">
        <f ca="1">tertiair!C16</f>
        <v>47.142857142857146</v>
      </c>
      <c r="E10" s="641">
        <f ca="1">tertiair!D16</f>
        <v>27252.526954582292</v>
      </c>
      <c r="F10" s="641">
        <f>tertiair!E16</f>
        <v>71.530677519481529</v>
      </c>
      <c r="G10" s="641">
        <f ca="1">tertiair!F16</f>
        <v>4999.1587856724782</v>
      </c>
      <c r="H10" s="641">
        <f>tertiair!G16</f>
        <v>0</v>
      </c>
      <c r="I10" s="641">
        <f>tertiair!H16</f>
        <v>0</v>
      </c>
      <c r="J10" s="641">
        <f>tertiair!I16</f>
        <v>0</v>
      </c>
      <c r="K10" s="641">
        <f>tertiair!J16</f>
        <v>3.090395504565523E-2</v>
      </c>
      <c r="L10" s="641">
        <f>tertiair!K16</f>
        <v>0</v>
      </c>
      <c r="M10" s="641">
        <f ca="1">tertiair!L16</f>
        <v>0</v>
      </c>
      <c r="N10" s="641">
        <f>tertiair!M16</f>
        <v>0</v>
      </c>
      <c r="O10" s="641">
        <f ca="1">tertiair!N16</f>
        <v>1166.5900668986505</v>
      </c>
      <c r="P10" s="641">
        <f>tertiair!O16</f>
        <v>14.691782297523464</v>
      </c>
      <c r="Q10" s="642">
        <f>tertiair!P16</f>
        <v>0</v>
      </c>
      <c r="R10" s="644">
        <f ca="1">SUM(C10:Q10)</f>
        <v>64670.975014068339</v>
      </c>
      <c r="S10" s="67"/>
    </row>
    <row r="11" spans="1:19" s="440" customFormat="1">
      <c r="A11" s="761" t="s">
        <v>213</v>
      </c>
      <c r="B11" s="766"/>
      <c r="C11" s="641">
        <f>huishoudens!B8</f>
        <v>43524.686411684313</v>
      </c>
      <c r="D11" s="641">
        <f>huishoudens!C8</f>
        <v>0</v>
      </c>
      <c r="E11" s="641">
        <f>huishoudens!D8</f>
        <v>75155.756946599999</v>
      </c>
      <c r="F11" s="641">
        <f>huishoudens!E8</f>
        <v>2788.5547436465031</v>
      </c>
      <c r="G11" s="641">
        <f>huishoudens!F8</f>
        <v>53663.778826364069</v>
      </c>
      <c r="H11" s="641">
        <f>huishoudens!G8</f>
        <v>0</v>
      </c>
      <c r="I11" s="641">
        <f>huishoudens!H8</f>
        <v>0</v>
      </c>
      <c r="J11" s="641">
        <f>huishoudens!I8</f>
        <v>0</v>
      </c>
      <c r="K11" s="641">
        <f>huishoudens!J8</f>
        <v>274.60326803821272</v>
      </c>
      <c r="L11" s="641">
        <f>huishoudens!K8</f>
        <v>0</v>
      </c>
      <c r="M11" s="641">
        <f>huishoudens!L8</f>
        <v>0</v>
      </c>
      <c r="N11" s="641">
        <f>huishoudens!M8</f>
        <v>0</v>
      </c>
      <c r="O11" s="641">
        <f>huishoudens!N8</f>
        <v>13130.187865966584</v>
      </c>
      <c r="P11" s="641">
        <f>huishoudens!O8</f>
        <v>771.75974734155545</v>
      </c>
      <c r="Q11" s="642">
        <f>huishoudens!P8</f>
        <v>958.59029699933717</v>
      </c>
      <c r="R11" s="644">
        <f>SUM(C11:Q11)</f>
        <v>190267.91810664057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28493.603663000002</v>
      </c>
      <c r="D13" s="641">
        <f>industrie!C18</f>
        <v>0</v>
      </c>
      <c r="E13" s="641">
        <f>industrie!D18</f>
        <v>29865.025409736001</v>
      </c>
      <c r="F13" s="641">
        <f>industrie!E18</f>
        <v>945.05514108436319</v>
      </c>
      <c r="G13" s="641">
        <f>industrie!F18</f>
        <v>5468.4318034107919</v>
      </c>
      <c r="H13" s="641">
        <f>industrie!G18</f>
        <v>0</v>
      </c>
      <c r="I13" s="641">
        <f>industrie!H18</f>
        <v>0</v>
      </c>
      <c r="J13" s="641">
        <f>industrie!I18</f>
        <v>0</v>
      </c>
      <c r="K13" s="641">
        <f>industrie!J18</f>
        <v>75.403932511569721</v>
      </c>
      <c r="L13" s="641">
        <f>industrie!K18</f>
        <v>0</v>
      </c>
      <c r="M13" s="641">
        <f>industrie!L18</f>
        <v>0</v>
      </c>
      <c r="N13" s="641">
        <f>industrie!M18</f>
        <v>0</v>
      </c>
      <c r="O13" s="641">
        <f>industrie!N18</f>
        <v>1140.1361257085978</v>
      </c>
      <c r="P13" s="641">
        <f>industrie!O18</f>
        <v>0</v>
      </c>
      <c r="Q13" s="642">
        <f>industrie!P18</f>
        <v>0</v>
      </c>
      <c r="R13" s="644">
        <f>SUM(C13:Q13)</f>
        <v>65987.656075451319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103137.59306068432</v>
      </c>
      <c r="D16" s="677">
        <f t="shared" ref="D16:R16" ca="1" si="0">SUM(D9:D15)</f>
        <v>47.142857142857146</v>
      </c>
      <c r="E16" s="677">
        <f t="shared" ca="1" si="0"/>
        <v>132273.3093109183</v>
      </c>
      <c r="F16" s="677">
        <f t="shared" si="0"/>
        <v>3805.140562250348</v>
      </c>
      <c r="G16" s="677">
        <f t="shared" ca="1" si="0"/>
        <v>64131.369415447341</v>
      </c>
      <c r="H16" s="677">
        <f t="shared" si="0"/>
        <v>0</v>
      </c>
      <c r="I16" s="677">
        <f t="shared" si="0"/>
        <v>0</v>
      </c>
      <c r="J16" s="677">
        <f t="shared" si="0"/>
        <v>0</v>
      </c>
      <c r="K16" s="677">
        <f t="shared" si="0"/>
        <v>350.03810450482808</v>
      </c>
      <c r="L16" s="677">
        <f t="shared" si="0"/>
        <v>0</v>
      </c>
      <c r="M16" s="677">
        <f t="shared" ca="1" si="0"/>
        <v>0</v>
      </c>
      <c r="N16" s="677">
        <f t="shared" si="0"/>
        <v>0</v>
      </c>
      <c r="O16" s="677">
        <f t="shared" ca="1" si="0"/>
        <v>15436.914058573831</v>
      </c>
      <c r="P16" s="677">
        <f t="shared" si="0"/>
        <v>786.4515296390789</v>
      </c>
      <c r="Q16" s="677">
        <f t="shared" si="0"/>
        <v>958.59029699933717</v>
      </c>
      <c r="R16" s="677">
        <f t="shared" ca="1" si="0"/>
        <v>320926.54919616022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20.930854151062174</v>
      </c>
      <c r="D19" s="641">
        <f>transport!C54</f>
        <v>0</v>
      </c>
      <c r="E19" s="641">
        <f>transport!D54</f>
        <v>0</v>
      </c>
      <c r="F19" s="641">
        <f>transport!E54</f>
        <v>0</v>
      </c>
      <c r="G19" s="641">
        <f>transport!F54</f>
        <v>0</v>
      </c>
      <c r="H19" s="641">
        <f>transport!G54</f>
        <v>1516.4719300950503</v>
      </c>
      <c r="I19" s="641">
        <f>transport!H54</f>
        <v>0</v>
      </c>
      <c r="J19" s="641">
        <f>transport!I54</f>
        <v>0</v>
      </c>
      <c r="K19" s="641">
        <f>transport!J54</f>
        <v>0</v>
      </c>
      <c r="L19" s="641">
        <f>transport!K54</f>
        <v>0</v>
      </c>
      <c r="M19" s="641">
        <f>transport!L54</f>
        <v>0</v>
      </c>
      <c r="N19" s="641">
        <f>transport!M54</f>
        <v>85.776168470181062</v>
      </c>
      <c r="O19" s="641">
        <f>transport!N54</f>
        <v>0</v>
      </c>
      <c r="P19" s="641">
        <f>transport!O54</f>
        <v>0</v>
      </c>
      <c r="Q19" s="642">
        <f>transport!P54</f>
        <v>0</v>
      </c>
      <c r="R19" s="644">
        <f>SUM(C19:Q19)</f>
        <v>1623.1789527162937</v>
      </c>
      <c r="S19" s="67"/>
    </row>
    <row r="20" spans="1:19" s="440" customFormat="1">
      <c r="A20" s="761" t="s">
        <v>295</v>
      </c>
      <c r="B20" s="766"/>
      <c r="C20" s="641">
        <f>transport!B14</f>
        <v>441.53224555145687</v>
      </c>
      <c r="D20" s="641">
        <f>transport!C14</f>
        <v>0</v>
      </c>
      <c r="E20" s="641">
        <f>transport!D14</f>
        <v>661.34976164121531</v>
      </c>
      <c r="F20" s="641">
        <f>transport!E14</f>
        <v>656.70563156110165</v>
      </c>
      <c r="G20" s="641">
        <f>transport!F14</f>
        <v>0</v>
      </c>
      <c r="H20" s="641">
        <f>transport!G14</f>
        <v>328927.15586298186</v>
      </c>
      <c r="I20" s="641">
        <f>transport!H14</f>
        <v>65574.678010650488</v>
      </c>
      <c r="J20" s="641">
        <f>transport!I14</f>
        <v>0</v>
      </c>
      <c r="K20" s="641">
        <f>transport!J14</f>
        <v>0</v>
      </c>
      <c r="L20" s="641">
        <f>transport!K14</f>
        <v>0</v>
      </c>
      <c r="M20" s="641">
        <f>transport!L14</f>
        <v>0</v>
      </c>
      <c r="N20" s="641">
        <f>transport!M14</f>
        <v>23301.655512047251</v>
      </c>
      <c r="O20" s="641">
        <f>transport!N14</f>
        <v>0</v>
      </c>
      <c r="P20" s="641">
        <f>transport!O14</f>
        <v>0</v>
      </c>
      <c r="Q20" s="642">
        <f>transport!P14</f>
        <v>0</v>
      </c>
      <c r="R20" s="644">
        <f>SUM(C20:Q20)</f>
        <v>419563.07702443335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462.46309970251906</v>
      </c>
      <c r="D22" s="764">
        <f t="shared" ref="D22:R22" si="1">SUM(D18:D21)</f>
        <v>0</v>
      </c>
      <c r="E22" s="764">
        <f t="shared" si="1"/>
        <v>661.34976164121531</v>
      </c>
      <c r="F22" s="764">
        <f t="shared" si="1"/>
        <v>656.70563156110165</v>
      </c>
      <c r="G22" s="764">
        <f t="shared" si="1"/>
        <v>0</v>
      </c>
      <c r="H22" s="764">
        <f t="shared" si="1"/>
        <v>330443.62779307691</v>
      </c>
      <c r="I22" s="764">
        <f t="shared" si="1"/>
        <v>65574.678010650488</v>
      </c>
      <c r="J22" s="764">
        <f t="shared" si="1"/>
        <v>0</v>
      </c>
      <c r="K22" s="764">
        <f t="shared" si="1"/>
        <v>0</v>
      </c>
      <c r="L22" s="764">
        <f t="shared" si="1"/>
        <v>0</v>
      </c>
      <c r="M22" s="764">
        <f t="shared" si="1"/>
        <v>0</v>
      </c>
      <c r="N22" s="764">
        <f t="shared" si="1"/>
        <v>23387.431680517431</v>
      </c>
      <c r="O22" s="764">
        <f t="shared" si="1"/>
        <v>0</v>
      </c>
      <c r="P22" s="764">
        <f t="shared" si="1"/>
        <v>0</v>
      </c>
      <c r="Q22" s="764">
        <f t="shared" si="1"/>
        <v>0</v>
      </c>
      <c r="R22" s="764">
        <f t="shared" si="1"/>
        <v>421186.25597714965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3755.9770960000001</v>
      </c>
      <c r="D24" s="641">
        <f>+landbouw!C8</f>
        <v>20.785714285714281</v>
      </c>
      <c r="E24" s="641">
        <f>+landbouw!D8</f>
        <v>436.67494743400005</v>
      </c>
      <c r="F24" s="641">
        <f>+landbouw!E8</f>
        <v>152.59201534398241</v>
      </c>
      <c r="G24" s="641">
        <f>+landbouw!F8</f>
        <v>13286.205240495328</v>
      </c>
      <c r="H24" s="641">
        <f>+landbouw!G8</f>
        <v>0</v>
      </c>
      <c r="I24" s="641">
        <f>+landbouw!H8</f>
        <v>0</v>
      </c>
      <c r="J24" s="641">
        <f>+landbouw!I8</f>
        <v>0</v>
      </c>
      <c r="K24" s="641">
        <f>+landbouw!J8</f>
        <v>1067.150949938879</v>
      </c>
      <c r="L24" s="641">
        <f>+landbouw!K8</f>
        <v>0</v>
      </c>
      <c r="M24" s="641">
        <f>+landbouw!L8</f>
        <v>0</v>
      </c>
      <c r="N24" s="641">
        <f>+landbouw!M8</f>
        <v>0</v>
      </c>
      <c r="O24" s="641">
        <f>+landbouw!N8</f>
        <v>0</v>
      </c>
      <c r="P24" s="641">
        <f>+landbouw!O8</f>
        <v>0</v>
      </c>
      <c r="Q24" s="642">
        <f>+landbouw!P8</f>
        <v>0</v>
      </c>
      <c r="R24" s="644">
        <f>SUM(C24:Q24)</f>
        <v>18719.385963497902</v>
      </c>
      <c r="S24" s="67"/>
    </row>
    <row r="25" spans="1:19" s="440" customFormat="1" ht="15" thickBot="1">
      <c r="A25" s="783" t="s">
        <v>683</v>
      </c>
      <c r="B25" s="901"/>
      <c r="C25" s="902">
        <f>IF(Onbekend_ele_kWh="---",0,Onbekend_ele_kWh)/1000+IF(REST_rest_ele_kWh="---",0,REST_rest_ele_kWh)/1000</f>
        <v>1125.887287</v>
      </c>
      <c r="D25" s="902"/>
      <c r="E25" s="902">
        <f>IF(onbekend_gas_kWh="---",0,onbekend_gas_kWh)/1000+IF(REST_rest_gas_kWh="---",0,REST_rest_gas_kWh)/1000</f>
        <v>1586.0411740000002</v>
      </c>
      <c r="F25" s="902"/>
      <c r="G25" s="902"/>
      <c r="H25" s="902"/>
      <c r="I25" s="902"/>
      <c r="J25" s="902"/>
      <c r="K25" s="902"/>
      <c r="L25" s="902"/>
      <c r="M25" s="902"/>
      <c r="N25" s="902"/>
      <c r="O25" s="902"/>
      <c r="P25" s="902"/>
      <c r="Q25" s="903"/>
      <c r="R25" s="644">
        <f>SUM(C25:Q25)</f>
        <v>2711.9284610000004</v>
      </c>
      <c r="S25" s="67"/>
    </row>
    <row r="26" spans="1:19" s="440" customFormat="1" ht="15.75" thickBot="1">
      <c r="A26" s="649" t="s">
        <v>684</v>
      </c>
      <c r="B26" s="769"/>
      <c r="C26" s="764">
        <f>SUM(C24:C25)</f>
        <v>4881.8643830000001</v>
      </c>
      <c r="D26" s="764">
        <f t="shared" ref="D26:R26" si="2">SUM(D24:D25)</f>
        <v>20.785714285714281</v>
      </c>
      <c r="E26" s="764">
        <f t="shared" si="2"/>
        <v>2022.7161214340003</v>
      </c>
      <c r="F26" s="764">
        <f t="shared" si="2"/>
        <v>152.59201534398241</v>
      </c>
      <c r="G26" s="764">
        <f t="shared" si="2"/>
        <v>13286.205240495328</v>
      </c>
      <c r="H26" s="764">
        <f t="shared" si="2"/>
        <v>0</v>
      </c>
      <c r="I26" s="764">
        <f t="shared" si="2"/>
        <v>0</v>
      </c>
      <c r="J26" s="764">
        <f t="shared" si="2"/>
        <v>0</v>
      </c>
      <c r="K26" s="764">
        <f t="shared" si="2"/>
        <v>1067.150949938879</v>
      </c>
      <c r="L26" s="764">
        <f t="shared" si="2"/>
        <v>0</v>
      </c>
      <c r="M26" s="764">
        <f t="shared" si="2"/>
        <v>0</v>
      </c>
      <c r="N26" s="764">
        <f t="shared" si="2"/>
        <v>0</v>
      </c>
      <c r="O26" s="764">
        <f t="shared" si="2"/>
        <v>0</v>
      </c>
      <c r="P26" s="764">
        <f t="shared" si="2"/>
        <v>0</v>
      </c>
      <c r="Q26" s="764">
        <f t="shared" si="2"/>
        <v>0</v>
      </c>
      <c r="R26" s="764">
        <f t="shared" si="2"/>
        <v>21431.314424497901</v>
      </c>
      <c r="S26" s="67"/>
    </row>
    <row r="27" spans="1:19" s="440" customFormat="1" ht="17.25" thickTop="1" thickBot="1">
      <c r="A27" s="650" t="s">
        <v>109</v>
      </c>
      <c r="B27" s="756"/>
      <c r="C27" s="651">
        <f ca="1">C22+C16+C26</f>
        <v>108481.92054338683</v>
      </c>
      <c r="D27" s="651">
        <f t="shared" ref="D27:R27" ca="1" si="3">D22+D16+D26</f>
        <v>67.928571428571431</v>
      </c>
      <c r="E27" s="651">
        <f t="shared" ca="1" si="3"/>
        <v>134957.3751939935</v>
      </c>
      <c r="F27" s="651">
        <f t="shared" si="3"/>
        <v>4614.4382091554317</v>
      </c>
      <c r="G27" s="651">
        <f t="shared" ca="1" si="3"/>
        <v>77417.574655942677</v>
      </c>
      <c r="H27" s="651">
        <f t="shared" si="3"/>
        <v>330443.62779307691</v>
      </c>
      <c r="I27" s="651">
        <f t="shared" si="3"/>
        <v>65574.678010650488</v>
      </c>
      <c r="J27" s="651">
        <f t="shared" si="3"/>
        <v>0</v>
      </c>
      <c r="K27" s="651">
        <f t="shared" si="3"/>
        <v>1417.1890544437069</v>
      </c>
      <c r="L27" s="651">
        <f t="shared" si="3"/>
        <v>0</v>
      </c>
      <c r="M27" s="651">
        <f t="shared" ca="1" si="3"/>
        <v>0</v>
      </c>
      <c r="N27" s="651">
        <f t="shared" si="3"/>
        <v>23387.431680517431</v>
      </c>
      <c r="O27" s="651">
        <f t="shared" ca="1" si="3"/>
        <v>15436.914058573831</v>
      </c>
      <c r="P27" s="651">
        <f t="shared" si="3"/>
        <v>786.4515296390789</v>
      </c>
      <c r="Q27" s="651">
        <f t="shared" si="3"/>
        <v>958.59029699933717</v>
      </c>
      <c r="R27" s="651">
        <f t="shared" ca="1" si="3"/>
        <v>763544.11959780776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6227.3731788090827</v>
      </c>
      <c r="D40" s="641">
        <f ca="1">tertiair!C20</f>
        <v>7.7752034567770334</v>
      </c>
      <c r="E40" s="641">
        <f ca="1">tertiair!D20</f>
        <v>5505.0104448256234</v>
      </c>
      <c r="F40" s="641">
        <f>tertiair!E20</f>
        <v>16.237463796922306</v>
      </c>
      <c r="G40" s="641">
        <f ca="1">tertiair!F20</f>
        <v>1334.7753957745517</v>
      </c>
      <c r="H40" s="641">
        <f>tertiair!G20</f>
        <v>0</v>
      </c>
      <c r="I40" s="641">
        <f>tertiair!H20</f>
        <v>0</v>
      </c>
      <c r="J40" s="641">
        <f>tertiair!I20</f>
        <v>0</v>
      </c>
      <c r="K40" s="641">
        <f>tertiair!J20</f>
        <v>1.0940000086161951E-2</v>
      </c>
      <c r="L40" s="641">
        <f>tertiair!K20</f>
        <v>0</v>
      </c>
      <c r="M40" s="641">
        <f ca="1">tertiair!L20</f>
        <v>0</v>
      </c>
      <c r="N40" s="641">
        <f>tertiair!M20</f>
        <v>0</v>
      </c>
      <c r="O40" s="641">
        <f ca="1">tertiair!N20</f>
        <v>0</v>
      </c>
      <c r="P40" s="641">
        <f>tertiair!O20</f>
        <v>0</v>
      </c>
      <c r="Q40" s="724">
        <f>tertiair!P20</f>
        <v>0</v>
      </c>
      <c r="R40" s="802">
        <f t="shared" ca="1" si="4"/>
        <v>13091.182626663043</v>
      </c>
    </row>
    <row r="41" spans="1:18">
      <c r="A41" s="774" t="s">
        <v>213</v>
      </c>
      <c r="B41" s="781"/>
      <c r="C41" s="641">
        <f ca="1">huishoudens!B12</f>
        <v>8709.8501177271537</v>
      </c>
      <c r="D41" s="641">
        <f ca="1">huishoudens!C12</f>
        <v>0</v>
      </c>
      <c r="E41" s="641">
        <f>huishoudens!D12</f>
        <v>15181.462903213202</v>
      </c>
      <c r="F41" s="641">
        <f>huishoudens!E12</f>
        <v>633.00192680775626</v>
      </c>
      <c r="G41" s="641">
        <f>huishoudens!F12</f>
        <v>14328.228946639207</v>
      </c>
      <c r="H41" s="641">
        <f>huishoudens!G12</f>
        <v>0</v>
      </c>
      <c r="I41" s="641">
        <f>huishoudens!H12</f>
        <v>0</v>
      </c>
      <c r="J41" s="641">
        <f>huishoudens!I12</f>
        <v>0</v>
      </c>
      <c r="K41" s="641">
        <f>huishoudens!J12</f>
        <v>97.209556885527292</v>
      </c>
      <c r="L41" s="641">
        <f>huishoudens!K12</f>
        <v>0</v>
      </c>
      <c r="M41" s="641">
        <f>huishoudens!L12</f>
        <v>0</v>
      </c>
      <c r="N41" s="641">
        <f>huishoudens!M12</f>
        <v>0</v>
      </c>
      <c r="O41" s="641">
        <f>huishoudens!N12</f>
        <v>0</v>
      </c>
      <c r="P41" s="641">
        <f>huishoudens!O12</f>
        <v>0</v>
      </c>
      <c r="Q41" s="724">
        <f>huishoudens!P12</f>
        <v>0</v>
      </c>
      <c r="R41" s="802">
        <f t="shared" ca="1" si="4"/>
        <v>38949.753451272845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5701.9369392177441</v>
      </c>
      <c r="D43" s="641">
        <f ca="1">industrie!C22</f>
        <v>0</v>
      </c>
      <c r="E43" s="641">
        <f>industrie!D22</f>
        <v>6032.7351327666729</v>
      </c>
      <c r="F43" s="641">
        <f>industrie!E22</f>
        <v>214.52751702615046</v>
      </c>
      <c r="G43" s="641">
        <f>industrie!F22</f>
        <v>1460.0712915106815</v>
      </c>
      <c r="H43" s="641">
        <f>industrie!G22</f>
        <v>0</v>
      </c>
      <c r="I43" s="641">
        <f>industrie!H22</f>
        <v>0</v>
      </c>
      <c r="J43" s="641">
        <f>industrie!I22</f>
        <v>0</v>
      </c>
      <c r="K43" s="641">
        <f>industrie!J22</f>
        <v>26.69299210909568</v>
      </c>
      <c r="L43" s="641">
        <f>industrie!K22</f>
        <v>0</v>
      </c>
      <c r="M43" s="641">
        <f>industrie!L22</f>
        <v>0</v>
      </c>
      <c r="N43" s="641">
        <f>industrie!M22</f>
        <v>0</v>
      </c>
      <c r="O43" s="641">
        <f>industrie!N22</f>
        <v>0</v>
      </c>
      <c r="P43" s="641">
        <f>industrie!O22</f>
        <v>0</v>
      </c>
      <c r="Q43" s="724">
        <f>industrie!P22</f>
        <v>0</v>
      </c>
      <c r="R43" s="801">
        <f t="shared" ca="1" si="4"/>
        <v>13435.963872630344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20639.160235753981</v>
      </c>
      <c r="D46" s="677">
        <f t="shared" ref="D46:Q46" ca="1" si="5">SUM(D39:D45)</f>
        <v>7.7752034567770334</v>
      </c>
      <c r="E46" s="677">
        <f t="shared" ca="1" si="5"/>
        <v>26719.208480805497</v>
      </c>
      <c r="F46" s="677">
        <f t="shared" si="5"/>
        <v>863.766907630829</v>
      </c>
      <c r="G46" s="677">
        <f t="shared" ca="1" si="5"/>
        <v>17123.07563392444</v>
      </c>
      <c r="H46" s="677">
        <f t="shared" si="5"/>
        <v>0</v>
      </c>
      <c r="I46" s="677">
        <f t="shared" si="5"/>
        <v>0</v>
      </c>
      <c r="J46" s="677">
        <f t="shared" si="5"/>
        <v>0</v>
      </c>
      <c r="K46" s="677">
        <f t="shared" si="5"/>
        <v>123.91348899470914</v>
      </c>
      <c r="L46" s="677">
        <f t="shared" si="5"/>
        <v>0</v>
      </c>
      <c r="M46" s="677">
        <f t="shared" ca="1" si="5"/>
        <v>0</v>
      </c>
      <c r="N46" s="677">
        <f t="shared" si="5"/>
        <v>0</v>
      </c>
      <c r="O46" s="677">
        <f t="shared" ca="1" si="5"/>
        <v>0</v>
      </c>
      <c r="P46" s="677">
        <f t="shared" si="5"/>
        <v>0</v>
      </c>
      <c r="Q46" s="677">
        <f t="shared" si="5"/>
        <v>0</v>
      </c>
      <c r="R46" s="677">
        <f ca="1">SUM(R39:R45)</f>
        <v>65476.899950566236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4.188533393840113</v>
      </c>
      <c r="D49" s="641">
        <f ca="1">transport!C58</f>
        <v>0</v>
      </c>
      <c r="E49" s="641">
        <f>transport!D58</f>
        <v>0</v>
      </c>
      <c r="F49" s="641">
        <f>transport!E58</f>
        <v>0</v>
      </c>
      <c r="G49" s="641">
        <f>transport!F58</f>
        <v>0</v>
      </c>
      <c r="H49" s="641">
        <f>transport!G58</f>
        <v>404.89800533537846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409.08653872921855</v>
      </c>
    </row>
    <row r="50" spans="1:18">
      <c r="A50" s="777" t="s">
        <v>295</v>
      </c>
      <c r="B50" s="787"/>
      <c r="C50" s="647">
        <f ca="1">transport!B18</f>
        <v>88.356286924661404</v>
      </c>
      <c r="D50" s="647">
        <f>transport!C18</f>
        <v>0</v>
      </c>
      <c r="E50" s="647">
        <f>transport!D18</f>
        <v>133.59265185152549</v>
      </c>
      <c r="F50" s="647">
        <f>transport!E18</f>
        <v>149.07217836437007</v>
      </c>
      <c r="G50" s="647">
        <f>transport!F18</f>
        <v>0</v>
      </c>
      <c r="H50" s="647">
        <f>transport!G18</f>
        <v>87823.550615416156</v>
      </c>
      <c r="I50" s="647">
        <f>transport!H18</f>
        <v>16328.094824651971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104522.66655720868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92.544820318501522</v>
      </c>
      <c r="D52" s="677">
        <f t="shared" ref="D52:Q52" ca="1" si="6">SUM(D48:D51)</f>
        <v>0</v>
      </c>
      <c r="E52" s="677">
        <f t="shared" si="6"/>
        <v>133.59265185152549</v>
      </c>
      <c r="F52" s="677">
        <f t="shared" si="6"/>
        <v>149.07217836437007</v>
      </c>
      <c r="G52" s="677">
        <f t="shared" si="6"/>
        <v>0</v>
      </c>
      <c r="H52" s="677">
        <f t="shared" si="6"/>
        <v>88228.448620751529</v>
      </c>
      <c r="I52" s="677">
        <f t="shared" si="6"/>
        <v>16328.094824651971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104931.75309593789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751.61937394209315</v>
      </c>
      <c r="D54" s="647">
        <f ca="1">+landbouw!C12</f>
        <v>3.4281578877607819</v>
      </c>
      <c r="E54" s="647">
        <f>+landbouw!D12</f>
        <v>88.208339381668011</v>
      </c>
      <c r="F54" s="647">
        <f>+landbouw!E12</f>
        <v>34.63838748308401</v>
      </c>
      <c r="G54" s="647">
        <f>+landbouw!F12</f>
        <v>3547.416799212253</v>
      </c>
      <c r="H54" s="647">
        <f>+landbouw!G12</f>
        <v>0</v>
      </c>
      <c r="I54" s="647">
        <f>+landbouw!H12</f>
        <v>0</v>
      </c>
      <c r="J54" s="647">
        <f>+landbouw!I12</f>
        <v>0</v>
      </c>
      <c r="K54" s="647">
        <f>+landbouw!J12</f>
        <v>377.77143627836313</v>
      </c>
      <c r="L54" s="647">
        <f>+landbouw!K12</f>
        <v>0</v>
      </c>
      <c r="M54" s="647">
        <f>+landbouw!L12</f>
        <v>0</v>
      </c>
      <c r="N54" s="647">
        <f>+landbouw!M12</f>
        <v>0</v>
      </c>
      <c r="O54" s="647">
        <f>+landbouw!N12</f>
        <v>0</v>
      </c>
      <c r="P54" s="647">
        <f>+landbouw!O12</f>
        <v>0</v>
      </c>
      <c r="Q54" s="648">
        <f>+landbouw!P12</f>
        <v>0</v>
      </c>
      <c r="R54" s="676">
        <f ca="1">SUM(C54:Q54)</f>
        <v>4803.0824941852225</v>
      </c>
    </row>
    <row r="55" spans="1:18" ht="15" thickBot="1">
      <c r="A55" s="777" t="s">
        <v>683</v>
      </c>
      <c r="B55" s="787"/>
      <c r="C55" s="647">
        <f ca="1">C25*'EF ele_warmte'!B12</f>
        <v>225.30454157601756</v>
      </c>
      <c r="D55" s="647"/>
      <c r="E55" s="647">
        <f>E25*EF_CO2_aardgas</f>
        <v>320.38031714800007</v>
      </c>
      <c r="F55" s="647"/>
      <c r="G55" s="647"/>
      <c r="H55" s="647"/>
      <c r="I55" s="647"/>
      <c r="J55" s="647"/>
      <c r="K55" s="647"/>
      <c r="L55" s="647"/>
      <c r="M55" s="647"/>
      <c r="N55" s="647"/>
      <c r="O55" s="647"/>
      <c r="P55" s="647"/>
      <c r="Q55" s="648"/>
      <c r="R55" s="676">
        <f ca="1">SUM(C55:Q55)</f>
        <v>545.68485872401766</v>
      </c>
    </row>
    <row r="56" spans="1:18" ht="15.75" thickBot="1">
      <c r="A56" s="775" t="s">
        <v>684</v>
      </c>
      <c r="B56" s="788"/>
      <c r="C56" s="677">
        <f ca="1">SUM(C54:C55)</f>
        <v>976.92391551811068</v>
      </c>
      <c r="D56" s="677">
        <f t="shared" ref="D56:Q56" ca="1" si="7">SUM(D54:D55)</f>
        <v>3.4281578877607819</v>
      </c>
      <c r="E56" s="677">
        <f t="shared" si="7"/>
        <v>408.58865652966807</v>
      </c>
      <c r="F56" s="677">
        <f t="shared" si="7"/>
        <v>34.63838748308401</v>
      </c>
      <c r="G56" s="677">
        <f t="shared" si="7"/>
        <v>3547.416799212253</v>
      </c>
      <c r="H56" s="677">
        <f t="shared" si="7"/>
        <v>0</v>
      </c>
      <c r="I56" s="677">
        <f t="shared" si="7"/>
        <v>0</v>
      </c>
      <c r="J56" s="677">
        <f t="shared" si="7"/>
        <v>0</v>
      </c>
      <c r="K56" s="677">
        <f t="shared" si="7"/>
        <v>377.77143627836313</v>
      </c>
      <c r="L56" s="677">
        <f t="shared" si="7"/>
        <v>0</v>
      </c>
      <c r="M56" s="677">
        <f t="shared" si="7"/>
        <v>0</v>
      </c>
      <c r="N56" s="677">
        <f t="shared" si="7"/>
        <v>0</v>
      </c>
      <c r="O56" s="677">
        <f t="shared" si="7"/>
        <v>0</v>
      </c>
      <c r="P56" s="677">
        <f t="shared" si="7"/>
        <v>0</v>
      </c>
      <c r="Q56" s="678">
        <f t="shared" si="7"/>
        <v>0</v>
      </c>
      <c r="R56" s="679">
        <f ca="1">SUM(R54:R55)</f>
        <v>5348.7673529092399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21708.628971590591</v>
      </c>
      <c r="D61" s="685">
        <f t="shared" ref="D61:Q61" ca="1" si="8">D46+D52+D56</f>
        <v>11.203361344537814</v>
      </c>
      <c r="E61" s="685">
        <f t="shared" ca="1" si="8"/>
        <v>27261.389789186691</v>
      </c>
      <c r="F61" s="685">
        <f t="shared" si="8"/>
        <v>1047.4774734782832</v>
      </c>
      <c r="G61" s="685">
        <f t="shared" ca="1" si="8"/>
        <v>20670.492433136693</v>
      </c>
      <c r="H61" s="685">
        <f t="shared" si="8"/>
        <v>88228.448620751529</v>
      </c>
      <c r="I61" s="685">
        <f t="shared" si="8"/>
        <v>16328.094824651971</v>
      </c>
      <c r="J61" s="685">
        <f t="shared" si="8"/>
        <v>0</v>
      </c>
      <c r="K61" s="685">
        <f t="shared" si="8"/>
        <v>501.68492527307228</v>
      </c>
      <c r="L61" s="685">
        <f t="shared" si="8"/>
        <v>0</v>
      </c>
      <c r="M61" s="685">
        <f t="shared" ca="1" si="8"/>
        <v>0</v>
      </c>
      <c r="N61" s="685">
        <f t="shared" si="8"/>
        <v>0</v>
      </c>
      <c r="O61" s="685">
        <f t="shared" ca="1" si="8"/>
        <v>0</v>
      </c>
      <c r="P61" s="685">
        <f t="shared" si="8"/>
        <v>0</v>
      </c>
      <c r="Q61" s="685">
        <f t="shared" si="8"/>
        <v>0</v>
      </c>
      <c r="R61" s="685">
        <f ca="1">R46+R52+R56</f>
        <v>175757.42039941336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0.20011287468779951</v>
      </c>
      <c r="D63" s="731">
        <f t="shared" ca="1" si="9"/>
        <v>0.16492855817405824</v>
      </c>
      <c r="E63" s="927">
        <f t="shared" ca="1" si="9"/>
        <v>0.20200000000000001</v>
      </c>
      <c r="F63" s="731">
        <f t="shared" si="9"/>
        <v>0.22700000000000004</v>
      </c>
      <c r="G63" s="731">
        <f t="shared" ca="1" si="9"/>
        <v>0.26699999999999996</v>
      </c>
      <c r="H63" s="731">
        <f t="shared" si="9"/>
        <v>0.26699999999999996</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10240.765934113479</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14.549999999999999</v>
      </c>
      <c r="C76" s="698">
        <f>'lokale energieproductie'!B8*IFERROR(SUM(D76:H76)/SUM(D76:O76),0)</f>
        <v>33</v>
      </c>
      <c r="D76" s="910">
        <f>'lokale energieproductie'!C8</f>
        <v>38.82352941176471</v>
      </c>
      <c r="E76" s="911">
        <f>'lokale energieproductie'!D8</f>
        <v>0</v>
      </c>
      <c r="F76" s="911">
        <f>'lokale energieproductie'!E8</f>
        <v>0</v>
      </c>
      <c r="G76" s="911">
        <f>'lokale energieproductie'!F8</f>
        <v>0</v>
      </c>
      <c r="H76" s="911">
        <f>'lokale energieproductie'!G8</f>
        <v>0</v>
      </c>
      <c r="I76" s="911">
        <f>'lokale energieproductie'!I8</f>
        <v>0</v>
      </c>
      <c r="J76" s="911">
        <f>'lokale energieproductie'!J8</f>
        <v>17.117647058823529</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7.8423529411764719</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10255.315934113478</v>
      </c>
      <c r="C78" s="703">
        <f>SUM(C72:C77)</f>
        <v>33</v>
      </c>
      <c r="D78" s="704">
        <f t="shared" ref="D78:H78" si="10">SUM(D76:D77)</f>
        <v>38.82352941176471</v>
      </c>
      <c r="E78" s="704">
        <f t="shared" si="10"/>
        <v>0</v>
      </c>
      <c r="F78" s="704">
        <f t="shared" si="10"/>
        <v>0</v>
      </c>
      <c r="G78" s="704">
        <f t="shared" si="10"/>
        <v>0</v>
      </c>
      <c r="H78" s="704">
        <f t="shared" si="10"/>
        <v>0</v>
      </c>
      <c r="I78" s="704">
        <f>SUM(I76:I77)</f>
        <v>0</v>
      </c>
      <c r="J78" s="704">
        <f>SUM(J76:J77)</f>
        <v>17.117647058823529</v>
      </c>
      <c r="K78" s="704">
        <f t="shared" ref="K78:L78" si="11">SUM(K76:K77)</f>
        <v>0</v>
      </c>
      <c r="L78" s="704">
        <f t="shared" si="11"/>
        <v>0</v>
      </c>
      <c r="M78" s="704">
        <f>SUM(M76:M77)</f>
        <v>0</v>
      </c>
      <c r="N78" s="704">
        <f>SUM(N76:N77)</f>
        <v>0</v>
      </c>
      <c r="O78" s="812">
        <f>SUM(O76:O77)</f>
        <v>0</v>
      </c>
      <c r="P78" s="705">
        <v>0</v>
      </c>
      <c r="Q78" s="705">
        <f>SUM(Q76:Q77)</f>
        <v>7.8423529411764719</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20.785714285714281</v>
      </c>
      <c r="C87" s="716">
        <f>'lokale energieproductie'!B17*IFERROR(SUM(D87:H87)/SUM(D87:O87),0)</f>
        <v>47.142857142857146</v>
      </c>
      <c r="D87" s="727">
        <f>'lokale energieproductie'!C17</f>
        <v>55.462184873949582</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24.45378151260504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11.203361344537816</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20.785714285714281</v>
      </c>
      <c r="C90" s="703">
        <f>SUM(C87:C89)</f>
        <v>47.142857142857146</v>
      </c>
      <c r="D90" s="703">
        <f t="shared" ref="D90:H90" si="12">SUM(D87:D89)</f>
        <v>55.462184873949582</v>
      </c>
      <c r="E90" s="703">
        <f t="shared" si="12"/>
        <v>0</v>
      </c>
      <c r="F90" s="703">
        <f t="shared" si="12"/>
        <v>0</v>
      </c>
      <c r="G90" s="703">
        <f t="shared" si="12"/>
        <v>0</v>
      </c>
      <c r="H90" s="703">
        <f t="shared" si="12"/>
        <v>0</v>
      </c>
      <c r="I90" s="703">
        <f>SUM(I87:I89)</f>
        <v>0</v>
      </c>
      <c r="J90" s="703">
        <f>SUM(J87:J89)</f>
        <v>24.45378151260504</v>
      </c>
      <c r="K90" s="703">
        <f t="shared" ref="K90:L90" si="13">SUM(K87:K89)</f>
        <v>0</v>
      </c>
      <c r="L90" s="703">
        <f t="shared" si="13"/>
        <v>0</v>
      </c>
      <c r="M90" s="703">
        <f>SUM(M87:M89)</f>
        <v>0</v>
      </c>
      <c r="N90" s="703">
        <f>SUM(N87:N89)</f>
        <v>0</v>
      </c>
      <c r="O90" s="703">
        <f>SUM(O87:O89)</f>
        <v>0</v>
      </c>
      <c r="P90" s="703">
        <v>0</v>
      </c>
      <c r="Q90" s="703">
        <f>SUM(Q87:Q89)</f>
        <v>11.203361344537816</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43524.686411684313</v>
      </c>
      <c r="C4" s="444">
        <f>huishoudens!C8</f>
        <v>0</v>
      </c>
      <c r="D4" s="444">
        <f>huishoudens!D8</f>
        <v>75155.756946599999</v>
      </c>
      <c r="E4" s="444">
        <f>huishoudens!E8</f>
        <v>2788.5547436465031</v>
      </c>
      <c r="F4" s="444">
        <f>huishoudens!F8</f>
        <v>53663.778826364069</v>
      </c>
      <c r="G4" s="444">
        <f>huishoudens!G8</f>
        <v>0</v>
      </c>
      <c r="H4" s="444">
        <f>huishoudens!H8</f>
        <v>0</v>
      </c>
      <c r="I4" s="444">
        <f>huishoudens!I8</f>
        <v>0</v>
      </c>
      <c r="J4" s="444">
        <f>huishoudens!J8</f>
        <v>274.60326803821272</v>
      </c>
      <c r="K4" s="444">
        <f>huishoudens!K8</f>
        <v>0</v>
      </c>
      <c r="L4" s="444">
        <f>huishoudens!L8</f>
        <v>0</v>
      </c>
      <c r="M4" s="444">
        <f>huishoudens!M8</f>
        <v>0</v>
      </c>
      <c r="N4" s="444">
        <f>huishoudens!N8</f>
        <v>13130.187865966584</v>
      </c>
      <c r="O4" s="444">
        <f>huishoudens!O8</f>
        <v>771.75974734155545</v>
      </c>
      <c r="P4" s="445">
        <f>huishoudens!P8</f>
        <v>958.59029699933717</v>
      </c>
      <c r="Q4" s="446">
        <f>SUM(B4:P4)</f>
        <v>190267.91810664057</v>
      </c>
    </row>
    <row r="5" spans="1:17">
      <c r="A5" s="443" t="s">
        <v>149</v>
      </c>
      <c r="B5" s="444">
        <f ca="1">tertiair!B16</f>
        <v>29819.188986000001</v>
      </c>
      <c r="C5" s="444">
        <f ca="1">tertiair!C16</f>
        <v>47.142857142857146</v>
      </c>
      <c r="D5" s="444">
        <f ca="1">tertiair!D16</f>
        <v>27252.526954582292</v>
      </c>
      <c r="E5" s="444">
        <f>tertiair!E16</f>
        <v>71.530677519481529</v>
      </c>
      <c r="F5" s="444">
        <f ca="1">tertiair!F16</f>
        <v>4999.1587856724782</v>
      </c>
      <c r="G5" s="444">
        <f>tertiair!G16</f>
        <v>0</v>
      </c>
      <c r="H5" s="444">
        <f>tertiair!H16</f>
        <v>0</v>
      </c>
      <c r="I5" s="444">
        <f>tertiair!I16</f>
        <v>0</v>
      </c>
      <c r="J5" s="444">
        <f>tertiair!J16</f>
        <v>3.090395504565523E-2</v>
      </c>
      <c r="K5" s="444">
        <f>tertiair!K16</f>
        <v>0</v>
      </c>
      <c r="L5" s="444">
        <f ca="1">tertiair!L16</f>
        <v>0</v>
      </c>
      <c r="M5" s="444">
        <f>tertiair!M16</f>
        <v>0</v>
      </c>
      <c r="N5" s="444">
        <f ca="1">tertiair!N16</f>
        <v>1166.5900668986505</v>
      </c>
      <c r="O5" s="444">
        <f>tertiair!O16</f>
        <v>14.691782297523464</v>
      </c>
      <c r="P5" s="445">
        <f>tertiair!P16</f>
        <v>0</v>
      </c>
      <c r="Q5" s="443">
        <f t="shared" ref="Q5:Q14" ca="1" si="0">SUM(B5:P5)</f>
        <v>63370.861014068338</v>
      </c>
    </row>
    <row r="6" spans="1:17">
      <c r="A6" s="443" t="s">
        <v>187</v>
      </c>
      <c r="B6" s="444">
        <f>'openbare verlichting'!B8</f>
        <v>1300.114</v>
      </c>
      <c r="C6" s="444"/>
      <c r="D6" s="444"/>
      <c r="E6" s="444"/>
      <c r="F6" s="444"/>
      <c r="G6" s="444"/>
      <c r="H6" s="444"/>
      <c r="I6" s="444"/>
      <c r="J6" s="444"/>
      <c r="K6" s="444"/>
      <c r="L6" s="444"/>
      <c r="M6" s="444"/>
      <c r="N6" s="444"/>
      <c r="O6" s="444"/>
      <c r="P6" s="445"/>
      <c r="Q6" s="443">
        <f t="shared" si="0"/>
        <v>1300.114</v>
      </c>
    </row>
    <row r="7" spans="1:17">
      <c r="A7" s="443" t="s">
        <v>105</v>
      </c>
      <c r="B7" s="444">
        <f>landbouw!B8</f>
        <v>3755.9770960000001</v>
      </c>
      <c r="C7" s="444">
        <f>landbouw!C8</f>
        <v>20.785714285714281</v>
      </c>
      <c r="D7" s="444">
        <f>landbouw!D8</f>
        <v>436.67494743400005</v>
      </c>
      <c r="E7" s="444">
        <f>landbouw!E8</f>
        <v>152.59201534398241</v>
      </c>
      <c r="F7" s="444">
        <f>landbouw!F8</f>
        <v>13286.205240495328</v>
      </c>
      <c r="G7" s="444">
        <f>landbouw!G8</f>
        <v>0</v>
      </c>
      <c r="H7" s="444">
        <f>landbouw!H8</f>
        <v>0</v>
      </c>
      <c r="I7" s="444">
        <f>landbouw!I8</f>
        <v>0</v>
      </c>
      <c r="J7" s="444">
        <f>landbouw!J8</f>
        <v>1067.150949938879</v>
      </c>
      <c r="K7" s="444">
        <f>landbouw!K8</f>
        <v>0</v>
      </c>
      <c r="L7" s="444">
        <f>landbouw!L8</f>
        <v>0</v>
      </c>
      <c r="M7" s="444">
        <f>landbouw!M8</f>
        <v>0</v>
      </c>
      <c r="N7" s="444">
        <f>landbouw!N8</f>
        <v>0</v>
      </c>
      <c r="O7" s="444">
        <f>landbouw!O8</f>
        <v>0</v>
      </c>
      <c r="P7" s="445">
        <f>landbouw!P8</f>
        <v>0</v>
      </c>
      <c r="Q7" s="443">
        <f t="shared" si="0"/>
        <v>18719.385963497902</v>
      </c>
    </row>
    <row r="8" spans="1:17">
      <c r="A8" s="443" t="s">
        <v>587</v>
      </c>
      <c r="B8" s="444">
        <f>industrie!B18</f>
        <v>28493.603663000002</v>
      </c>
      <c r="C8" s="444">
        <f>industrie!C18</f>
        <v>0</v>
      </c>
      <c r="D8" s="444">
        <f>industrie!D18</f>
        <v>29865.025409736001</v>
      </c>
      <c r="E8" s="444">
        <f>industrie!E18</f>
        <v>945.05514108436319</v>
      </c>
      <c r="F8" s="444">
        <f>industrie!F18</f>
        <v>5468.4318034107919</v>
      </c>
      <c r="G8" s="444">
        <f>industrie!G18</f>
        <v>0</v>
      </c>
      <c r="H8" s="444">
        <f>industrie!H18</f>
        <v>0</v>
      </c>
      <c r="I8" s="444">
        <f>industrie!I18</f>
        <v>0</v>
      </c>
      <c r="J8" s="444">
        <f>industrie!J18</f>
        <v>75.403932511569721</v>
      </c>
      <c r="K8" s="444">
        <f>industrie!K18</f>
        <v>0</v>
      </c>
      <c r="L8" s="444">
        <f>industrie!L18</f>
        <v>0</v>
      </c>
      <c r="M8" s="444">
        <f>industrie!M18</f>
        <v>0</v>
      </c>
      <c r="N8" s="444">
        <f>industrie!N18</f>
        <v>1140.1361257085978</v>
      </c>
      <c r="O8" s="444">
        <f>industrie!O18</f>
        <v>0</v>
      </c>
      <c r="P8" s="445">
        <f>industrie!P18</f>
        <v>0</v>
      </c>
      <c r="Q8" s="443">
        <f t="shared" si="0"/>
        <v>65987.656075451319</v>
      </c>
    </row>
    <row r="9" spans="1:17" s="449" customFormat="1">
      <c r="A9" s="447" t="s">
        <v>536</v>
      </c>
      <c r="B9" s="448">
        <f>transport!B14</f>
        <v>441.53224555145687</v>
      </c>
      <c r="C9" s="448">
        <f>transport!C14</f>
        <v>0</v>
      </c>
      <c r="D9" s="448">
        <f>transport!D14</f>
        <v>661.34976164121531</v>
      </c>
      <c r="E9" s="448">
        <f>transport!E14</f>
        <v>656.70563156110165</v>
      </c>
      <c r="F9" s="448">
        <f>transport!F14</f>
        <v>0</v>
      </c>
      <c r="G9" s="448">
        <f>transport!G14</f>
        <v>328927.15586298186</v>
      </c>
      <c r="H9" s="448">
        <f>transport!H14</f>
        <v>65574.678010650488</v>
      </c>
      <c r="I9" s="448">
        <f>transport!I14</f>
        <v>0</v>
      </c>
      <c r="J9" s="448">
        <f>transport!J14</f>
        <v>0</v>
      </c>
      <c r="K9" s="448">
        <f>transport!K14</f>
        <v>0</v>
      </c>
      <c r="L9" s="448">
        <f>transport!L14</f>
        <v>0</v>
      </c>
      <c r="M9" s="448">
        <f>transport!M14</f>
        <v>23301.655512047251</v>
      </c>
      <c r="N9" s="448">
        <f>transport!N14</f>
        <v>0</v>
      </c>
      <c r="O9" s="448">
        <f>transport!O14</f>
        <v>0</v>
      </c>
      <c r="P9" s="448">
        <f>transport!P14</f>
        <v>0</v>
      </c>
      <c r="Q9" s="447">
        <f>SUM(B9:P9)</f>
        <v>419563.07702443335</v>
      </c>
    </row>
    <row r="10" spans="1:17">
      <c r="A10" s="443" t="s">
        <v>526</v>
      </c>
      <c r="B10" s="444">
        <f>transport!B54</f>
        <v>20.930854151062174</v>
      </c>
      <c r="C10" s="444">
        <f>transport!C54</f>
        <v>0</v>
      </c>
      <c r="D10" s="444">
        <f>transport!D54</f>
        <v>0</v>
      </c>
      <c r="E10" s="444">
        <f>transport!E54</f>
        <v>0</v>
      </c>
      <c r="F10" s="444">
        <f>transport!F54</f>
        <v>0</v>
      </c>
      <c r="G10" s="444">
        <f>transport!G54</f>
        <v>1516.4719300950503</v>
      </c>
      <c r="H10" s="444">
        <f>transport!H54</f>
        <v>0</v>
      </c>
      <c r="I10" s="444">
        <f>transport!I54</f>
        <v>0</v>
      </c>
      <c r="J10" s="444">
        <f>transport!J54</f>
        <v>0</v>
      </c>
      <c r="K10" s="444">
        <f>transport!K54</f>
        <v>0</v>
      </c>
      <c r="L10" s="444">
        <f>transport!L54</f>
        <v>0</v>
      </c>
      <c r="M10" s="444">
        <f>transport!M54</f>
        <v>85.776168470181062</v>
      </c>
      <c r="N10" s="444">
        <f>transport!N54</f>
        <v>0</v>
      </c>
      <c r="O10" s="444">
        <f>transport!O54</f>
        <v>0</v>
      </c>
      <c r="P10" s="445">
        <f>transport!P54</f>
        <v>0</v>
      </c>
      <c r="Q10" s="443">
        <f t="shared" si="0"/>
        <v>1623.1789527162937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1125.887287</v>
      </c>
      <c r="C14" s="451"/>
      <c r="D14" s="451">
        <f>'SEAP template'!E25</f>
        <v>1586.0411740000002</v>
      </c>
      <c r="E14" s="451"/>
      <c r="F14" s="451"/>
      <c r="G14" s="451"/>
      <c r="H14" s="451"/>
      <c r="I14" s="451"/>
      <c r="J14" s="451"/>
      <c r="K14" s="451"/>
      <c r="L14" s="451"/>
      <c r="M14" s="451"/>
      <c r="N14" s="451"/>
      <c r="O14" s="451"/>
      <c r="P14" s="452"/>
      <c r="Q14" s="443">
        <f t="shared" si="0"/>
        <v>2711.9284610000004</v>
      </c>
    </row>
    <row r="15" spans="1:17" s="455" customFormat="1">
      <c r="A15" s="453" t="s">
        <v>530</v>
      </c>
      <c r="B15" s="454">
        <f ca="1">SUM(B4:B14)</f>
        <v>108481.92054338685</v>
      </c>
      <c r="C15" s="454">
        <f t="shared" ref="C15:Q15" ca="1" si="1">SUM(C4:C14)</f>
        <v>67.928571428571431</v>
      </c>
      <c r="D15" s="454">
        <f t="shared" ca="1" si="1"/>
        <v>134957.37519399353</v>
      </c>
      <c r="E15" s="454">
        <f t="shared" si="1"/>
        <v>4614.4382091554326</v>
      </c>
      <c r="F15" s="454">
        <f t="shared" ca="1" si="1"/>
        <v>77417.574655942663</v>
      </c>
      <c r="G15" s="454">
        <f t="shared" si="1"/>
        <v>330443.62779307691</v>
      </c>
      <c r="H15" s="454">
        <f t="shared" si="1"/>
        <v>65574.678010650488</v>
      </c>
      <c r="I15" s="454">
        <f t="shared" si="1"/>
        <v>0</v>
      </c>
      <c r="J15" s="454">
        <f t="shared" si="1"/>
        <v>1417.1890544437072</v>
      </c>
      <c r="K15" s="454">
        <f t="shared" si="1"/>
        <v>0</v>
      </c>
      <c r="L15" s="454">
        <f t="shared" ca="1" si="1"/>
        <v>0</v>
      </c>
      <c r="M15" s="454">
        <f t="shared" si="1"/>
        <v>23387.431680517431</v>
      </c>
      <c r="N15" s="454">
        <f t="shared" ca="1" si="1"/>
        <v>15436.914058573831</v>
      </c>
      <c r="O15" s="454">
        <f t="shared" si="1"/>
        <v>786.4515296390789</v>
      </c>
      <c r="P15" s="454">
        <f t="shared" si="1"/>
        <v>958.59029699933717</v>
      </c>
      <c r="Q15" s="454">
        <f t="shared" ca="1" si="1"/>
        <v>763544.11959780764</v>
      </c>
    </row>
    <row r="17" spans="1:17">
      <c r="A17" s="456" t="s">
        <v>531</v>
      </c>
      <c r="B17" s="736">
        <f ca="1">huishoudens!B10</f>
        <v>0.20011287468779951</v>
      </c>
      <c r="C17" s="736">
        <f ca="1">huishoudens!C10</f>
        <v>0.16492855817405827</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8709.8501177271537</v>
      </c>
      <c r="C22" s="444">
        <f t="shared" ref="C22:C32" ca="1" si="3">C4*$C$17</f>
        <v>0</v>
      </c>
      <c r="D22" s="444">
        <f t="shared" ref="D22:D32" si="4">D4*$D$17</f>
        <v>15181.462903213202</v>
      </c>
      <c r="E22" s="444">
        <f t="shared" ref="E22:E32" si="5">E4*$E$17</f>
        <v>633.00192680775626</v>
      </c>
      <c r="F22" s="444">
        <f t="shared" ref="F22:F32" si="6">F4*$F$17</f>
        <v>14328.228946639207</v>
      </c>
      <c r="G22" s="444">
        <f t="shared" ref="G22:G32" si="7">G4*$G$17</f>
        <v>0</v>
      </c>
      <c r="H22" s="444">
        <f t="shared" ref="H22:H32" si="8">H4*$H$17</f>
        <v>0</v>
      </c>
      <c r="I22" s="444">
        <f t="shared" ref="I22:I32" si="9">I4*$I$17</f>
        <v>0</v>
      </c>
      <c r="J22" s="444">
        <f t="shared" ref="J22:J32" si="10">J4*$J$17</f>
        <v>97.209556885527292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38949.753451272845</v>
      </c>
    </row>
    <row r="23" spans="1:17">
      <c r="A23" s="443" t="s">
        <v>149</v>
      </c>
      <c r="B23" s="444">
        <f t="shared" ca="1" si="2"/>
        <v>5967.2036288472291</v>
      </c>
      <c r="C23" s="444">
        <f t="shared" ca="1" si="3"/>
        <v>7.7752034567770334</v>
      </c>
      <c r="D23" s="444">
        <f t="shared" ca="1" si="4"/>
        <v>5505.0104448256234</v>
      </c>
      <c r="E23" s="444">
        <f t="shared" si="5"/>
        <v>16.237463796922306</v>
      </c>
      <c r="F23" s="444">
        <f t="shared" ca="1" si="6"/>
        <v>1334.7753957745517</v>
      </c>
      <c r="G23" s="444">
        <f t="shared" si="7"/>
        <v>0</v>
      </c>
      <c r="H23" s="444">
        <f t="shared" si="8"/>
        <v>0</v>
      </c>
      <c r="I23" s="444">
        <f t="shared" si="9"/>
        <v>0</v>
      </c>
      <c r="J23" s="444">
        <f t="shared" si="10"/>
        <v>1.0940000086161951E-2</v>
      </c>
      <c r="K23" s="444">
        <f t="shared" si="11"/>
        <v>0</v>
      </c>
      <c r="L23" s="444">
        <f t="shared" ca="1" si="12"/>
        <v>0</v>
      </c>
      <c r="M23" s="444">
        <f t="shared" si="13"/>
        <v>0</v>
      </c>
      <c r="N23" s="444">
        <f t="shared" ca="1" si="14"/>
        <v>0</v>
      </c>
      <c r="O23" s="444">
        <f t="shared" si="15"/>
        <v>0</v>
      </c>
      <c r="P23" s="445">
        <f t="shared" si="16"/>
        <v>0</v>
      </c>
      <c r="Q23" s="443">
        <f t="shared" ref="Q23:Q31" ca="1" si="17">SUM(B23:P23)</f>
        <v>12831.013076701189</v>
      </c>
    </row>
    <row r="24" spans="1:17">
      <c r="A24" s="443" t="s">
        <v>187</v>
      </c>
      <c r="B24" s="444">
        <f t="shared" ca="1" si="2"/>
        <v>260.16954996185376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260.16954996185376</v>
      </c>
    </row>
    <row r="25" spans="1:17">
      <c r="A25" s="443" t="s">
        <v>105</v>
      </c>
      <c r="B25" s="444">
        <f t="shared" ca="1" si="2"/>
        <v>751.61937394209315</v>
      </c>
      <c r="C25" s="444">
        <f t="shared" ca="1" si="3"/>
        <v>3.4281578877607819</v>
      </c>
      <c r="D25" s="444">
        <f t="shared" si="4"/>
        <v>88.208339381668011</v>
      </c>
      <c r="E25" s="444">
        <f t="shared" si="5"/>
        <v>34.63838748308401</v>
      </c>
      <c r="F25" s="444">
        <f t="shared" si="6"/>
        <v>3547.416799212253</v>
      </c>
      <c r="G25" s="444">
        <f t="shared" si="7"/>
        <v>0</v>
      </c>
      <c r="H25" s="444">
        <f t="shared" si="8"/>
        <v>0</v>
      </c>
      <c r="I25" s="444">
        <f t="shared" si="9"/>
        <v>0</v>
      </c>
      <c r="J25" s="444">
        <f t="shared" si="10"/>
        <v>377.77143627836313</v>
      </c>
      <c r="K25" s="444">
        <f t="shared" si="11"/>
        <v>0</v>
      </c>
      <c r="L25" s="444">
        <f t="shared" si="12"/>
        <v>0</v>
      </c>
      <c r="M25" s="444">
        <f t="shared" si="13"/>
        <v>0</v>
      </c>
      <c r="N25" s="444">
        <f t="shared" si="14"/>
        <v>0</v>
      </c>
      <c r="O25" s="444">
        <f t="shared" si="15"/>
        <v>0</v>
      </c>
      <c r="P25" s="445">
        <f t="shared" si="16"/>
        <v>0</v>
      </c>
      <c r="Q25" s="443">
        <f t="shared" ca="1" si="17"/>
        <v>4803.0824941852225</v>
      </c>
    </row>
    <row r="26" spans="1:17">
      <c r="A26" s="443" t="s">
        <v>587</v>
      </c>
      <c r="B26" s="444">
        <f t="shared" ca="1" si="2"/>
        <v>5701.9369392177441</v>
      </c>
      <c r="C26" s="444">
        <f t="shared" ca="1" si="3"/>
        <v>0</v>
      </c>
      <c r="D26" s="444">
        <f t="shared" si="4"/>
        <v>6032.7351327666729</v>
      </c>
      <c r="E26" s="444">
        <f t="shared" si="5"/>
        <v>214.52751702615046</v>
      </c>
      <c r="F26" s="444">
        <f t="shared" si="6"/>
        <v>1460.0712915106815</v>
      </c>
      <c r="G26" s="444">
        <f t="shared" si="7"/>
        <v>0</v>
      </c>
      <c r="H26" s="444">
        <f t="shared" si="8"/>
        <v>0</v>
      </c>
      <c r="I26" s="444">
        <f t="shared" si="9"/>
        <v>0</v>
      </c>
      <c r="J26" s="444">
        <f t="shared" si="10"/>
        <v>26.69299210909568</v>
      </c>
      <c r="K26" s="444">
        <f t="shared" si="11"/>
        <v>0</v>
      </c>
      <c r="L26" s="444">
        <f t="shared" si="12"/>
        <v>0</v>
      </c>
      <c r="M26" s="444">
        <f t="shared" si="13"/>
        <v>0</v>
      </c>
      <c r="N26" s="444">
        <f t="shared" si="14"/>
        <v>0</v>
      </c>
      <c r="O26" s="444">
        <f t="shared" si="15"/>
        <v>0</v>
      </c>
      <c r="P26" s="445">
        <f t="shared" si="16"/>
        <v>0</v>
      </c>
      <c r="Q26" s="443">
        <f t="shared" ca="1" si="17"/>
        <v>13435.963872630344</v>
      </c>
    </row>
    <row r="27" spans="1:17" s="449" customFormat="1">
      <c r="A27" s="447" t="s">
        <v>536</v>
      </c>
      <c r="B27" s="730">
        <f t="shared" ca="1" si="2"/>
        <v>88.356286924661404</v>
      </c>
      <c r="C27" s="448">
        <f t="shared" ca="1" si="3"/>
        <v>0</v>
      </c>
      <c r="D27" s="448">
        <f t="shared" si="4"/>
        <v>133.59265185152549</v>
      </c>
      <c r="E27" s="448">
        <f t="shared" si="5"/>
        <v>149.07217836437007</v>
      </c>
      <c r="F27" s="448">
        <f t="shared" si="6"/>
        <v>0</v>
      </c>
      <c r="G27" s="448">
        <f t="shared" si="7"/>
        <v>87823.550615416156</v>
      </c>
      <c r="H27" s="448">
        <f t="shared" si="8"/>
        <v>16328.094824651971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104522.66655720868</v>
      </c>
    </row>
    <row r="28" spans="1:17" ht="16.5" customHeight="1">
      <c r="A28" s="443" t="s">
        <v>526</v>
      </c>
      <c r="B28" s="444">
        <f t="shared" ca="1" si="2"/>
        <v>4.188533393840113</v>
      </c>
      <c r="C28" s="444">
        <f t="shared" ca="1" si="3"/>
        <v>0</v>
      </c>
      <c r="D28" s="444">
        <f t="shared" si="4"/>
        <v>0</v>
      </c>
      <c r="E28" s="444">
        <f t="shared" si="5"/>
        <v>0</v>
      </c>
      <c r="F28" s="444">
        <f t="shared" si="6"/>
        <v>0</v>
      </c>
      <c r="G28" s="444">
        <f t="shared" si="7"/>
        <v>404.89800533537846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409.08653872921855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225.30454157601756</v>
      </c>
      <c r="C32" s="444">
        <f t="shared" ca="1" si="3"/>
        <v>0</v>
      </c>
      <c r="D32" s="444">
        <f t="shared" si="4"/>
        <v>320.38031714800007</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545.68485872401766</v>
      </c>
    </row>
    <row r="33" spans="1:17" s="455" customFormat="1">
      <c r="A33" s="453" t="s">
        <v>530</v>
      </c>
      <c r="B33" s="454">
        <f ca="1">SUM(B22:B32)</f>
        <v>21708.628971590591</v>
      </c>
      <c r="C33" s="454">
        <f t="shared" ref="C33:Q33" ca="1" si="19">SUM(C22:C32)</f>
        <v>11.203361344537814</v>
      </c>
      <c r="D33" s="454">
        <f t="shared" ca="1" si="19"/>
        <v>27261.389789186691</v>
      </c>
      <c r="E33" s="454">
        <f t="shared" si="19"/>
        <v>1047.4774734782832</v>
      </c>
      <c r="F33" s="454">
        <f t="shared" ca="1" si="19"/>
        <v>20670.492433136693</v>
      </c>
      <c r="G33" s="454">
        <f t="shared" si="19"/>
        <v>88228.448620751529</v>
      </c>
      <c r="H33" s="454">
        <f t="shared" si="19"/>
        <v>16328.094824651971</v>
      </c>
      <c r="I33" s="454">
        <f t="shared" si="19"/>
        <v>0</v>
      </c>
      <c r="J33" s="454">
        <f t="shared" si="19"/>
        <v>501.68492527307222</v>
      </c>
      <c r="K33" s="454">
        <f t="shared" si="19"/>
        <v>0</v>
      </c>
      <c r="L33" s="454">
        <f t="shared" ca="1" si="19"/>
        <v>0</v>
      </c>
      <c r="M33" s="454">
        <f t="shared" si="19"/>
        <v>0</v>
      </c>
      <c r="N33" s="454">
        <f t="shared" ca="1" si="19"/>
        <v>0</v>
      </c>
      <c r="O33" s="454">
        <f t="shared" si="19"/>
        <v>0</v>
      </c>
      <c r="P33" s="454">
        <f t="shared" si="19"/>
        <v>0</v>
      </c>
      <c r="Q33" s="454">
        <f t="shared" ca="1" si="19"/>
        <v>175757.42039941336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10240.765934113479</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14.549999999999999</v>
      </c>
      <c r="C8" s="979">
        <f>'SEAP template'!C76</f>
        <v>33</v>
      </c>
      <c r="D8" s="979">
        <f>'SEAP template'!D76</f>
        <v>38.82352941176471</v>
      </c>
      <c r="E8" s="979">
        <f>'SEAP template'!E76</f>
        <v>0</v>
      </c>
      <c r="F8" s="979">
        <f>'SEAP template'!F76</f>
        <v>0</v>
      </c>
      <c r="G8" s="979">
        <f>'SEAP template'!G76</f>
        <v>0</v>
      </c>
      <c r="H8" s="979">
        <f>'SEAP template'!H76</f>
        <v>0</v>
      </c>
      <c r="I8" s="979">
        <f>'SEAP template'!I76</f>
        <v>0</v>
      </c>
      <c r="J8" s="979">
        <f>'SEAP template'!J76</f>
        <v>17.117647058823529</v>
      </c>
      <c r="K8" s="979">
        <f>'SEAP template'!K76</f>
        <v>0</v>
      </c>
      <c r="L8" s="979">
        <f>'SEAP template'!L76</f>
        <v>0</v>
      </c>
      <c r="M8" s="979">
        <f>'SEAP template'!M76</f>
        <v>0</v>
      </c>
      <c r="N8" s="979">
        <f>'SEAP template'!N76</f>
        <v>0</v>
      </c>
      <c r="O8" s="979">
        <f>'SEAP template'!O76</f>
        <v>0</v>
      </c>
      <c r="P8" s="980">
        <f>'SEAP template'!Q76</f>
        <v>7.8423529411764719</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10255.315934113478</v>
      </c>
      <c r="C10" s="981">
        <f>SUM(C4:C9)</f>
        <v>33</v>
      </c>
      <c r="D10" s="981">
        <f t="shared" ref="D10:H10" si="0">SUM(D8:D9)</f>
        <v>38.82352941176471</v>
      </c>
      <c r="E10" s="981">
        <f t="shared" si="0"/>
        <v>0</v>
      </c>
      <c r="F10" s="981">
        <f t="shared" si="0"/>
        <v>0</v>
      </c>
      <c r="G10" s="981">
        <f t="shared" si="0"/>
        <v>0</v>
      </c>
      <c r="H10" s="981">
        <f t="shared" si="0"/>
        <v>0</v>
      </c>
      <c r="I10" s="981">
        <f>SUM(I8:I9)</f>
        <v>0</v>
      </c>
      <c r="J10" s="981">
        <f>SUM(J8:J9)</f>
        <v>17.117647058823529</v>
      </c>
      <c r="K10" s="981">
        <f t="shared" ref="K10:L10" si="1">SUM(K8:K9)</f>
        <v>0</v>
      </c>
      <c r="L10" s="981">
        <f t="shared" si="1"/>
        <v>0</v>
      </c>
      <c r="M10" s="981">
        <f>SUM(M8:M9)</f>
        <v>0</v>
      </c>
      <c r="N10" s="981">
        <f>SUM(N8:N9)</f>
        <v>0</v>
      </c>
      <c r="O10" s="981">
        <f>SUM(O8:O9)</f>
        <v>0</v>
      </c>
      <c r="P10" s="981">
        <f>SUM(P8:P9)</f>
        <v>7.8423529411764719</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0.20011287468779951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20.785714285714281</v>
      </c>
      <c r="C17" s="982">
        <f>'SEAP template'!C87</f>
        <v>47.142857142857146</v>
      </c>
      <c r="D17" s="980">
        <f>'SEAP template'!D87</f>
        <v>55.462184873949582</v>
      </c>
      <c r="E17" s="980">
        <f>'SEAP template'!E87</f>
        <v>0</v>
      </c>
      <c r="F17" s="980">
        <f>'SEAP template'!F87</f>
        <v>0</v>
      </c>
      <c r="G17" s="980">
        <f>'SEAP template'!G87</f>
        <v>0</v>
      </c>
      <c r="H17" s="980">
        <f>'SEAP template'!H87</f>
        <v>0</v>
      </c>
      <c r="I17" s="980">
        <f>'SEAP template'!I87</f>
        <v>0</v>
      </c>
      <c r="J17" s="980">
        <f>'SEAP template'!J87</f>
        <v>24.45378151260504</v>
      </c>
      <c r="K17" s="980">
        <f>'SEAP template'!K87</f>
        <v>0</v>
      </c>
      <c r="L17" s="980">
        <f>'SEAP template'!L87</f>
        <v>0</v>
      </c>
      <c r="M17" s="980">
        <f>'SEAP template'!M87</f>
        <v>0</v>
      </c>
      <c r="N17" s="980">
        <f>'SEAP template'!N87</f>
        <v>0</v>
      </c>
      <c r="O17" s="980">
        <f>'SEAP template'!O87</f>
        <v>0</v>
      </c>
      <c r="P17" s="980">
        <f>'SEAP template'!Q87</f>
        <v>11.203361344537816</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20.785714285714281</v>
      </c>
      <c r="C20" s="981">
        <f>SUM(C17:C19)</f>
        <v>47.142857142857146</v>
      </c>
      <c r="D20" s="981">
        <f t="shared" ref="D20:H20" si="2">SUM(D17:D19)</f>
        <v>55.462184873949582</v>
      </c>
      <c r="E20" s="981">
        <f t="shared" si="2"/>
        <v>0</v>
      </c>
      <c r="F20" s="981">
        <f t="shared" si="2"/>
        <v>0</v>
      </c>
      <c r="G20" s="981">
        <f t="shared" si="2"/>
        <v>0</v>
      </c>
      <c r="H20" s="981">
        <f t="shared" si="2"/>
        <v>0</v>
      </c>
      <c r="I20" s="981">
        <f>SUM(I17:I19)</f>
        <v>0</v>
      </c>
      <c r="J20" s="981">
        <f>SUM(J17:J19)</f>
        <v>24.45378151260504</v>
      </c>
      <c r="K20" s="981">
        <f t="shared" ref="K20:L20" si="3">SUM(K17:K19)</f>
        <v>0</v>
      </c>
      <c r="L20" s="981">
        <f t="shared" si="3"/>
        <v>0</v>
      </c>
      <c r="M20" s="981">
        <f>SUM(M17:M19)</f>
        <v>0</v>
      </c>
      <c r="N20" s="981">
        <f>SUM(N17:N19)</f>
        <v>0</v>
      </c>
      <c r="O20" s="981">
        <f>SUM(O17:O19)</f>
        <v>0</v>
      </c>
      <c r="P20" s="981">
        <f>SUM(P17:P19)</f>
        <v>11.203361344537816</v>
      </c>
    </row>
    <row r="21" spans="1:16">
      <c r="B21" s="840"/>
    </row>
    <row r="22" spans="1:16">
      <c r="A22" s="456" t="s">
        <v>754</v>
      </c>
      <c r="B22" s="736" t="s">
        <v>752</v>
      </c>
      <c r="C22" s="736">
        <f ca="1">'EF ele_warmte'!B22</f>
        <v>0.16492855817405827</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0.20011287468779951</v>
      </c>
      <c r="C17" s="492">
        <f ca="1">'EF ele_warmte'!B22</f>
        <v>0.16492855817405827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2022-07-26T10:15:18Z</dcterms:modified>
</cp:coreProperties>
</file>