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F630232-3F63-4B72-9CFD-A93F665235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<sst xmlns="http://schemas.openxmlformats.org/spreadsheetml/2006/main" count="2410" uniqueCount="885">
  <si>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</si>
  <si>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</si>
  <si>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</si>
  <si>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</si>
  <si>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</si>
  <si>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</si>
  <si>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</si>
  <si>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</si>
  <si>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</si>
  <si>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</si>
  <si>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</si>
  <si>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</si>
  <si>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</si>
  <si>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</si>
  <si>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</si>
  <si>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</si>
  <si>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</si>
  <si>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</si>
  <si>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</si>
  <si>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</si>
  <si>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</si>
  <si>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</si>
  <si>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</si>
  <si>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</si>
  <si>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</si>
  <si>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</si>
  <si>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</si>
  <si>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</si>
  <si>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</si>
  <si>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</si>
  <si>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</si>
  <si>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</si>
  <si>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</si>
  <si>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</si>
  <si>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</si>
  <si>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</si>
  <si>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</si>
  <si>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</si>
  <si>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</si>
  <si>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</si>
  <si>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</si>
  <si>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</si>
  <si>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</si>
  <si>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</si>
  <si>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</si>
  <si>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</si>
  <si>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</si>
  <si>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</si>
  <si>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</si>
  <si>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</si>
  <si>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</si>
  <si>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</si>
  <si>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</si>
  <si>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</si>
  <si>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</si>
  <si>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</si>
  <si>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</si>
  <si>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</si>
  <si>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</si>
  <si>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</si>
  <si>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</si>
  <si>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</si>
  <si>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</si>
  <si>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</si>
  <si>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</si>
  <si>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</si>
  <si>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</si>
  <si>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</si>
  <si>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</si>
  <si>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</si>
  <si>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</si>
  <si>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</si>
  <si>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</si>
  <si>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</si>
  <si>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</si>
  <si>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</si>
  <si>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</si>
  <si>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</si>
  <si>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</si>
  <si>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</si>
  <si>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</si>
  <si>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</si>
  <si>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</si>
  <si>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</si>
  <si>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</si>
  <si>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</si>
  <si>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</si>
  <si>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</si>
  <si>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</si>
  <si>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</si>
  <si>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</si>
  <si>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</si>
  <si>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</si>
  <si>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</si>
  <si>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</si>
  <si>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</si>
  <si>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</si>
  <si>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</si>
  <si>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</si>
  <si>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</si>
  <si>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</si>
  <si>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</si>
  <si>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</si>
  <si>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</si>
  <si>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</si>
  <si>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</si>
  <si>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</si>
  <si>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</si>
  <si>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</si>
  <si>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</si>
  <si>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</si>
  <si>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</si>
  <si>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</si>
  <si>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</si>
  <si>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</si>
  <si>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</si>
  <si>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</si>
  <si>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</si>
  <si>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</si>
  <si>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</si>
  <si>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</si>
  <si>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</si>
  <si>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</si>
  <si>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</si>
  <si>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</si>
  <si>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</si>
  <si>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</si>
  <si>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</si>
  <si>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</si>
  <si>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</si>
  <si>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</si>
  <si>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</si>
  <si>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</si>
  <si>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</si>
  <si>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</si>
  <si>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</si>
  <si>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</si>
  <si>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</si>
  <si>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</si>
  <si>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</si>
  <si>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</si>
  <si>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</si>
  <si>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</si>
  <si>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</si>
  <si>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</si>
  <si>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</si>
  <si>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</si>
  <si>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</si>
  <si>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</si>
  <si>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</si>
  <si>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</si>
  <si>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</si>
  <si>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</si>
  <si>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</si>
  <si>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</si>
  <si>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</si>
  <si>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</si>
  <si>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</si>
  <si>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</si>
  <si>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</si>
  <si>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</si>
  <si>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</si>
  <si>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</si>
  <si>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</si>
  <si>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</si>
  <si>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</si>
  <si>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</si>
  <si>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</si>
  <si>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</si>
  <si>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</si>
  <si>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</si>
  <si>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</si>
  <si>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</si>
  <si>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</si>
  <si>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</si>
  <si>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</si>
  <si>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</si>
  <si>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</si>
  <si>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</si>
  <si>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</si>
  <si>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</si>
  <si>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</si>
  <si>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</si>
  <si>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</si>
  <si>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</si>
  <si>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</si>
  <si>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</si>
  <si>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</si>
  <si>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</si>
  <si>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</si>
  <si>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</si>
  <si>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</si>
  <si>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</si>
  <si>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</si>
  <si>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</si>
  <si>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</si>
  <si>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</si>
  <si>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</si>
  <si>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</si>
  <si>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</si>
  <si>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</si>
  <si>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</si>
  <si>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</si>
  <si>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</si>
  <si>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</si>
  <si>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</si>
  <si>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</si>
  <si>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</si>
  <si>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</si>
  <si>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</si>
  <si>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</si>
  <si>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</si>
  <si>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</si>
  <si>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</si>
  <si>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</si>
  <si>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</si>
  <si>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</si>
  <si>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</si>
  <si>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</si>
  <si>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</si>
  <si>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</si>
  <si>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</si>
  <si>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</si>
  <si>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</si>
  <si>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</si>
  <si>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</si>
  <si>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</si>
  <si>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</si>
  <si>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</si>
  <si>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</si>
  <si>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</si>
  <si>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</si>
  <si>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</si>
  <si>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</si>
  <si>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</si>
  <si>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</si>
  <si>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</si>
  <si>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</si>
  <si>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</si>
  <si>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</si>
  <si>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</si>
  <si>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</si>
  <si>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</si>
  <si>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</si>
  <si>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</si>
  <si>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</si>
  <si>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</si>
  <si>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</si>
  <si>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</si>
  <si>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</si>
  <si>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</si>
  <si>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</si>
  <si>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</si>
  <si>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</si>
  <si>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</si>
  <si>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</si>
  <si>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</si>
  <si>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</si>
  <si>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</si>
  <si>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</si>
  <si>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</si>
  <si>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</si>
  <si>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</si>
  <si>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</si>
  <si>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</si>
  <si>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</si>
  <si>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</si>
  <si>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</si>
  <si>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</si>
  <si>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</si>
  <si>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</si>
  <si>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</si>
  <si>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</si>
  <si>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</si>
  <si>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</si>
  <si>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</si>
  <si>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</si>
  <si>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</si>
  <si>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</si>
  <si>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</si>
  <si>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</si>
  <si>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</si>
  <si>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</si>
  <si>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</si>
  <si>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</si>
  <si>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</si>
  <si>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</si>
  <si>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</si>
  <si>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</si>
  <si>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</si>
  <si>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</si>
  <si>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</si>
  <si>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</si>
  <si>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</si>
  <si>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</si>
  <si>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</si>
  <si>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</si>
  <si>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</si>
  <si>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</si>
  <si>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</si>
  <si>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</si>
  <si>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</si>
  <si>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</si>
  <si>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</si>
  <si>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</si>
  <si>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</si>
  <si>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</si>
  <si>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</si>
  <si>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</si>
  <si>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</si>
  <si>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</si>
  <si>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</si>
  <si>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</si>
  <si>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</si>
  <si>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</si>
  <si>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</si>
  <si>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</si>
  <si>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</si>
  <si>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</si>
  <si>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</si>
  <si>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</si>
  <si>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</si>
  <si>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</si>
  <si>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</si>
  <si>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</si>
  <si>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</si>
  <si>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</si>
  <si>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</si>
  <si>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</si>
  <si>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</si>
  <si>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</si>
  <si>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</si>
  <si>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</si>
  <si>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</si>
  <si>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</si>
  <si>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</si>
  <si>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</si>
  <si>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</si>
  <si>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</si>
  <si>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</si>
  <si>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</si>
  <si>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</si>
  <si>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</si>
  <si>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</si>
  <si>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</si>
  <si>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</si>
  <si>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</si>
  <si>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</si>
  <si>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</si>
  <si>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</si>
  <si>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</si>
  <si>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</si>
  <si>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</si>
  <si>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</si>
  <si>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</si>
  <si>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</si>
  <si>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</si>
  <si>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</si>
  <si>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</si>
  <si>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</si>
  <si>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</si>
  <si>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</si>
  <si>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</si>
  <si>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</si>
  <si>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</si>
  <si>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</si>
  <si>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</si>
  <si>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</si>
  <si>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</si>
  <si>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</si>
  <si>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</si>
  <si>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</si>
  <si>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</si>
  <si>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</si>
  <si>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</si>
  <si>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</si>
  <si>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</si>
  <si>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</si>
  <si>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</si>
  <si>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</si>
  <si>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</si>
  <si>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</si>
  <si>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</si>
  <si>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</si>
  <si>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</si>
  <si>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</si>
  <si>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</si>
  <si>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</si>
  <si>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</si>
  <si>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</si>
  <si>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</si>
  <si>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</si>
  <si>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</si>
  <si>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</si>
  <si>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</si>
  <si>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</si>
  <si>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</si>
  <si>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</si>
  <si>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</si>
  <si>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</si>
  <si>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</si>
  <si>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</si>
  <si>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</si>
  <si>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</si>
  <si>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</si>
  <si>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</si>
  <si>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</si>
  <si>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</si>
  <si>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</si>
  <si>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</si>
  <si>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</si>
  <si>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</si>
  <si>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</si>
  <si>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</si>
  <si>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</si>
  <si>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</si>
  <si>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</si>
  <si>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</si>
  <si>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</si>
  <si>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</si>
  <si>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</si>
  <si>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</si>
  <si>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</si>
  <si>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</si>
  <si>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</si>
  <si>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</si>
  <si>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</si>
  <si>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</si>
  <si>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</si>
  <si>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</si>
  <si>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</si>
  <si>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</si>
  <si>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</si>
  <si>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</si>
  <si>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</si>
  <si>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</si>
  <si>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</si>
  <si>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</si>
  <si>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</si>
  <si>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</si>
  <si>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</si>
  <si>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</si>
  <si>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</si>
  <si>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</si>
  <si>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</si>
  <si>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</si>
  <si>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</si>
  <si>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</si>
  <si>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</si>
  <si>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</si>
  <si>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</si>
  <si>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</si>
  <si>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</si>
  <si>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</si>
  <si>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</si>
  <si>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</si>
  <si>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</si>
  <si>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</si>
  <si>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</si>
  <si>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</si>
  <si>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</si>
  <si>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</si>
  <si>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</si>
  <si>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</si>
  <si>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</si>
  <si>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</si>
  <si>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</si>
  <si>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</si>
  <si>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</si>
  <si>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</si>
  <si>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</si>
  <si>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</si>
  <si>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</si>
  <si>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</si>
  <si>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</si>
  <si>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</si>
  <si>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</si>
  <si>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</si>
  <si>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</si>
  <si>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</si>
  <si>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</si>
  <si>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</si>
  <si>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</si>
  <si>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</si>
  <si>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</si>
  <si>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</si>
  <si>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</si>
  <si>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</si>
  <si>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</si>
  <si>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</si>
  <si>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</si>
  <si>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</si>
  <si>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</si>
  <si>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</si>
  <si>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</si>
  <si>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</si>
  <si>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</si>
  <si>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</si>
  <si>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</si>
  <si>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</si>
  <si>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</si>
  <si>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</si>
  <si>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</si>
  <si>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</si>
  <si>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</si>
  <si>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</si>
  <si>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</si>
  <si>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</si>
  <si>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</si>
  <si>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</si>
  <si>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</si>
  <si>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</si>
  <si>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</si>
  <si>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</si>
  <si>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</si>
  <si>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</si>
  <si>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</si>
  <si>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</si>
  <si>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</si>
  <si>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</si>
  <si>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</si>
  <si>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</si>
  <si>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</si>
  <si>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</si>
  <si>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</si>
  <si>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</si>
  <si>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</si>
  <si>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</si>
  <si>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</si>
  <si>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</si>
  <si>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</si>
  <si>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</si>
  <si>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</si>
  <si>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</si>
  <si>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</si>
  <si>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</si>
  <si>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</si>
  <si>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</si>
  <si>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</si>
  <si>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</si>
  <si>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</si>
  <si>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</si>
  <si>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</si>
  <si>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</si>
  <si>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</si>
  <si>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</si>
  <si>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</si>
  <si>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</si>
  <si>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</si>
  <si>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</si>
  <si>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</si>
  <si>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</si>
  <si>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</si>
  <si>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</si>
  <si>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</si>
  <si>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</si>
  <si>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</si>
  <si>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</si>
  <si>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</si>
  <si>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</si>
  <si>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</si>
  <si>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</si>
  <si>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</si>
  <si>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</si>
  <si>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</si>
  <si>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</si>
  <si>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</si>
  <si>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</si>
  <si>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</si>
  <si>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</si>
  <si>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</si>
  <si>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</si>
  <si>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</si>
  <si>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</si>
  <si>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</si>
  <si>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</si>
  <si>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</si>
  <si>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</si>
  <si>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</si>
  <si>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</si>
  <si>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</si>
  <si>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</si>
  <si>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</si>
  <si>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</si>
  <si>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</si>
  <si>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</si>
  <si>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</si>
  <si>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</si>
  <si>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</si>
  <si>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</si>
  <si>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</si>
  <si>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</si>
  <si>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</si>
  <si>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</si>
  <si>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</si>
  <si>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</si>
  <si>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</si>
  <si>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</si>
  <si>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</si>
  <si>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</si>
  <si>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</si>
  <si>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</si>
  <si>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</si>
  <si>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</si>
  <si>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</si>
  <si>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</si>
  <si>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</si>
  <si>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</si>
  <si>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</si>
  <si>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</si>
  <si>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</si>
  <si>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</si>
  <si>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</si>
  <si>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</si>
  <si>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</si>
  <si>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</si>
  <si>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</si>
  <si>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</si>
  <si>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</si>
  <si>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</si>
  <si>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</si>
  <si>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</si>
  <si>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</si>
  <si>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</si>
  <si>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</si>
  <si>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</si>
  <si>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</si>
  <si>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</si>
  <si>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</si>
  <si>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</si>
  <si>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</si>
  <si>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</si>
  <si>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</si>
  <si>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</si>
  <si>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</si>
  <si>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</si>
  <si>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</si>
  <si>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</si>
  <si>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</si>
  <si>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</si>
  <si>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</si>
  <si>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</si>
  <si>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</si>
  <si>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</si>
  <si>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</si>
  <si>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</si>
  <si>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</si>
  <si>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</si>
  <si>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</si>
  <si>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</si>
  <si>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</si>
  <si>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</si>
  <si>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</si>
  <si>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</si>
  <si>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</si>
  <si>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</si>
  <si>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</si>
  <si>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</si>
  <si>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</si>
  <si>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</si>
  <si>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</si>
  <si>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</si>
  <si>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</si>
  <si>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</si>
  <si>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</si>
  <si>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</si>
  <si>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</si>
  <si>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</si>
  <si>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</si>
  <si>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</si>
  <si>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</si>
  <si>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</si>
  <si>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</si>
  <si>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</si>
  <si>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</si>
  <si>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</si>
  <si>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</si>
  <si>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</si>
  <si>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</si>
  <si>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</si>
  <si>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</si>
  <si>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</si>
  <si>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</si>
  <si>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</si>
  <si>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</si>
  <si>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</si>
  <si>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</si>
  <si>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</si>
  <si>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</si>
  <si>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</si>
  <si>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</si>
  <si>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</si>
  <si>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</si>
  <si>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</si>
  <si>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</si>
  <si>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</si>
  <si>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</si>
  <si>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</si>
  <si>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</si>
  <si>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</si>
  <si>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</si>
  <si>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</si>
  <si>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</si>
  <si>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</si>
  <si>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</si>
  <si>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</si>
  <si>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</si>
  <si>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</si>
  <si>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</si>
  <si>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</si>
  <si>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</si>
  <si>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</si>
  <si>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</si>
  <si>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</si>
  <si>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</si>
  <si>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</si>
  <si>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</si>
  <si>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</si>
  <si>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</si>
  <si>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</si>
  <si>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</si>
  <si>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</si>
  <si>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</si>
  <si>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</si>
  <si>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</si>
  <si>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</si>
  <si>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</si>
  <si>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</si>
  <si>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</si>
  <si>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</si>
  <si>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</si>
  <si>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</si>
  <si>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</si>
  <si>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</si>
  <si>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</si>
  <si>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</si>
  <si>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</si>
  <si>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</si>
  <si>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</si>
  <si>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</si>
  <si>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</si>
  <si>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</si>
  <si>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</si>
  <si>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</si>
  <si>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</si>
  <si>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</si>
  <si>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</si>
  <si>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</si>
  <si>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</si>
  <si>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</si>
  <si>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</si>
  <si>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</si>
  <si>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</si>
  <si>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</si>
  <si>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</si>
  <si>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</si>
  <si>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</si>
  <si>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</si>
  <si>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</si>
  <si>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</si>
  <si>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</si>
  <si>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</si>
  <si>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</si>
  <si>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</si>
  <si>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</si>
  <si>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</si>
  <si>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</si>
  <si>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</si>
  <si>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</si>
  <si>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</si>
  <si>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</si>
  <si>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</si>
  <si>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</si>
  <si>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</si>
  <si>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</si>
  <si>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</si>
  <si>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</si>
  <si>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</si>
  <si>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</si>
  <si>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</si>
  <si>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</si>
  <si>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</si>
  <si>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</si>
  <si>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</si>
  <si>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</si>
  <si>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</si>
  <si>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</si>
  <si>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</si>
  <si>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</si>
  <si>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</si>
  <si>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</si>
  <si>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</si>
  <si>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</si>
  <si>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</si>
  <si>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</si>
  <si>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</si>
  <si>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</si>
  <si>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</si>
  <si>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</si>
  <si>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</si>
  <si>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</si>
  <si>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</si>
  <si>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</si>
  <si>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</si>
  <si>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</si>
  <si>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</si>
  <si>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</si>
  <si>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</si>
  <si>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</si>
  <si>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</si>
  <si>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</si>
  <si>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</si>
  <si>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</si>
  <si>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</si>
  <si>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</si>
  <si>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</si>
  <si>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</si>
  <si>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</si>
  <si>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</si>
  <si>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</si>
  <si>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</si>
  <si>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</si>
  <si>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</si>
  <si>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</si>
  <si>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</si>
  <si>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</si>
  <si>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</si>
  <si>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</si>
  <si>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</si>
  <si>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</si>
  <si>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</si>
  <si>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</si>
  <si>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</si>
  <si>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</si>
  <si>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</si>
  <si>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</si>
  <si>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</si>
  <si>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</si>
  <si>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</si>
  <si>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</si>
  <si>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</si>
  <si>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</si>
  <si>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</si>
  <si>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</si>
  <si>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</si>
  <si>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</si>
  <si>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</si>
  <si>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</si>
  <si>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</si>
  <si>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</si>
  <si>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</si>
  <si>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</si>
  <si>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</si>
  <si>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</si>
  <si>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</si>
  <si>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</si>
  <si>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</si>
  <si>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</si>
  <si>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</si>
  <si>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</si>
  <si>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</si>
  <si>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</si>
  <si>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</si>
  <si>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</si>
  <si>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</si>
  <si>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</si>
  <si>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</si>
  <si>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</si>
  <si>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</si>
  <si>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</si>
  <si>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</si>
  <si>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</si>
  <si>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</si>
  <si>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</si>
  <si>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</si>
  <si>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</si>
  <si>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</si>
  <si>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</si>
  <si>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</si>
  <si>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</si>
  <si>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</si>
  <si>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</si>
  <si>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vloeibaar gas (MWh)</t>
  </si>
  <si>
    <t>brandstofcel</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</si>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</sst>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C5C9BD0A-0372-4CE9-963D-A60569DBFD7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82868.714718063347</c:v>
                </c:pt>
                <c:pt idx="1">
                  <c:v>11397.115557035426</c:v>
                </c:pt>
                <c:pt idx="2">
                  <c:v>544.32299999999998</c:v>
                </c:pt>
                <c:pt idx="3">
                  <c:v>674.9569832932101</c:v>
                </c:pt>
                <c:pt idx="4">
                  <c:v>2131.0788118685455</c:v>
                </c:pt>
                <c:pt idx="5">
                  <c:v>62297.028233796882</c:v>
                </c:pt>
                <c:pt idx="6">
                  <c:v>287.54072997774693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82868.714718063347</c:v>
                </c:pt>
                <c:pt idx="1">
                  <c:v>11397.115557035426</c:v>
                </c:pt>
                <c:pt idx="2">
                  <c:v>544.32299999999998</c:v>
                </c:pt>
                <c:pt idx="3">
                  <c:v>674.9569832932101</c:v>
                </c:pt>
                <c:pt idx="4">
                  <c:v>2131.0788118685455</c:v>
                </c:pt>
                <c:pt idx="5">
                  <c:v>62297.028233796882</c:v>
                </c:pt>
                <c:pt idx="6">
                  <c:v>287.54072997774693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17401.376193539982</c:v>
                </c:pt>
                <c:pt idx="1">
                  <c:v>2234.1604872544262</c:v>
                </c:pt>
                <c:pt idx="2">
                  <c:v>102.34365602340323</c:v>
                </c:pt>
                <c:pt idx="3">
                  <c:v>171.11423896876664</c:v>
                </c:pt>
                <c:pt idx="4">
                  <c:v>434.55250061565897</c:v>
                </c:pt>
                <c:pt idx="5">
                  <c:v>15463.622618816085</c:v>
                </c:pt>
                <c:pt idx="6">
                  <c:v>72.423475943021103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17401.376193539982</c:v>
                </c:pt>
                <c:pt idx="1">
                  <c:v>2234.1604872544262</c:v>
                </c:pt>
                <c:pt idx="2">
                  <c:v>102.34365602340323</c:v>
                </c:pt>
                <c:pt idx="3">
                  <c:v>171.11423896876664</c:v>
                </c:pt>
                <c:pt idx="4">
                  <c:v>434.55250061565897</c:v>
                </c:pt>
                <c:pt idx="5">
                  <c:v>15463.622618816085</c:v>
                </c:pt>
                <c:pt idx="6">
                  <c:v>72.423475943021103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24007</v>
      </c>
      <c r="B6" s="382"/>
      <c r="C6" s="383"/>
    </row>
    <row r="7" spans="1:7" s="380" customFormat="1" ht="15.75" customHeight="1">
      <c r="A7" s="384" t="str">
        <f>txtMunicipality</f>
        <v>BEGIJNENDIJK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0.18802008370655518</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0.18802008370655518</v>
      </c>
      <c r="C29" s="493">
        <f ca="1">'EF ele_warmte'!B22</f>
        <v>0.22444444444444442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4101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370.56</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32</v>
      </c>
      <c r="C17" s="324"/>
      <c r="D17" s="324"/>
      <c r="E17" s="324"/>
      <c r="F17" s="324"/>
    </row>
    <row r="18" spans="1:6">
      <c r="A18" s="1257" t="s">
        <v>8</v>
      </c>
      <c r="B18" s="1258">
        <v>28</v>
      </c>
      <c r="C18" s="324"/>
      <c r="D18" s="324"/>
      <c r="E18" s="324"/>
      <c r="F18" s="324"/>
    </row>
    <row r="19" spans="1:6">
      <c r="A19" s="1257" t="s">
        <v>9</v>
      </c>
      <c r="B19" s="1258">
        <v>22</v>
      </c>
      <c r="C19" s="324"/>
      <c r="D19" s="324"/>
      <c r="E19" s="324"/>
      <c r="F19" s="324"/>
    </row>
    <row r="20" spans="1:6">
      <c r="A20" s="1257" t="s">
        <v>10</v>
      </c>
      <c r="B20" s="1258">
        <v>18</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47</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1293</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1425</v>
      </c>
      <c r="D39" s="1258">
        <v>21923603.550000001</v>
      </c>
      <c r="E39" s="1258">
        <v>4142</v>
      </c>
      <c r="F39" s="1258">
        <v>14381131.5</v>
      </c>
    </row>
    <row r="40" spans="1:6">
      <c r="A40" s="1257" t="s">
        <v>29</v>
      </c>
      <c r="B40" s="1257" t="s">
        <v>28</v>
      </c>
      <c r="C40" s="1258">
        <v>0</v>
      </c>
      <c r="D40" s="1258">
        <v>0</v>
      </c>
      <c r="E40" s="1258">
        <v>0</v>
      </c>
      <c r="F40" s="1258">
        <v>0</v>
      </c>
    </row>
    <row r="41" spans="1:6">
      <c r="A41" s="1257" t="s">
        <v>31</v>
      </c>
      <c r="B41" s="1257" t="s">
        <v>32</v>
      </c>
      <c r="C41" s="1258">
        <v>40</v>
      </c>
      <c r="D41" s="1258">
        <v>460420.4</v>
      </c>
      <c r="E41" s="1258">
        <v>98</v>
      </c>
      <c r="F41" s="1258">
        <v>628542.52899999998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38270</v>
      </c>
      <c r="E44" s="1258">
        <v>9</v>
      </c>
      <c r="F44" s="1258">
        <v>260987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v>
      </c>
      <c r="D48" s="1258">
        <v>7920</v>
      </c>
      <c r="E48" s="1258">
        <v>4</v>
      </c>
      <c r="F48" s="1258">
        <v>23541</v>
      </c>
    </row>
    <row r="49" spans="1:6">
      <c r="A49" s="1257" t="s">
        <v>31</v>
      </c>
      <c r="B49" s="1257" t="s">
        <v>39</v>
      </c>
      <c r="C49" s="1258">
        <v>0</v>
      </c>
      <c r="D49" s="1258">
        <v>0</v>
      </c>
      <c r="E49" s="1258">
        <v>0</v>
      </c>
      <c r="F49" s="1258">
        <v>0</v>
      </c>
    </row>
    <row r="50" spans="1:6">
      <c r="A50" s="1257" t="s">
        <v>31</v>
      </c>
      <c r="B50" s="1257" t="s">
        <v>40</v>
      </c>
      <c r="C50" s="1258">
        <v>4</v>
      </c>
      <c r="D50" s="1258">
        <v>73591</v>
      </c>
      <c r="E50" s="1258">
        <v>8</v>
      </c>
      <c r="F50" s="1258">
        <v>193674</v>
      </c>
    </row>
    <row r="51" spans="1:6">
      <c r="A51" s="1257" t="s">
        <v>41</v>
      </c>
      <c r="B51" s="1257" t="s">
        <v>42</v>
      </c>
      <c r="C51" s="1258">
        <v>0</v>
      </c>
      <c r="D51" s="1258">
        <v>0</v>
      </c>
      <c r="E51" s="1258">
        <v>20</v>
      </c>
      <c r="F51" s="1258">
        <v>133665</v>
      </c>
    </row>
    <row r="52" spans="1:6">
      <c r="A52" s="1257" t="s">
        <v>41</v>
      </c>
      <c r="B52" s="1257" t="s">
        <v>28</v>
      </c>
      <c r="C52" s="1258">
        <v>1</v>
      </c>
      <c r="D52" s="1258">
        <v>27788</v>
      </c>
      <c r="E52" s="1258">
        <v>0</v>
      </c>
      <c r="F52" s="1258">
        <v>0</v>
      </c>
    </row>
    <row r="53" spans="1:6">
      <c r="A53" s="1257" t="s">
        <v>43</v>
      </c>
      <c r="B53" s="1257" t="s">
        <v>44</v>
      </c>
      <c r="C53" s="1258">
        <v>28</v>
      </c>
      <c r="D53" s="1258">
        <v>321032.59999999998</v>
      </c>
      <c r="E53" s="1258">
        <v>70</v>
      </c>
      <c r="F53" s="1258">
        <v>363876.55</v>
      </c>
    </row>
    <row r="54" spans="1:6">
      <c r="A54" s="1257" t="s">
        <v>45</v>
      </c>
      <c r="B54" s="1257" t="s">
        <v>46</v>
      </c>
      <c r="C54" s="1258">
        <v>0</v>
      </c>
      <c r="D54" s="1258">
        <v>0</v>
      </c>
      <c r="E54" s="1258">
        <v>1</v>
      </c>
      <c r="F54" s="1258">
        <v>544323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14</v>
      </c>
      <c r="D57" s="1258">
        <v>392410</v>
      </c>
      <c r="E57" s="1258">
        <v>45</v>
      </c>
      <c r="F57" s="1258">
        <v>595676</v>
      </c>
    </row>
    <row r="58" spans="1:6">
      <c r="A58" s="1257" t="s">
        <v>48</v>
      </c>
      <c r="B58" s="1257" t="s">
        <v>50</v>
      </c>
      <c r="C58" s="1258">
        <v>8</v>
      </c>
      <c r="D58" s="1258">
        <v>139753</v>
      </c>
      <c r="E58" s="1258">
        <v>27</v>
      </c>
      <c r="F58" s="1258">
        <v>524241</v>
      </c>
    </row>
    <row r="59" spans="1:6">
      <c r="A59" s="1257" t="s">
        <v>48</v>
      </c>
      <c r="B59" s="1257" t="s">
        <v>51</v>
      </c>
      <c r="C59" s="1258">
        <v>29</v>
      </c>
      <c r="D59" s="1258">
        <v>685342.6</v>
      </c>
      <c r="E59" s="1258">
        <v>99</v>
      </c>
      <c r="F59" s="1258">
        <v>3302460.8</v>
      </c>
    </row>
    <row r="60" spans="1:6">
      <c r="A60" s="1257" t="s">
        <v>48</v>
      </c>
      <c r="B60" s="1257" t="s">
        <v>52</v>
      </c>
      <c r="C60" s="1258">
        <v>19</v>
      </c>
      <c r="D60" s="1258">
        <v>754995</v>
      </c>
      <c r="E60" s="1258">
        <v>40</v>
      </c>
      <c r="F60" s="1258">
        <v>726378</v>
      </c>
    </row>
    <row r="61" spans="1:6">
      <c r="A61" s="1257" t="s">
        <v>48</v>
      </c>
      <c r="B61" s="1257" t="s">
        <v>53</v>
      </c>
      <c r="C61" s="1258">
        <v>39</v>
      </c>
      <c r="D61" s="1258">
        <v>1745955</v>
      </c>
      <c r="E61" s="1258">
        <v>111</v>
      </c>
      <c r="F61" s="1258">
        <v>979167.3</v>
      </c>
    </row>
    <row r="62" spans="1:6">
      <c r="A62" s="1257" t="s">
        <v>48</v>
      </c>
      <c r="B62" s="1257" t="s">
        <v>54</v>
      </c>
      <c r="C62" s="1258">
        <v>3</v>
      </c>
      <c r="D62" s="1258">
        <v>568868</v>
      </c>
      <c r="E62" s="1258">
        <v>4</v>
      </c>
      <c r="F62" s="1258">
        <v>162165</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4</v>
      </c>
      <c r="F66" s="1258">
        <v>119424.001</v>
      </c>
    </row>
    <row r="67" spans="1:6">
      <c r="A67" s="1257" t="s">
        <v>55</v>
      </c>
      <c r="B67" s="1257" t="s">
        <v>58</v>
      </c>
      <c r="C67" s="1258">
        <v>0</v>
      </c>
      <c r="D67" s="1258">
        <v>0</v>
      </c>
      <c r="E67" s="1258">
        <v>0</v>
      </c>
      <c r="F67" s="1258">
        <v>0</v>
      </c>
    </row>
    <row r="68" spans="1:6">
      <c r="A68" s="1252" t="s">
        <v>55</v>
      </c>
      <c r="B68" s="1252" t="s">
        <v>59</v>
      </c>
      <c r="C68" s="1260">
        <v>0</v>
      </c>
      <c r="D68" s="1260">
        <v>0</v>
      </c>
      <c r="E68" s="1260">
        <v>6</v>
      </c>
      <c r="F68" s="1260">
        <v>54288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43153160</v>
      </c>
      <c r="E73" s="442"/>
      <c r="F73" s="324"/>
    </row>
    <row r="74" spans="1:6">
      <c r="A74" s="1257" t="s">
        <v>63</v>
      </c>
      <c r="B74" s="1257" t="s">
        <v>608</v>
      </c>
      <c r="C74" s="1270" t="s">
        <v>610</v>
      </c>
      <c r="D74" s="1258">
        <v>4153448</v>
      </c>
      <c r="E74" s="442"/>
      <c r="F74" s="324"/>
    </row>
    <row r="75" spans="1:6">
      <c r="A75" s="1257" t="s">
        <v>64</v>
      </c>
      <c r="B75" s="1257" t="s">
        <v>607</v>
      </c>
      <c r="C75" s="1270" t="s">
        <v>611</v>
      </c>
      <c r="D75" s="1258">
        <v>24541980</v>
      </c>
      <c r="E75" s="442"/>
      <c r="F75" s="324"/>
    </row>
    <row r="76" spans="1:6">
      <c r="A76" s="1257" t="s">
        <v>64</v>
      </c>
      <c r="B76" s="1257" t="s">
        <v>608</v>
      </c>
      <c r="C76" s="1270" t="s">
        <v>612</v>
      </c>
      <c r="D76" s="1258">
        <v>394336</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78792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3250.9114743885484</v>
      </c>
      <c r="C91" s="324"/>
      <c r="D91" s="324"/>
      <c r="E91" s="324"/>
      <c r="F91" s="324"/>
    </row>
    <row r="92" spans="1:6">
      <c r="A92" s="1252" t="s">
        <v>68</v>
      </c>
      <c r="B92" s="1253">
        <v>651.83375132361198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158</v>
      </c>
      <c r="C97" s="324"/>
      <c r="D97" s="324"/>
      <c r="E97" s="324"/>
      <c r="F97" s="324"/>
    </row>
    <row r="98" spans="1:6">
      <c r="A98" s="1257" t="s">
        <v>71</v>
      </c>
      <c r="B98" s="1258">
        <v>0</v>
      </c>
      <c r="C98" s="324"/>
      <c r="D98" s="324"/>
      <c r="E98" s="324"/>
      <c r="F98" s="324"/>
    </row>
    <row r="99" spans="1:6">
      <c r="A99" s="1257" t="s">
        <v>72</v>
      </c>
      <c r="B99" s="1258">
        <v>129</v>
      </c>
      <c r="C99" s="324"/>
      <c r="D99" s="324"/>
      <c r="E99" s="324"/>
      <c r="F99" s="324"/>
    </row>
    <row r="100" spans="1:6">
      <c r="A100" s="1257" t="s">
        <v>73</v>
      </c>
      <c r="B100" s="1258">
        <v>217</v>
      </c>
      <c r="C100" s="324"/>
      <c r="D100" s="324"/>
      <c r="E100" s="324"/>
      <c r="F100" s="324"/>
    </row>
    <row r="101" spans="1:6">
      <c r="A101" s="1257" t="s">
        <v>74</v>
      </c>
      <c r="B101" s="1258">
        <v>34</v>
      </c>
      <c r="C101" s="324"/>
      <c r="D101" s="324"/>
      <c r="E101" s="324"/>
      <c r="F101" s="324"/>
    </row>
    <row r="102" spans="1:6">
      <c r="A102" s="1257" t="s">
        <v>75</v>
      </c>
      <c r="B102" s="1258">
        <v>22</v>
      </c>
      <c r="C102" s="324"/>
      <c r="D102" s="324"/>
      <c r="E102" s="324"/>
      <c r="F102" s="324"/>
    </row>
    <row r="103" spans="1:6">
      <c r="A103" s="1257" t="s">
        <v>76</v>
      </c>
      <c r="B103" s="1258">
        <v>93</v>
      </c>
      <c r="C103" s="324"/>
      <c r="D103" s="324"/>
      <c r="E103" s="324"/>
      <c r="F103" s="324"/>
    </row>
    <row r="104" spans="1:6">
      <c r="A104" s="1257" t="s">
        <v>77</v>
      </c>
      <c r="B104" s="1258">
        <v>2805</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29</v>
      </c>
      <c r="C123" s="1258">
        <v>16</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91</v>
      </c>
      <c r="C129" s="324"/>
      <c r="D129" s="324"/>
      <c r="E129" s="324"/>
      <c r="F129" s="324"/>
    </row>
    <row r="130" spans="1:6">
      <c r="A130" s="1257" t="s">
        <v>283</v>
      </c>
      <c r="B130" s="1258">
        <v>0</v>
      </c>
      <c r="C130" s="324"/>
      <c r="D130" s="324"/>
      <c r="E130" s="324"/>
      <c r="F130" s="324"/>
    </row>
    <row r="131" spans="1:6">
      <c r="A131" s="1257" t="s">
        <v>284</v>
      </c>
      <c r="B131" s="1258">
        <v>0</v>
      </c>
      <c r="C131" s="324"/>
      <c r="D131" s="324"/>
      <c r="E131" s="324"/>
      <c r="F131" s="324"/>
    </row>
    <row r="132" spans="1:6">
      <c r="A132" s="1252" t="s">
        <v>285</v>
      </c>
      <c r="B132" s="1253">
        <v>37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26151.595092921383</v>
      </c>
      <c r="C3" s="43" t="s">
        <v>163</v>
      </c>
      <c r="D3" s="43"/>
      <c r="E3" s="153"/>
      <c r="F3" s="43"/>
      <c r="G3" s="43"/>
      <c r="H3" s="43"/>
      <c r="I3" s="43"/>
      <c r="J3" s="43"/>
      <c r="K3" s="96"/>
    </row>
    <row r="4" spans="1:11">
      <c r="A4" s="350" t="s">
        <v>164</v>
      </c>
      <c r="B4" s="49">
        <f>IF(ISERROR('SEAP template'!B78+'SEAP template'!C78),0,'SEAP template'!B78+'SEAP template'!C78)</f>
        <v>3911.2452257121604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0.18802008370655518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544.32299999999998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544.32299999999998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0.18802008370655518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102.34365602340323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14381.1315</v>
      </c>
      <c r="C5" s="17">
        <f>IF(ISERROR('Eigen informatie GS &amp; warmtenet'!B59),0,'Eigen informatie GS &amp; warmtenet'!B59)</f>
        <v>0</v>
      </c>
      <c r="D5" s="30">
        <f>(SUM(HH_hh_gas_kWh,HH_rest_gas_kWh)/1000)*0.902</f>
        <v>19775.090402099999</v>
      </c>
      <c r="E5" s="17">
        <f>B32*B41</f>
        <v>1868.7899389466706</v>
      </c>
      <c r="F5" s="17">
        <f>B36*B45</f>
        <v>35963.550719261591</v>
      </c>
      <c r="G5" s="18"/>
      <c r="H5" s="17"/>
      <c r="I5" s="17"/>
      <c r="J5" s="17">
        <f>B35*B44+C35*C44</f>
        <v>184.02931686419907</v>
      </c>
      <c r="K5" s="17"/>
      <c r="L5" s="17"/>
      <c r="M5" s="17"/>
      <c r="N5" s="17">
        <f>B34*B43+C34*C43</f>
        <v>6516.6186041053479</v>
      </c>
      <c r="O5" s="17">
        <f>B52*B53*B54</f>
        <v>212.28352947441243</v>
      </c>
      <c r="P5" s="17">
        <f>B60*B61*B62/1000-B60*B61*B62/1000/B63</f>
        <v>716.30923292258149</v>
      </c>
    </row>
    <row r="6" spans="1:16">
      <c r="A6" s="16" t="s">
        <v>573</v>
      </c>
      <c r="B6" s="738">
        <f>kWh_PV_kleiner_dan_10kW</f>
        <v>3250.9114743885484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17632.042974388547</v>
      </c>
      <c r="C8" s="21">
        <f>C5</f>
        <v>0</v>
      </c>
      <c r="D8" s="21">
        <f>D5</f>
        <v>19775.090402099999</v>
      </c>
      <c r="E8" s="21">
        <f>E5</f>
        <v>1868.7899389466706</v>
      </c>
      <c r="F8" s="21">
        <f>F5</f>
        <v>35963.550719261591</v>
      </c>
      <c r="G8" s="21"/>
      <c r="H8" s="21"/>
      <c r="I8" s="21"/>
      <c r="J8" s="21">
        <f>J5</f>
        <v>184.02931686419907</v>
      </c>
      <c r="K8" s="21"/>
      <c r="L8" s="21">
        <f>L5</f>
        <v>0</v>
      </c>
      <c r="M8" s="21">
        <f>M5</f>
        <v>0</v>
      </c>
      <c r="N8" s="21">
        <f>N5</f>
        <v>6516.6186041053479</v>
      </c>
      <c r="O8" s="21">
        <f>O5</f>
        <v>212.28352947441243</v>
      </c>
      <c r="P8" s="21">
        <f>P5</f>
        <v>716.30923292258149</v>
      </c>
    </row>
    <row r="9" spans="1:16">
      <c r="B9" s="19"/>
      <c r="C9" s="19"/>
      <c r="D9" s="255"/>
      <c r="E9" s="19"/>
      <c r="F9" s="19"/>
      <c r="G9" s="19"/>
      <c r="H9" s="19"/>
      <c r="I9" s="19"/>
      <c r="J9" s="19"/>
      <c r="K9" s="19"/>
      <c r="L9" s="19"/>
      <c r="M9" s="19"/>
      <c r="N9" s="19"/>
      <c r="O9" s="19"/>
      <c r="P9" s="19"/>
    </row>
    <row r="10" spans="1:16">
      <c r="A10" s="24" t="s">
        <v>207</v>
      </c>
      <c r="B10" s="25">
        <f ca="1">'EF ele_warmte'!B12</f>
        <v>0.18802008370655518</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3315.1781959621126</v>
      </c>
      <c r="C12" s="23">
        <f ca="1">C10*C8</f>
        <v>0</v>
      </c>
      <c r="D12" s="23">
        <f>D8*D10</f>
        <v>3994.5682612241999</v>
      </c>
      <c r="E12" s="23">
        <f>E10*E8</f>
        <v>424.21531614089423</v>
      </c>
      <c r="F12" s="23">
        <f>F10*F8</f>
        <v>9602.268042042846</v>
      </c>
      <c r="G12" s="23"/>
      <c r="H12" s="23"/>
      <c r="I12" s="23"/>
      <c r="J12" s="23">
        <f>J10*J8</f>
        <v>65.146378169926464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4101</v>
      </c>
      <c r="C26" s="36"/>
      <c r="D26" s="225"/>
    </row>
    <row r="27" spans="1:7" s="15" customFormat="1">
      <c r="A27" s="227" t="s">
        <v>774</v>
      </c>
      <c r="B27" s="37">
        <f>SUM(HH_hh_gas_aantal,HH_rest_gas_aantal)</f>
        <v>1425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1353.75</v>
      </c>
      <c r="C31" s="165" t="s">
        <v>104</v>
      </c>
      <c r="D31" s="230"/>
      <c r="G31" s="15"/>
    </row>
    <row r="32" spans="1:7">
      <c r="A32" s="168" t="s">
        <v>72</v>
      </c>
      <c r="B32" s="165">
        <f>IF((B21*($B$26-($B$27-0.05*$B$27)-$B$60))&lt;0,0,B21*($B$26-($B$27-0.05*$B$27)-$B$60))</f>
        <v>30.203633569451078</v>
      </c>
      <c r="C32" s="165" t="s">
        <v>104</v>
      </c>
      <c r="D32" s="230"/>
      <c r="G32" s="15"/>
    </row>
    <row r="33" spans="1:7">
      <c r="A33" s="168" t="s">
        <v>73</v>
      </c>
      <c r="B33" s="165">
        <f>IF((B22*($B$26-($B$27-0.05*$B$27)-$B$60))&lt;0,0,B22*($B$26-($B$27-0.05*$B$27)-$B$60))</f>
        <v>627.95890599260679</v>
      </c>
      <c r="C33" s="165" t="s">
        <v>104</v>
      </c>
      <c r="D33" s="230"/>
      <c r="G33" s="15"/>
    </row>
    <row r="34" spans="1:7">
      <c r="A34" s="168" t="s">
        <v>74</v>
      </c>
      <c r="B34" s="165">
        <f>IF((B24*($B$26-($B$27-0.05*$B$27)-$B$60))&lt;0,0,B24*($B$26-($B$27-0.05*$B$27)-$B$60))</f>
        <v>265.151950169293</v>
      </c>
      <c r="C34" s="165">
        <f>B26*C24</f>
        <v>707.67863957164411</v>
      </c>
      <c r="D34" s="230"/>
      <c r="G34" s="15"/>
    </row>
    <row r="35" spans="1:7">
      <c r="A35" s="168" t="s">
        <v>76</v>
      </c>
      <c r="B35" s="165">
        <f>IF((B19*($B$26-($B$27-0.05*$B$27)-$B$60))&lt;0,0,B19*($B$26-($B$27-0.05*$B$27)-$B$60))</f>
        <v>22.860893733804144</v>
      </c>
      <c r="C35" s="165">
        <f>B35/2</f>
        <v>11.430446866902072</v>
      </c>
      <c r="D35" s="231"/>
      <c r="G35" s="15"/>
    </row>
    <row r="36" spans="1:7">
      <c r="A36" s="168" t="s">
        <v>77</v>
      </c>
      <c r="B36" s="165">
        <f>IF((B18*($B$26-($B$27-0.05*$B$27)-$B$60))&lt;0,0,B18*($B$26-($B$27-0.05*$B$27)-$B$60))</f>
        <v>1733.0746165348448</v>
      </c>
      <c r="C36" s="165" t="s">
        <v>104</v>
      </c>
      <c r="D36" s="231"/>
      <c r="G36" s="15"/>
    </row>
    <row r="37" spans="1:7">
      <c r="A37" s="168" t="s">
        <v>78</v>
      </c>
      <c r="B37" s="165">
        <f>B60</f>
        <v>68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107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6290.0881000000008</v>
      </c>
      <c r="C5" s="17">
        <f>IF(ISERROR('Eigen informatie GS &amp; warmtenet'!B60),0,'Eigen informatie GS &amp; warmtenet'!B60)</f>
        <v>0</v>
      </c>
      <c r="D5" s="30">
        <f>SUM(D6:D12)</f>
        <v>3867.1658871999998</v>
      </c>
      <c r="E5" s="17">
        <f>SUM(E6:E12)</f>
        <v>17.79457268003917</v>
      </c>
      <c r="F5" s="17">
        <f>SUM(F6:F12)</f>
        <v>998.49527693047503</v>
      </c>
      <c r="G5" s="18"/>
      <c r="H5" s="17"/>
      <c r="I5" s="17"/>
      <c r="J5" s="17">
        <f>SUM(J6:J12)</f>
        <v>5.895717191564385E-3</v>
      </c>
      <c r="K5" s="17"/>
      <c r="L5" s="17"/>
      <c r="M5" s="17"/>
      <c r="N5" s="17">
        <f>SUM(N6:N12)</f>
        <v>225.86312180501849</v>
      </c>
      <c r="O5" s="17">
        <f>B38*B39*B40</f>
        <v>0</v>
      </c>
      <c r="P5" s="17">
        <f>B46*B47*B48/1000-B46*B47*B48/1000/B49</f>
        <v>0</v>
      </c>
      <c r="R5" s="32"/>
    </row>
    <row r="6" spans="1:18">
      <c r="A6" s="32" t="s">
        <v>53</v>
      </c>
      <c r="B6" s="37">
        <f>B26</f>
        <v>979.16730000000007</v>
      </c>
      <c r="C6" s="33"/>
      <c r="D6" s="37">
        <f>IF(ISERROR(TER_kantoor_gas_kWh/1000),0,TER_kantoor_gas_kWh/1000)*0.902</f>
        <v>1574.85141</v>
      </c>
      <c r="E6" s="33">
        <f>$C$26*'E Balans VL '!I12/100/3.6*1000000</f>
        <v>0.25568865843272953</v>
      </c>
      <c r="F6" s="33">
        <f>$C$26*('E Balans VL '!L12+'E Balans VL '!N12)/100/3.6*1000000</f>
        <v>97.834674821790557</v>
      </c>
      <c r="G6" s="34"/>
      <c r="H6" s="33"/>
      <c r="I6" s="33"/>
      <c r="J6" s="33">
        <f>$C$26*('E Balans VL '!D12+'E Balans VL '!E12)/100/3.6*1000000</f>
        <v>0</v>
      </c>
      <c r="K6" s="33"/>
      <c r="L6" s="33"/>
      <c r="M6" s="33"/>
      <c r="N6" s="33">
        <f>$C$26*'E Balans VL '!Y12/100/3.6*1000000</f>
        <v>0.69422450887247722</v>
      </c>
      <c r="O6" s="33"/>
      <c r="P6" s="33"/>
      <c r="R6" s="32"/>
    </row>
    <row r="7" spans="1:18">
      <c r="A7" s="32" t="s">
        <v>52</v>
      </c>
      <c r="B7" s="37">
        <f t="shared" ref="B7:B12" si="0">B27</f>
        <v>726.37800000000004</v>
      </c>
      <c r="C7" s="33"/>
      <c r="D7" s="37">
        <f>IF(ISERROR(TER_horeca_gas_kWh/1000),0,TER_horeca_gas_kWh/1000)*0.902</f>
        <v>681.00549000000001</v>
      </c>
      <c r="E7" s="33">
        <f>$C$27*'E Balans VL '!I9/100/3.6*1000000</f>
        <v>0</v>
      </c>
      <c r="F7" s="33">
        <f>$C$27*('E Balans VL '!L9+'E Balans VL '!N9)/100/3.6*1000000</f>
        <v>59.654862462644751</v>
      </c>
      <c r="G7" s="34"/>
      <c r="H7" s="33"/>
      <c r="I7" s="33"/>
      <c r="J7" s="33">
        <f>$C$27*('E Balans VL '!D9+'E Balans VL '!E9)/100/3.6*1000000</f>
        <v>0</v>
      </c>
      <c r="K7" s="33"/>
      <c r="L7" s="33"/>
      <c r="M7" s="33"/>
      <c r="N7" s="33">
        <f>$C$27*'E Balans VL '!Y9/100/3.6*1000000</f>
        <v>9.1792913669275684</v>
      </c>
      <c r="O7" s="33"/>
      <c r="P7" s="33"/>
      <c r="R7" s="32"/>
    </row>
    <row r="8" spans="1:18">
      <c r="A8" s="6" t="s">
        <v>51</v>
      </c>
      <c r="B8" s="37">
        <f t="shared" si="0"/>
        <v>3302.4607999999998</v>
      </c>
      <c r="C8" s="33"/>
      <c r="D8" s="37">
        <f>IF(ISERROR(TER_handel_gas_kWh/1000),0,TER_handel_gas_kWh/1000)*0.902</f>
        <v>618.17902519999996</v>
      </c>
      <c r="E8" s="33">
        <f>$C$28*'E Balans VL '!I13/100/3.6*1000000</f>
        <v>12.137410037344061</v>
      </c>
      <c r="F8" s="33">
        <f>$C$28*('E Balans VL '!L13+'E Balans VL '!N13)/100/3.6*1000000</f>
        <v>315.44065446490583</v>
      </c>
      <c r="G8" s="34"/>
      <c r="H8" s="33"/>
      <c r="I8" s="33"/>
      <c r="J8" s="33">
        <f>$C$28*('E Balans VL '!D13+'E Balans VL '!E13)/100/3.6*1000000</f>
        <v>0</v>
      </c>
      <c r="K8" s="33"/>
      <c r="L8" s="33"/>
      <c r="M8" s="33"/>
      <c r="N8" s="33">
        <f>$C$28*'E Balans VL '!Y13/100/3.6*1000000</f>
        <v>1.3067061389241517</v>
      </c>
      <c r="O8" s="33"/>
      <c r="P8" s="33"/>
      <c r="R8" s="32"/>
    </row>
    <row r="9" spans="1:18">
      <c r="A9" s="32" t="s">
        <v>50</v>
      </c>
      <c r="B9" s="37">
        <f t="shared" si="0"/>
        <v>524.24099999999999</v>
      </c>
      <c r="C9" s="33"/>
      <c r="D9" s="37">
        <f>IF(ISERROR(TER_gezond_gas_kWh/1000),0,TER_gezond_gas_kWh/1000)*0.902</f>
        <v>126.05720599999999</v>
      </c>
      <c r="E9" s="33">
        <f>$C$29*'E Balans VL '!I10/100/3.6*1000000</f>
        <v>0</v>
      </c>
      <c r="F9" s="33">
        <f>$C$29*('E Balans VL '!L10+'E Balans VL '!N10)/100/3.6*1000000</f>
        <v>35.414920931258763</v>
      </c>
      <c r="G9" s="34"/>
      <c r="H9" s="33"/>
      <c r="I9" s="33"/>
      <c r="J9" s="33">
        <f>$C$29*('E Balans VL '!D10+'E Balans VL '!E10)/100/3.6*1000000</f>
        <v>0</v>
      </c>
      <c r="K9" s="33"/>
      <c r="L9" s="33"/>
      <c r="M9" s="33"/>
      <c r="N9" s="33">
        <f>$C$29*'E Balans VL '!Y10/100/3.6*1000000</f>
        <v>4.0789861199877127</v>
      </c>
      <c r="O9" s="33"/>
      <c r="P9" s="33"/>
      <c r="R9" s="32"/>
    </row>
    <row r="10" spans="1:18">
      <c r="A10" s="32" t="s">
        <v>49</v>
      </c>
      <c r="B10" s="37">
        <f t="shared" si="0"/>
        <v>595.67600000000004</v>
      </c>
      <c r="C10" s="33"/>
      <c r="D10" s="37">
        <f>IF(ISERROR(TER_ander_gas_kWh/1000),0,TER_ander_gas_kWh/1000)*0.902</f>
        <v>353.95382000000001</v>
      </c>
      <c r="E10" s="33">
        <f>$C$30*'E Balans VL '!I14/100/3.6*1000000</f>
        <v>5.4014739842623793</v>
      </c>
      <c r="F10" s="33">
        <f>$C$30*('E Balans VL '!L14+'E Balans VL '!N14)/100/3.6*1000000</f>
        <v>470.8503489002332</v>
      </c>
      <c r="G10" s="34"/>
      <c r="H10" s="33"/>
      <c r="I10" s="33"/>
      <c r="J10" s="33">
        <f>$C$30*('E Balans VL '!D14+'E Balans VL '!E14)/100/3.6*1000000</f>
        <v>5.895717191564385E-3</v>
      </c>
      <c r="K10" s="33"/>
      <c r="L10" s="33"/>
      <c r="M10" s="33"/>
      <c r="N10" s="33">
        <f>$C$30*'E Balans VL '!Y14/100/3.6*1000000</f>
        <v>210.24326266716668</v>
      </c>
      <c r="O10" s="33"/>
      <c r="P10" s="33"/>
      <c r="R10" s="32"/>
    </row>
    <row r="11" spans="1:18">
      <c r="A11" s="32" t="s">
        <v>54</v>
      </c>
      <c r="B11" s="37">
        <f t="shared" si="0"/>
        <v>162.16499999999999</v>
      </c>
      <c r="C11" s="33"/>
      <c r="D11" s="37">
        <f>IF(ISERROR(TER_onderwijs_gas_kWh/1000),0,TER_onderwijs_gas_kWh/1000)*0.902</f>
        <v>513.11893600000008</v>
      </c>
      <c r="E11" s="33">
        <f>$C$31*'E Balans VL '!I11/100/3.6*1000000</f>
        <v>0</v>
      </c>
      <c r="F11" s="33">
        <f>$C$31*('E Balans VL '!L11+'E Balans VL '!N11)/100/3.6*1000000</f>
        <v>19.299815349641861</v>
      </c>
      <c r="G11" s="34"/>
      <c r="H11" s="33"/>
      <c r="I11" s="33"/>
      <c r="J11" s="33">
        <f>$C$31*('E Balans VL '!D11+'E Balans VL '!E11)/100/3.6*1000000</f>
        <v>0</v>
      </c>
      <c r="K11" s="33"/>
      <c r="L11" s="33"/>
      <c r="M11" s="33"/>
      <c r="N11" s="33">
        <f>$C$31*'E Balans VL '!Y11/100/3.6*1000000</f>
        <v>0.36065100313990506</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8.5</v>
      </c>
      <c r="C13" s="244">
        <f ca="1">'lokale energieproductie'!O38+'lokale energieproductie'!O31</f>
        <v>12.175675675675675</v>
      </c>
      <c r="D13" s="302">
        <f ca="1">('lokale energieproductie'!P31+'lokale energieproductie'!P38)*(-1)</f>
        <v>-22.972972972972972</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6298.5881000000008</v>
      </c>
      <c r="C16" s="21">
        <f t="shared" ca="1" si="1"/>
        <v>12.175675675675675</v>
      </c>
      <c r="D16" s="21">
        <f t="shared" ca="1" si="1"/>
        <v>3844.1929142270269</v>
      </c>
      <c r="E16" s="21">
        <f t="shared" si="1"/>
        <v>17.79457268003917</v>
      </c>
      <c r="F16" s="21">
        <f t="shared" ca="1" si="1"/>
        <v>998.49527693047503</v>
      </c>
      <c r="G16" s="21">
        <f t="shared" si="1"/>
        <v>0</v>
      </c>
      <c r="H16" s="21">
        <f t="shared" si="1"/>
        <v>0</v>
      </c>
      <c r="I16" s="21">
        <f t="shared" si="1"/>
        <v>0</v>
      </c>
      <c r="J16" s="21">
        <f t="shared" si="1"/>
        <v>5.895717191564385E-3</v>
      </c>
      <c r="K16" s="21">
        <f t="shared" si="1"/>
        <v>0</v>
      </c>
      <c r="L16" s="21">
        <f t="shared" ca="1" si="1"/>
        <v>0</v>
      </c>
      <c r="M16" s="21">
        <f t="shared" si="1"/>
        <v>0</v>
      </c>
      <c r="N16" s="21">
        <f t="shared" ca="1" si="1"/>
        <v>225.86312180501849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0.18802008370655518</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1184.2610617951125</v>
      </c>
      <c r="C20" s="23">
        <f t="shared" ref="C20:P20" ca="1" si="2">C16*C18</f>
        <v>2.7327627627627624</v>
      </c>
      <c r="D20" s="23">
        <f t="shared" ca="1" si="2"/>
        <v>776.52696867385953</v>
      </c>
      <c r="E20" s="23">
        <f t="shared" si="2"/>
        <v>4.0393679983688919</v>
      </c>
      <c r="F20" s="23">
        <f t="shared" ca="1" si="2"/>
        <v>266.59823894043683</v>
      </c>
      <c r="G20" s="23">
        <f t="shared" si="2"/>
        <v>0</v>
      </c>
      <c r="H20" s="23">
        <f t="shared" si="2"/>
        <v>0</v>
      </c>
      <c r="I20" s="23">
        <f t="shared" si="2"/>
        <v>0</v>
      </c>
      <c r="J20" s="23">
        <f t="shared" si="2"/>
        <v>2.0870838858137921E-3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979.16730000000007</v>
      </c>
      <c r="C26" s="39">
        <f>IF(ISERROR(B26*3.6/1000000/'E Balans VL '!Z12*100),0,B26*3.6/1000000/'E Balans VL '!Z12*100)</f>
        <v>2.7402208792501864E-2</v>
      </c>
      <c r="D26" s="234" t="s">
        <v>667</v>
      </c>
      <c r="F26" s="6"/>
    </row>
    <row r="27" spans="1:18">
      <c r="A27" s="228" t="s">
        <v>52</v>
      </c>
      <c r="B27" s="33">
        <f>IF(ISERROR(TER_horeca_ele_kWh/1000),0,TER_horeca_ele_kWh/1000)</f>
        <v>726.37800000000004</v>
      </c>
      <c r="C27" s="39">
        <f>IF(ISERROR(B27*3.6/1000000/'E Balans VL '!Z9*100),0,B27*3.6/1000000/'E Balans VL '!Z9*100)</f>
        <v>5.4138723748860501E-2</v>
      </c>
      <c r="D27" s="234" t="s">
        <v>667</v>
      </c>
      <c r="F27" s="6"/>
    </row>
    <row r="28" spans="1:18">
      <c r="A28" s="168" t="s">
        <v>51</v>
      </c>
      <c r="B28" s="33">
        <f>IF(ISERROR(TER_handel_ele_kWh/1000),0,TER_handel_ele_kWh/1000)</f>
        <v>3302.4607999999998</v>
      </c>
      <c r="C28" s="39">
        <f>IF(ISERROR(B28*3.6/1000000/'E Balans VL '!Z13*100),0,B28*3.6/1000000/'E Balans VL '!Z13*100)</f>
        <v>9.5681032446148367E-2</v>
      </c>
      <c r="D28" s="234" t="s">
        <v>667</v>
      </c>
      <c r="F28" s="6"/>
    </row>
    <row r="29" spans="1:18">
      <c r="A29" s="228" t="s">
        <v>50</v>
      </c>
      <c r="B29" s="33">
        <f>IF(ISERROR(TER_gezond_ele_kWh/1000),0,TER_gezond_ele_kWh/1000)</f>
        <v>524.24099999999999</v>
      </c>
      <c r="C29" s="39">
        <f>IF(ISERROR(B29*3.6/1000000/'E Balans VL '!Z10*100),0,B29*3.6/1000000/'E Balans VL '!Z10*100)</f>
        <v>5.2870330032855642E-2</v>
      </c>
      <c r="D29" s="234" t="s">
        <v>667</v>
      </c>
      <c r="F29" s="6"/>
    </row>
    <row r="30" spans="1:18">
      <c r="A30" s="228" t="s">
        <v>49</v>
      </c>
      <c r="B30" s="33">
        <f>IF(ISERROR(TER_ander_ele_kWh/1000),0,TER_ander_ele_kWh/1000)</f>
        <v>595.67600000000004</v>
      </c>
      <c r="C30" s="39">
        <f>IF(ISERROR(B30*3.6/1000000/'E Balans VL '!Z14*100),0,B30*3.6/1000000/'E Balans VL '!Z14*100)</f>
        <v>2.4146282013232979E-2</v>
      </c>
      <c r="D30" s="234" t="s">
        <v>667</v>
      </c>
      <c r="F30" s="6"/>
    </row>
    <row r="31" spans="1:18">
      <c r="A31" s="228" t="s">
        <v>54</v>
      </c>
      <c r="B31" s="33">
        <f>IF(ISERROR(TER_onderwijs_ele_kWh/1000),0,TER_onderwijs_ele_kWh/1000)</f>
        <v>162.16499999999999</v>
      </c>
      <c r="C31" s="39">
        <f>IF(ISERROR(B31*3.6/1000000/'E Balans VL '!Z11*100),0,B31*3.6/1000000/'E Balans VL '!Z11*100)</f>
        <v>4.622362866629065E-2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1106.7445289999998</v>
      </c>
      <c r="C5" s="17">
        <f>IF(ISERROR('Eigen informatie GS &amp; warmtenet'!B61),0,'Eigen informatie GS &amp; warmtenet'!B61)</f>
        <v>0</v>
      </c>
      <c r="D5" s="30">
        <f>SUM(D6:D15)</f>
        <v>523.34166279999999</v>
      </c>
      <c r="E5" s="17">
        <f>SUM(E6:E15)</f>
        <v>4.9754297774137139</v>
      </c>
      <c r="F5" s="17">
        <f>SUM(F6:F15)</f>
        <v>447.55343742635699</v>
      </c>
      <c r="G5" s="18"/>
      <c r="H5" s="17"/>
      <c r="I5" s="17"/>
      <c r="J5" s="17">
        <f>SUM(J6:J15)</f>
        <v>0.34207738247686315</v>
      </c>
      <c r="K5" s="17"/>
      <c r="L5" s="17"/>
      <c r="M5" s="17"/>
      <c r="N5" s="17">
        <f>SUM(N6:N15)</f>
        <v>48.121675482298201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260.98700000000002</v>
      </c>
      <c r="C8" s="33"/>
      <c r="D8" s="37">
        <f>IF( ISERROR(IND_metaal_Gas_kWH/1000),0,IND_metaal_Gas_kWH/1000)*0.902</f>
        <v>34.519540000000006</v>
      </c>
      <c r="E8" s="33">
        <f>C30*'E Balans VL '!I18/100/3.6*1000000</f>
        <v>1.8729050304157198</v>
      </c>
      <c r="F8" s="33">
        <f>C30*'E Balans VL '!L18/100/3.6*1000000+C30*'E Balans VL '!N18/100/3.6*1000000</f>
        <v>17.371107877687901</v>
      </c>
      <c r="G8" s="34"/>
      <c r="H8" s="33"/>
      <c r="I8" s="33"/>
      <c r="J8" s="40">
        <f>C30*'E Balans VL '!D18/100/3.6*1000000+C30*'E Balans VL '!E18/100/3.6*1000000</f>
        <v>0.25160262810019596</v>
      </c>
      <c r="K8" s="33"/>
      <c r="L8" s="33"/>
      <c r="M8" s="33"/>
      <c r="N8" s="33">
        <f>C30*'E Balans VL '!Y18/100/3.6*1000000</f>
        <v>3.1625616581312022</v>
      </c>
      <c r="O8" s="33"/>
      <c r="P8" s="33"/>
      <c r="R8" s="32"/>
    </row>
    <row r="9" spans="1:18">
      <c r="A9" s="6" t="s">
        <v>32</v>
      </c>
      <c r="B9" s="37">
        <f t="shared" si="0"/>
        <v>628.54252899999994</v>
      </c>
      <c r="C9" s="33"/>
      <c r="D9" s="37">
        <f>IF( ISERROR(IND_andere_gas_kWh/1000),0,IND_andere_gas_kWh/1000)*0.902</f>
        <v>415.29920080000005</v>
      </c>
      <c r="E9" s="33">
        <f>C31*'E Balans VL '!I19/100/3.6*1000000</f>
        <v>1.6525491951101672</v>
      </c>
      <c r="F9" s="33">
        <f>C31*'E Balans VL '!L19/100/3.6*1000000+C31*'E Balans VL '!N19/100/3.6*1000000</f>
        <v>415.0924210280748</v>
      </c>
      <c r="G9" s="34"/>
      <c r="H9" s="33"/>
      <c r="I9" s="33"/>
      <c r="J9" s="40">
        <f>C31*'E Balans VL '!D19/100/3.6*1000000+C31*'E Balans VL '!E19/100/3.6*1000000</f>
        <v>0</v>
      </c>
      <c r="K9" s="33"/>
      <c r="L9" s="33"/>
      <c r="M9" s="33"/>
      <c r="N9" s="33">
        <f>C31*'E Balans VL '!Y19/100/3.6*1000000</f>
        <v>33.556885513941161</v>
      </c>
      <c r="O9" s="33"/>
      <c r="P9" s="33"/>
      <c r="R9" s="32"/>
    </row>
    <row r="10" spans="1:18">
      <c r="A10" s="6" t="s">
        <v>40</v>
      </c>
      <c r="B10" s="37">
        <f t="shared" si="0"/>
        <v>193.67400000000001</v>
      </c>
      <c r="C10" s="33"/>
      <c r="D10" s="37">
        <f>IF( ISERROR(IND_voed_gas_kWh/1000),0,IND_voed_gas_kWh/1000)*0.902</f>
        <v>66.379081999999997</v>
      </c>
      <c r="E10" s="33">
        <f>C32*'E Balans VL '!I20/100/3.6*1000000</f>
        <v>0.32696598607761701</v>
      </c>
      <c r="F10" s="33">
        <f>C32*'E Balans VL '!L20/100/3.6*1000000+C32*'E Balans VL '!N20/100/3.6*1000000</f>
        <v>11.367818534293503</v>
      </c>
      <c r="G10" s="34"/>
      <c r="H10" s="33"/>
      <c r="I10" s="33"/>
      <c r="J10" s="40">
        <f>C32*'E Balans VL '!D20/100/3.6*1000000+C32*'E Balans VL '!E20/100/3.6*1000000</f>
        <v>0</v>
      </c>
      <c r="K10" s="33"/>
      <c r="L10" s="33"/>
      <c r="M10" s="33"/>
      <c r="N10" s="33">
        <f>C32*'E Balans VL '!Y20/100/3.6*1000000</f>
        <v>10.544579767808539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23.541</v>
      </c>
      <c r="C15" s="33"/>
      <c r="D15" s="37">
        <f>IF( ISERROR(IND_rest_gas_kWh/1000),0,IND_rest_gas_kWh/1000)*0.902</f>
        <v>7.14384</v>
      </c>
      <c r="E15" s="33">
        <f>C37*'E Balans VL '!I15/100/3.6*1000000</f>
        <v>1.1230095658102106</v>
      </c>
      <c r="F15" s="33">
        <f>C37*'E Balans VL '!L15/100/3.6*1000000+C37*'E Balans VL '!N15/100/3.6*1000000</f>
        <v>3.722089986300773</v>
      </c>
      <c r="G15" s="34"/>
      <c r="H15" s="33"/>
      <c r="I15" s="33"/>
      <c r="J15" s="40">
        <f>C37*'E Balans VL '!D15/100/3.6*1000000+C37*'E Balans VL '!E15/100/3.6*1000000</f>
        <v>9.0474754376667202E-2</v>
      </c>
      <c r="K15" s="33"/>
      <c r="L15" s="33"/>
      <c r="M15" s="33"/>
      <c r="N15" s="33">
        <f>C37*'E Balans VL '!Y15/100/3.6*1000000</f>
        <v>0.85764854241729238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1106.7445289999998</v>
      </c>
      <c r="C18" s="21">
        <f>C5+C16</f>
        <v>0</v>
      </c>
      <c r="D18" s="21">
        <f>MAX((D5+D16),0)</f>
        <v>523.34166279999999</v>
      </c>
      <c r="E18" s="21">
        <f>MAX((E5+E16),0)</f>
        <v>4.9754297774137139</v>
      </c>
      <c r="F18" s="21">
        <f>MAX((F5+F16),0)</f>
        <v>447.55343742635699</v>
      </c>
      <c r="G18" s="21"/>
      <c r="H18" s="21"/>
      <c r="I18" s="21"/>
      <c r="J18" s="21">
        <f>MAX((J5+J16),0)</f>
        <v>0.34207738247686315</v>
      </c>
      <c r="K18" s="21"/>
      <c r="L18" s="21">
        <f>MAX((L5+L16),0)</f>
        <v>0</v>
      </c>
      <c r="M18" s="21"/>
      <c r="N18" s="21">
        <f>MAX((N5+N16),0)</f>
        <v>48.121675482298201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0.18802008370655518</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208.09019898435196</v>
      </c>
      <c r="C22" s="23">
        <f ca="1">C18*C20</f>
        <v>0</v>
      </c>
      <c r="D22" s="23">
        <f>D18*D20</f>
        <v>105.71501588560001</v>
      </c>
      <c r="E22" s="23">
        <f>E18*E20</f>
        <v>1.129422559472913</v>
      </c>
      <c r="F22" s="23">
        <f>F18*F20</f>
        <v>119.49676779283732</v>
      </c>
      <c r="G22" s="23"/>
      <c r="H22" s="23"/>
      <c r="I22" s="23"/>
      <c r="J22" s="23">
        <f>J18*J20</f>
        <v>0.12109539339680955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260.98700000000002</v>
      </c>
      <c r="C30" s="39">
        <f>IF(ISERROR(B30*3.6/1000000/'E Balans VL '!Z18*100),0,B30*3.6/1000000/'E Balans VL '!Z18*100)</f>
        <v>1.4440786651797715E-2</v>
      </c>
      <c r="D30" s="234" t="s">
        <v>667</v>
      </c>
    </row>
    <row r="31" spans="1:18">
      <c r="A31" s="6" t="s">
        <v>32</v>
      </c>
      <c r="B31" s="37">
        <f>IF( ISERROR(IND_ander_ele_kWh/1000),0,IND_ander_ele_kWh/1000)</f>
        <v>628.54252899999994</v>
      </c>
      <c r="C31" s="39">
        <f>IF(ISERROR(B31*3.6/1000000/'E Balans VL '!Z19*100),0,B31*3.6/1000000/'E Balans VL '!Z19*100)</f>
        <v>2.7418989043565298E-2</v>
      </c>
      <c r="D31" s="234" t="s">
        <v>667</v>
      </c>
    </row>
    <row r="32" spans="1:18">
      <c r="A32" s="168" t="s">
        <v>40</v>
      </c>
      <c r="B32" s="37">
        <f>IF( ISERROR(IND_voed_ele_kWh/1000),0,IND_voed_ele_kWh/1000)</f>
        <v>193.67400000000001</v>
      </c>
      <c r="C32" s="39">
        <f>IF(ISERROR(B32*3.6/1000000/'E Balans VL '!Z20*100),0,B32*3.6/1000000/'E Balans VL '!Z20*100)</f>
        <v>6.0792894633339171E-3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23.541</v>
      </c>
      <c r="C37" s="39">
        <f>IF(ISERROR(B37*3.6/1000000/'E Balans VL '!Z15*100),0,B37*3.6/1000000/'E Balans VL '!Z15*100)</f>
        <v>1.9158649753332773E-4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133.66499999999999</v>
      </c>
      <c r="C5" s="17">
        <f>'Eigen informatie GS &amp; warmtenet'!B62</f>
        <v>0</v>
      </c>
      <c r="D5" s="30">
        <f>IF(ISERROR(SUM(LB_lb_gas_kWh,LB_rest_gas_kWh)/1000),0,SUM(LB_lb_gas_kWh,LB_rest_gas_kWh)/1000)*0.902</f>
        <v>25.064776000000002</v>
      </c>
      <c r="E5" s="17">
        <f>B17*'E Balans VL '!I25/3.6*1000000/100</f>
        <v>5.430334426872502</v>
      </c>
      <c r="F5" s="17">
        <f>B17*('E Balans VL '!L25/3.6*1000000+'E Balans VL '!N25/3.6*1000000)/100</f>
        <v>472.81987564889232</v>
      </c>
      <c r="G5" s="18"/>
      <c r="H5" s="17"/>
      <c r="I5" s="17"/>
      <c r="J5" s="17">
        <f>('E Balans VL '!D25+'E Balans VL '!E25)/3.6*1000000*landbouw!B17/100</f>
        <v>37.976997217445295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133.66499999999999</v>
      </c>
      <c r="C8" s="21">
        <f>C5+C6</f>
        <v>0</v>
      </c>
      <c r="D8" s="21">
        <f>MAX((D5+D6),0)</f>
        <v>25.064776000000002</v>
      </c>
      <c r="E8" s="21">
        <f>MAX((E5+E6),0)</f>
        <v>5.430334426872502</v>
      </c>
      <c r="F8" s="21">
        <f>MAX((F5+F6),0)</f>
        <v>472.81987564889232</v>
      </c>
      <c r="G8" s="21"/>
      <c r="H8" s="21"/>
      <c r="I8" s="21"/>
      <c r="J8" s="21">
        <f>MAX((J5+J6),0)</f>
        <v>37.976997217445295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0.18802008370655518</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25.131704488636696</v>
      </c>
      <c r="C12" s="23">
        <f ca="1">C8*C10</f>
        <v>0</v>
      </c>
      <c r="D12" s="23">
        <f>D8*D10</f>
        <v>5.0630847520000009</v>
      </c>
      <c r="E12" s="23">
        <f>E8*E10</f>
        <v>1.232685914900058</v>
      </c>
      <c r="F12" s="23">
        <f>F8*F10</f>
        <v>126.24290679825425</v>
      </c>
      <c r="G12" s="23"/>
      <c r="H12" s="23"/>
      <c r="I12" s="23"/>
      <c r="J12" s="23">
        <f>J8*J10</f>
        <v>13.443857014975633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1.9870260451482928E-2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5.7990952105708828</v>
      </c>
      <c r="C26" s="244">
        <f>B26*'GWP N2O_CH4'!B5</f>
        <v>121.78099942198854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0.3442334713164607</v>
      </c>
      <c r="C27" s="244">
        <f>B27*'GWP N2O_CH4'!B5</f>
        <v>7.2289028976456748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9.3954287234498904E-2</v>
      </c>
      <c r="C28" s="244">
        <f>B28*'GWP N2O_CH4'!B4</f>
        <v>29.125829042694662</v>
      </c>
      <c r="D28" s="50"/>
    </row>
    <row r="29" spans="1:4">
      <c r="A29" s="41" t="s">
        <v>265</v>
      </c>
      <c r="B29" s="244">
        <f>B34*'ha_N2O bodem landbouw'!B4</f>
        <v>2.5019687340344219</v>
      </c>
      <c r="C29" s="244">
        <f>B29*'GWP N2O_CH4'!B4</f>
        <v>775.61030755067077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5.4863669643956446E-4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2.4712959106812843E-4</v>
      </c>
      <c r="C5" s="429" t="s">
        <v>204</v>
      </c>
      <c r="D5" s="414">
        <f>SUM(D6:D11)</f>
        <v>4.6678559093050841E-4</v>
      </c>
      <c r="E5" s="414">
        <f>SUM(E6:E11)</f>
        <v>3.9523554272663297E-4</v>
      </c>
      <c r="F5" s="427" t="s">
        <v>204</v>
      </c>
      <c r="G5" s="414">
        <f>SUM(G6:G11)</f>
        <v>0.16610732541374715</v>
      </c>
      <c r="H5" s="414">
        <f>SUM(H6:H11)</f>
        <v>4.4529763286351429E-2</v>
      </c>
      <c r="I5" s="429" t="s">
        <v>204</v>
      </c>
      <c r="J5" s="429" t="s">
        <v>204</v>
      </c>
      <c r="K5" s="429" t="s">
        <v>204</v>
      </c>
      <c r="L5" s="429" t="s">
        <v>204</v>
      </c>
      <c r="M5" s="414">
        <f>SUM(M6:M11)</f>
        <v>1.2523062216844912E-2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1.4000310393834828E-4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2.3752266869970381E-4</v>
      </c>
      <c r="E6" s="843">
        <f>vkm_GW_PW*SUMIFS(TableVerdeelsleutelVkm[LPG],TableVerdeelsleutelVkm[Voertuigtype],"Lichte voertuigen")*SUMIFS(TableECFTransport[EnergieConsumptieFactor (PJ per km)],TableECFTransport[Index],CONCATENATE($A6,"_LPG_LPG"))</f>
        <v>2.0564935444377215E-4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6.5693026367501406E-2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2.2853782264637534E-2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5.2998308317063689E-3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1.0326165270695579E-6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3.9411957279570725E-2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6.2812738407927581E-7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2.2718043305411904E-3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1.0599583208848853E-4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2.292629222308046E-4</v>
      </c>
      <c r="E8" s="417">
        <f>vkm_NGW_PW*SUMIFS(TableVerdeelsleutelVkm[LPG],TableVerdeelsleutelVkm[Voertuigtype],"Lichte voertuigen")*SUMIFS(TableECFTransport[EnergieConsumptieFactor (PJ per km)],TableECFTransport[Index],CONCATENATE($A8,"_LPG_LPG"))</f>
        <v>1.8958618828286082E-4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5.6191912344780937E-2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2.167528091267561E-2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4.6741421156488681E-3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9.8038514222039436E-8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4.810429421894088E-3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7.1981654206453631E-8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2.77284938948484E-4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68.647108630035675</v>
      </c>
      <c r="C14" s="21"/>
      <c r="D14" s="21">
        <f t="shared" ref="D14:M14" si="0">((D5)*10^9/3600)+D12</f>
        <v>129.66266414736344</v>
      </c>
      <c r="E14" s="21">
        <f t="shared" si="0"/>
        <v>109.78765075739804</v>
      </c>
      <c r="F14" s="21"/>
      <c r="G14" s="21">
        <f t="shared" si="0"/>
        <v>46140.923726040877</v>
      </c>
      <c r="H14" s="21">
        <f t="shared" si="0"/>
        <v>12369.378690653175</v>
      </c>
      <c r="I14" s="21"/>
      <c r="J14" s="21"/>
      <c r="K14" s="21"/>
      <c r="L14" s="21"/>
      <c r="M14" s="21">
        <f t="shared" si="0"/>
        <v>3478.6283935680308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0.18802008370655518</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12.907035110832293</v>
      </c>
      <c r="C18" s="23"/>
      <c r="D18" s="23">
        <f t="shared" ref="D18:M18" si="1">D14*D16</f>
        <v>26.191858157767417</v>
      </c>
      <c r="E18" s="23">
        <f t="shared" si="1"/>
        <v>24.921796721929358</v>
      </c>
      <c r="F18" s="23"/>
      <c r="G18" s="23">
        <f t="shared" si="1"/>
        <v>12319.626634852915</v>
      </c>
      <c r="H18" s="23">
        <f t="shared" si="1"/>
        <v>3079.9752939726404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1.3348191250075918E-5</v>
      </c>
      <c r="C50" s="313">
        <f t="shared" ref="C50:P50" si="2">SUM(C51:C52)</f>
        <v>0</v>
      </c>
      <c r="D50" s="313">
        <f t="shared" si="2"/>
        <v>0</v>
      </c>
      <c r="E50" s="313">
        <f t="shared" si="2"/>
        <v>0</v>
      </c>
      <c r="F50" s="313">
        <f t="shared" si="2"/>
        <v>0</v>
      </c>
      <c r="G50" s="313">
        <f t="shared" si="2"/>
        <v>9.6709657437717437E-4</v>
      </c>
      <c r="H50" s="313">
        <f t="shared" si="2"/>
        <v>0</v>
      </c>
      <c r="I50" s="313">
        <f t="shared" si="2"/>
        <v>0</v>
      </c>
      <c r="J50" s="313">
        <f t="shared" si="2"/>
        <v>0</v>
      </c>
      <c r="K50" s="313">
        <f t="shared" si="2"/>
        <v>0</v>
      </c>
      <c r="L50" s="313">
        <f t="shared" si="2"/>
        <v>0</v>
      </c>
      <c r="M50" s="313">
        <f t="shared" si="2"/>
        <v>5.4701862292638724E-5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1.3348191250075918E-5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9.6709657437717437E-4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5.4701862292638724E-5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3.7078309027988658</v>
      </c>
      <c r="C54" s="21">
        <f t="shared" ref="C54:P54" si="3">(C50)*10^9/3600</f>
        <v>0</v>
      </c>
      <c r="D54" s="21">
        <f t="shared" si="3"/>
        <v>0</v>
      </c>
      <c r="E54" s="21">
        <f t="shared" si="3"/>
        <v>0</v>
      </c>
      <c r="F54" s="21">
        <f t="shared" si="3"/>
        <v>0</v>
      </c>
      <c r="G54" s="21">
        <f t="shared" si="3"/>
        <v>268.63793732699287</v>
      </c>
      <c r="H54" s="21">
        <f t="shared" si="3"/>
        <v>0</v>
      </c>
      <c r="I54" s="21">
        <f t="shared" si="3"/>
        <v>0</v>
      </c>
      <c r="J54" s="21">
        <f t="shared" si="3"/>
        <v>0</v>
      </c>
      <c r="K54" s="21">
        <f t="shared" si="3"/>
        <v>0</v>
      </c>
      <c r="L54" s="21">
        <f t="shared" si="3"/>
        <v>0</v>
      </c>
      <c r="M54" s="21">
        <f t="shared" si="3"/>
        <v>15.194961747955201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0.18802008370655518</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0.69714667671399477</v>
      </c>
      <c r="C58" s="23">
        <f t="shared" ref="C58:P58" ca="1" si="4">C54*C56</f>
        <v>0</v>
      </c>
      <c r="D58" s="23">
        <f t="shared" si="4"/>
        <v>0</v>
      </c>
      <c r="E58" s="23">
        <f t="shared" si="4"/>
        <v>0</v>
      </c>
      <c r="F58" s="23">
        <f t="shared" si="4"/>
        <v>0</v>
      </c>
      <c r="G58" s="23">
        <f t="shared" si="4"/>
        <v>71.726329266307104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3902.7452257121604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8.5</v>
      </c>
      <c r="C8" s="539">
        <f>B48</f>
        <v>9.4444444444444429</v>
      </c>
      <c r="D8" s="540"/>
      <c r="E8" s="540">
        <f>E48</f>
        <v>0</v>
      </c>
      <c r="F8" s="541"/>
      <c r="G8" s="542"/>
      <c r="H8" s="540">
        <f>I48</f>
        <v>0</v>
      </c>
      <c r="I8" s="540">
        <f>G48+F48</f>
        <v>0</v>
      </c>
      <c r="J8" s="540">
        <f>H48+D48+C48</f>
        <v>0</v>
      </c>
      <c r="K8" s="540"/>
      <c r="L8" s="540"/>
      <c r="M8" s="540"/>
      <c r="N8" s="543"/>
      <c r="O8" s="544">
        <f>C8*$C$12+D8*$D$12+E8*$E$12+F8*$F$12+G8*$G$12+H8*$H$12+I8*$I$12+J8*$J$12</f>
        <v>1.9077777777777776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3911.2452257121604</v>
      </c>
      <c r="C10" s="554">
        <f t="shared" ref="C10:L10" si="0">SUM(C8:C9)</f>
        <v>9.4444444444444429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1.9077777777777776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12.175675675675675</v>
      </c>
      <c r="C17" s="570">
        <f>B49</f>
        <v>13.528528528528525</v>
      </c>
      <c r="D17" s="571"/>
      <c r="E17" s="571">
        <f>E49</f>
        <v>0</v>
      </c>
      <c r="F17" s="572"/>
      <c r="G17" s="573"/>
      <c r="H17" s="570">
        <f>I49</f>
        <v>0</v>
      </c>
      <c r="I17" s="571">
        <f>G49+F49</f>
        <v>0</v>
      </c>
      <c r="J17" s="571">
        <f>H49+D49+C49</f>
        <v>0</v>
      </c>
      <c r="K17" s="571"/>
      <c r="L17" s="571"/>
      <c r="M17" s="571"/>
      <c r="N17" s="924"/>
      <c r="O17" s="574">
        <f>C17*$C$22+E17*$E$22+H17*$H$22+I17*$I$22+J17*$J$22+D17*$D$22+F17*$F$22+G17*$G$22+K17*$K$22+L17*$L$22</f>
        <v>2.7327627627627624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12.175675675675675</v>
      </c>
      <c r="C20" s="553">
        <f>SUM(C17:C19)</f>
        <v>13.528528528528525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2.7327627627627624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24007</v>
      </c>
      <c r="C28" s="745">
        <v>3130</v>
      </c>
      <c r="D28" s="631"/>
      <c r="E28" s="630"/>
      <c r="F28" s="630"/>
      <c r="G28" s="630" t="s">
        <v>883</v>
      </c>
      <c r="H28" s="630" t="s">
        <v>883</v>
      </c>
      <c r="I28" s="630"/>
      <c r="J28" s="744"/>
      <c r="K28" s="744"/>
      <c r="L28" s="630" t="s">
        <v>884</v>
      </c>
      <c r="M28" s="630">
        <v>1.7</v>
      </c>
      <c r="N28" s="630">
        <v>8.5</v>
      </c>
      <c r="O28" s="630">
        <v>12.175675675675675</v>
      </c>
      <c r="P28" s="630">
        <v>22.972972972972972</v>
      </c>
      <c r="Q28" s="630">
        <v>0</v>
      </c>
      <c r="R28" s="630">
        <v>0</v>
      </c>
      <c r="S28" s="630">
        <v>0</v>
      </c>
      <c r="T28" s="630">
        <v>0</v>
      </c>
      <c r="U28" s="630">
        <v>0</v>
      </c>
      <c r="V28" s="630">
        <v>0</v>
      </c>
      <c r="W28" s="630">
        <v>0</v>
      </c>
      <c r="X28" s="630"/>
      <c r="Y28" s="630">
        <v>1100</v>
      </c>
      <c r="Z28" s="630" t="s">
        <v>51</v>
      </c>
      <c r="AA28" s="632" t="s">
        <v>149</v>
      </c>
    </row>
    <row r="29" spans="1:27" s="564" customFormat="1" hidden="1">
      <c r="A29" s="586" t="s">
        <v>268</v>
      </c>
      <c r="B29" s="587"/>
      <c r="C29" s="587"/>
      <c r="D29" s="587"/>
      <c r="E29" s="587"/>
      <c r="F29" s="587"/>
      <c r="G29" s="587"/>
      <c r="H29" s="587"/>
      <c r="I29" s="587"/>
      <c r="J29" s="587"/>
      <c r="K29" s="587"/>
      <c r="L29" s="588"/>
      <c r="M29" s="588">
        <f>SUM(M28:M28)</f>
        <v>1.7</v>
      </c>
      <c r="N29" s="588">
        <f>SUM(N28:N28)</f>
        <v>8.5</v>
      </c>
      <c r="O29" s="588">
        <f>SUM(O28:O28)</f>
        <v>12.175675675675675</v>
      </c>
      <c r="P29" s="588">
        <f>SUM(P28:P28)</f>
        <v>22.972972972972972</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1.7</v>
      </c>
      <c r="N31" s="588">
        <f ca="1">SUMIF($AA$28:AE28,"tertiair",N28:N28)</f>
        <v>8.5</v>
      </c>
      <c r="O31" s="588">
        <f ca="1">SUMIF($AA$28:AF28,"tertiair",O28:O28)</f>
        <v>12.175675675675675</v>
      </c>
      <c r="P31" s="588">
        <f ca="1">SUMIF($AA$28:AG28,"tertiair",P28:P28)</f>
        <v>22.972972972972972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0.5888888888888888</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9.4444444444444429</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13.528528528528525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6842.9111000000012</v>
      </c>
      <c r="D10" s="641">
        <f ca="1">tertiair!C16</f>
        <v>12.175675675675675</v>
      </c>
      <c r="E10" s="641">
        <f ca="1">tertiair!D16</f>
        <v>3844.1929142270269</v>
      </c>
      <c r="F10" s="641">
        <f>tertiair!E16</f>
        <v>17.79457268003917</v>
      </c>
      <c r="G10" s="641">
        <f ca="1">tertiair!F16</f>
        <v>998.49527693047503</v>
      </c>
      <c r="H10" s="641">
        <f>tertiair!G16</f>
        <v>0</v>
      </c>
      <c r="I10" s="641">
        <f>tertiair!H16</f>
        <v>0</v>
      </c>
      <c r="J10" s="641">
        <f>tertiair!I16</f>
        <v>0</v>
      </c>
      <c r="K10" s="641">
        <f>tertiair!J16</f>
        <v>5.895717191564385E-3</v>
      </c>
      <c r="L10" s="641">
        <f>tertiair!K16</f>
        <v>0</v>
      </c>
      <c r="M10" s="641">
        <f ca="1">tertiair!L16</f>
        <v>0</v>
      </c>
      <c r="N10" s="641">
        <f>tertiair!M16</f>
        <v>0</v>
      </c>
      <c r="O10" s="641">
        <f ca="1">tertiair!N16</f>
        <v>225.86312180501849</v>
      </c>
      <c r="P10" s="641">
        <f>tertiair!O16</f>
        <v>0</v>
      </c>
      <c r="Q10" s="642">
        <f>tertiair!P16</f>
        <v>0</v>
      </c>
      <c r="R10" s="644">
        <f ca="1">SUM(C10:Q10)</f>
        <v>11941.438557035426</v>
      </c>
      <c r="S10" s="67"/>
    </row>
    <row r="11" spans="1:19" s="440" customFormat="1">
      <c r="A11" s="761" t="s">
        <v>213</v>
      </c>
      <c r="B11" s="766"/>
      <c r="C11" s="641">
        <f>huishoudens!B8</f>
        <v>17632.042974388547</v>
      </c>
      <c r="D11" s="641">
        <f>huishoudens!C8</f>
        <v>0</v>
      </c>
      <c r="E11" s="641">
        <f>huishoudens!D8</f>
        <v>19775.090402099999</v>
      </c>
      <c r="F11" s="641">
        <f>huishoudens!E8</f>
        <v>1868.7899389466706</v>
      </c>
      <c r="G11" s="641">
        <f>huishoudens!F8</f>
        <v>35963.550719261591</v>
      </c>
      <c r="H11" s="641">
        <f>huishoudens!G8</f>
        <v>0</v>
      </c>
      <c r="I11" s="641">
        <f>huishoudens!H8</f>
        <v>0</v>
      </c>
      <c r="J11" s="641">
        <f>huishoudens!I8</f>
        <v>0</v>
      </c>
      <c r="K11" s="641">
        <f>huishoudens!J8</f>
        <v>184.02931686419907</v>
      </c>
      <c r="L11" s="641">
        <f>huishoudens!K8</f>
        <v>0</v>
      </c>
      <c r="M11" s="641">
        <f>huishoudens!L8</f>
        <v>0</v>
      </c>
      <c r="N11" s="641">
        <f>huishoudens!M8</f>
        <v>0</v>
      </c>
      <c r="O11" s="641">
        <f>huishoudens!N8</f>
        <v>6516.6186041053479</v>
      </c>
      <c r="P11" s="641">
        <f>huishoudens!O8</f>
        <v>212.28352947441243</v>
      </c>
      <c r="Q11" s="642">
        <f>huishoudens!P8</f>
        <v>716.30923292258149</v>
      </c>
      <c r="R11" s="644">
        <f>SUM(C11:Q11)</f>
        <v>82868.714718063347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1106.7445289999998</v>
      </c>
      <c r="D13" s="641">
        <f>industrie!C18</f>
        <v>0</v>
      </c>
      <c r="E13" s="641">
        <f>industrie!D18</f>
        <v>523.34166279999999</v>
      </c>
      <c r="F13" s="641">
        <f>industrie!E18</f>
        <v>4.9754297774137139</v>
      </c>
      <c r="G13" s="641">
        <f>industrie!F18</f>
        <v>447.55343742635699</v>
      </c>
      <c r="H13" s="641">
        <f>industrie!G18</f>
        <v>0</v>
      </c>
      <c r="I13" s="641">
        <f>industrie!H18</f>
        <v>0</v>
      </c>
      <c r="J13" s="641">
        <f>industrie!I18</f>
        <v>0</v>
      </c>
      <c r="K13" s="641">
        <f>industrie!J18</f>
        <v>0.34207738247686315</v>
      </c>
      <c r="L13" s="641">
        <f>industrie!K18</f>
        <v>0</v>
      </c>
      <c r="M13" s="641">
        <f>industrie!L18</f>
        <v>0</v>
      </c>
      <c r="N13" s="641">
        <f>industrie!M18</f>
        <v>0</v>
      </c>
      <c r="O13" s="641">
        <f>industrie!N18</f>
        <v>48.121675482298201</v>
      </c>
      <c r="P13" s="641">
        <f>industrie!O18</f>
        <v>0</v>
      </c>
      <c r="Q13" s="642">
        <f>industrie!P18</f>
        <v>0</v>
      </c>
      <c r="R13" s="644">
        <f>SUM(C13:Q13)</f>
        <v>2131.0788118685455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25581.698603388548</v>
      </c>
      <c r="D16" s="677">
        <f t="shared" ref="D16:R16" ca="1" si="0">SUM(D9:D15)</f>
        <v>12.175675675675675</v>
      </c>
      <c r="E16" s="677">
        <f t="shared" ca="1" si="0"/>
        <v>24142.624979127027</v>
      </c>
      <c r="F16" s="677">
        <f t="shared" si="0"/>
        <v>1891.5599414041235</v>
      </c>
      <c r="G16" s="677">
        <f t="shared" ca="1" si="0"/>
        <v>37409.599433618423</v>
      </c>
      <c r="H16" s="677">
        <f t="shared" si="0"/>
        <v>0</v>
      </c>
      <c r="I16" s="677">
        <f t="shared" si="0"/>
        <v>0</v>
      </c>
      <c r="J16" s="677">
        <f t="shared" si="0"/>
        <v>0</v>
      </c>
      <c r="K16" s="677">
        <f t="shared" si="0"/>
        <v>184.37728996386753</v>
      </c>
      <c r="L16" s="677">
        <f t="shared" si="0"/>
        <v>0</v>
      </c>
      <c r="M16" s="677">
        <f t="shared" ca="1" si="0"/>
        <v>0</v>
      </c>
      <c r="N16" s="677">
        <f t="shared" si="0"/>
        <v>0</v>
      </c>
      <c r="O16" s="677">
        <f t="shared" ca="1" si="0"/>
        <v>6790.6034013926646</v>
      </c>
      <c r="P16" s="677">
        <f t="shared" si="0"/>
        <v>212.28352947441243</v>
      </c>
      <c r="Q16" s="677">
        <f t="shared" si="0"/>
        <v>716.30923292258149</v>
      </c>
      <c r="R16" s="677">
        <f t="shared" ca="1" si="0"/>
        <v>96941.232086967313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3.7078309027988658</v>
      </c>
      <c r="D19" s="641">
        <f>transport!C54</f>
        <v>0</v>
      </c>
      <c r="E19" s="641">
        <f>transport!D54</f>
        <v>0</v>
      </c>
      <c r="F19" s="641">
        <f>transport!E54</f>
        <v>0</v>
      </c>
      <c r="G19" s="641">
        <f>transport!F54</f>
        <v>0</v>
      </c>
      <c r="H19" s="641">
        <f>transport!G54</f>
        <v>268.63793732699287</v>
      </c>
      <c r="I19" s="641">
        <f>transport!H54</f>
        <v>0</v>
      </c>
      <c r="J19" s="641">
        <f>transport!I54</f>
        <v>0</v>
      </c>
      <c r="K19" s="641">
        <f>transport!J54</f>
        <v>0</v>
      </c>
      <c r="L19" s="641">
        <f>transport!K54</f>
        <v>0</v>
      </c>
      <c r="M19" s="641">
        <f>transport!L54</f>
        <v>0</v>
      </c>
      <c r="N19" s="641">
        <f>transport!M54</f>
        <v>15.194961747955201</v>
      </c>
      <c r="O19" s="641">
        <f>transport!N54</f>
        <v>0</v>
      </c>
      <c r="P19" s="641">
        <f>transport!O54</f>
        <v>0</v>
      </c>
      <c r="Q19" s="642">
        <f>transport!P54</f>
        <v>0</v>
      </c>
      <c r="R19" s="644">
        <f>SUM(C19:Q19)</f>
        <v>287.54072997774693</v>
      </c>
      <c r="S19" s="67"/>
    </row>
    <row r="20" spans="1:19" s="440" customFormat="1">
      <c r="A20" s="761" t="s">
        <v>295</v>
      </c>
      <c r="B20" s="766"/>
      <c r="C20" s="641">
        <f>transport!B14</f>
        <v>68.647108630035675</v>
      </c>
      <c r="D20" s="641">
        <f>transport!C14</f>
        <v>0</v>
      </c>
      <c r="E20" s="641">
        <f>transport!D14</f>
        <v>129.66266414736344</v>
      </c>
      <c r="F20" s="641">
        <f>transport!E14</f>
        <v>109.78765075739804</v>
      </c>
      <c r="G20" s="641">
        <f>transport!F14</f>
        <v>0</v>
      </c>
      <c r="H20" s="641">
        <f>transport!G14</f>
        <v>46140.923726040877</v>
      </c>
      <c r="I20" s="641">
        <f>transport!H14</f>
        <v>12369.378690653175</v>
      </c>
      <c r="J20" s="641">
        <f>transport!I14</f>
        <v>0</v>
      </c>
      <c r="K20" s="641">
        <f>transport!J14</f>
        <v>0</v>
      </c>
      <c r="L20" s="641">
        <f>transport!K14</f>
        <v>0</v>
      </c>
      <c r="M20" s="641">
        <f>transport!L14</f>
        <v>0</v>
      </c>
      <c r="N20" s="641">
        <f>transport!M14</f>
        <v>3478.6283935680308</v>
      </c>
      <c r="O20" s="641">
        <f>transport!N14</f>
        <v>0</v>
      </c>
      <c r="P20" s="641">
        <f>transport!O14</f>
        <v>0</v>
      </c>
      <c r="Q20" s="642">
        <f>transport!P14</f>
        <v>0</v>
      </c>
      <c r="R20" s="644">
        <f>SUM(C20:Q20)</f>
        <v>62297.028233796882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72.354939532834535</v>
      </c>
      <c r="D22" s="764">
        <f t="shared" ref="D22:R22" si="1">SUM(D18:D21)</f>
        <v>0</v>
      </c>
      <c r="E22" s="764">
        <f t="shared" si="1"/>
        <v>129.66266414736344</v>
      </c>
      <c r="F22" s="764">
        <f t="shared" si="1"/>
        <v>109.78765075739804</v>
      </c>
      <c r="G22" s="764">
        <f t="shared" si="1"/>
        <v>0</v>
      </c>
      <c r="H22" s="764">
        <f t="shared" si="1"/>
        <v>46409.561663367873</v>
      </c>
      <c r="I22" s="764">
        <f t="shared" si="1"/>
        <v>12369.378690653175</v>
      </c>
      <c r="J22" s="764">
        <f t="shared" si="1"/>
        <v>0</v>
      </c>
      <c r="K22" s="764">
        <f t="shared" si="1"/>
        <v>0</v>
      </c>
      <c r="L22" s="764">
        <f t="shared" si="1"/>
        <v>0</v>
      </c>
      <c r="M22" s="764">
        <f t="shared" si="1"/>
        <v>0</v>
      </c>
      <c r="N22" s="764">
        <f t="shared" si="1"/>
        <v>3493.8233553159862</v>
      </c>
      <c r="O22" s="764">
        <f t="shared" si="1"/>
        <v>0</v>
      </c>
      <c r="P22" s="764">
        <f t="shared" si="1"/>
        <v>0</v>
      </c>
      <c r="Q22" s="764">
        <f t="shared" si="1"/>
        <v>0</v>
      </c>
      <c r="R22" s="764">
        <f t="shared" si="1"/>
        <v>62584.568963774625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133.66499999999999</v>
      </c>
      <c r="D24" s="641">
        <f>+landbouw!C8</f>
        <v>0</v>
      </c>
      <c r="E24" s="641">
        <f>+landbouw!D8</f>
        <v>25.064776000000002</v>
      </c>
      <c r="F24" s="641">
        <f>+landbouw!E8</f>
        <v>5.430334426872502</v>
      </c>
      <c r="G24" s="641">
        <f>+landbouw!F8</f>
        <v>472.81987564889232</v>
      </c>
      <c r="H24" s="641">
        <f>+landbouw!G8</f>
        <v>0</v>
      </c>
      <c r="I24" s="641">
        <f>+landbouw!H8</f>
        <v>0</v>
      </c>
      <c r="J24" s="641">
        <f>+landbouw!I8</f>
        <v>0</v>
      </c>
      <c r="K24" s="641">
        <f>+landbouw!J8</f>
        <v>37.976997217445295</v>
      </c>
      <c r="L24" s="641">
        <f>+landbouw!K8</f>
        <v>0</v>
      </c>
      <c r="M24" s="641">
        <f>+landbouw!L8</f>
        <v>0</v>
      </c>
      <c r="N24" s="641">
        <f>+landbouw!M8</f>
        <v>0</v>
      </c>
      <c r="O24" s="641">
        <f>+landbouw!N8</f>
        <v>0</v>
      </c>
      <c r="P24" s="641">
        <f>+landbouw!O8</f>
        <v>0</v>
      </c>
      <c r="Q24" s="642">
        <f>+landbouw!P8</f>
        <v>0</v>
      </c>
      <c r="R24" s="644">
        <f>SUM(C24:Q24)</f>
        <v>674.9569832932101</v>
      </c>
      <c r="S24" s="67"/>
    </row>
    <row r="25" spans="1:19" s="440" customFormat="1" ht="15" thickBot="1">
      <c r="A25" s="783" t="s">
        <v>683</v>
      </c>
      <c r="B25" s="901"/>
      <c r="C25" s="902">
        <f>IF(Onbekend_ele_kWh="---",0,Onbekend_ele_kWh)/1000+IF(REST_rest_ele_kWh="---",0,REST_rest_ele_kWh)/1000</f>
        <v>363.87655000000001</v>
      </c>
      <c r="D25" s="902"/>
      <c r="E25" s="902">
        <f>IF(onbekend_gas_kWh="---",0,onbekend_gas_kWh)/1000+IF(REST_rest_gas_kWh="---",0,REST_rest_gas_kWh)/1000</f>
        <v>321.0326</v>
      </c>
      <c r="F25" s="902"/>
      <c r="G25" s="902"/>
      <c r="H25" s="902"/>
      <c r="I25" s="902"/>
      <c r="J25" s="902"/>
      <c r="K25" s="902"/>
      <c r="L25" s="902"/>
      <c r="M25" s="902"/>
      <c r="N25" s="902"/>
      <c r="O25" s="902"/>
      <c r="P25" s="902"/>
      <c r="Q25" s="903"/>
      <c r="R25" s="644">
        <f>SUM(C25:Q25)</f>
        <v>684.90914999999995</v>
      </c>
      <c r="S25" s="67"/>
    </row>
    <row r="26" spans="1:19" s="440" customFormat="1" ht="15.75" thickBot="1">
      <c r="A26" s="649" t="s">
        <v>684</v>
      </c>
      <c r="B26" s="769"/>
      <c r="C26" s="764">
        <f>SUM(C24:C25)</f>
        <v>497.54155000000003</v>
      </c>
      <c r="D26" s="764">
        <f t="shared" ref="D26:R26" si="2">SUM(D24:D25)</f>
        <v>0</v>
      </c>
      <c r="E26" s="764">
        <f t="shared" si="2"/>
        <v>346.097376</v>
      </c>
      <c r="F26" s="764">
        <f t="shared" si="2"/>
        <v>5.430334426872502</v>
      </c>
      <c r="G26" s="764">
        <f t="shared" si="2"/>
        <v>472.81987564889232</v>
      </c>
      <c r="H26" s="764">
        <f t="shared" si="2"/>
        <v>0</v>
      </c>
      <c r="I26" s="764">
        <f t="shared" si="2"/>
        <v>0</v>
      </c>
      <c r="J26" s="764">
        <f t="shared" si="2"/>
        <v>0</v>
      </c>
      <c r="K26" s="764">
        <f t="shared" si="2"/>
        <v>37.976997217445295</v>
      </c>
      <c r="L26" s="764">
        <f t="shared" si="2"/>
        <v>0</v>
      </c>
      <c r="M26" s="764">
        <f t="shared" si="2"/>
        <v>0</v>
      </c>
      <c r="N26" s="764">
        <f t="shared" si="2"/>
        <v>0</v>
      </c>
      <c r="O26" s="764">
        <f t="shared" si="2"/>
        <v>0</v>
      </c>
      <c r="P26" s="764">
        <f t="shared" si="2"/>
        <v>0</v>
      </c>
      <c r="Q26" s="764">
        <f t="shared" si="2"/>
        <v>0</v>
      </c>
      <c r="R26" s="764">
        <f t="shared" si="2"/>
        <v>1359.8661332932102</v>
      </c>
      <c r="S26" s="67"/>
    </row>
    <row r="27" spans="1:19" s="440" customFormat="1" ht="17.25" thickTop="1" thickBot="1">
      <c r="A27" s="650" t="s">
        <v>109</v>
      </c>
      <c r="B27" s="756"/>
      <c r="C27" s="651">
        <f ca="1">C22+C16+C26</f>
        <v>26151.595092921383</v>
      </c>
      <c r="D27" s="651">
        <f t="shared" ref="D27:R27" ca="1" si="3">D22+D16+D26</f>
        <v>12.175675675675675</v>
      </c>
      <c r="E27" s="651">
        <f t="shared" ca="1" si="3"/>
        <v>24618.385019274392</v>
      </c>
      <c r="F27" s="651">
        <f t="shared" si="3"/>
        <v>2006.7779265883942</v>
      </c>
      <c r="G27" s="651">
        <f t="shared" ca="1" si="3"/>
        <v>37882.419309267316</v>
      </c>
      <c r="H27" s="651">
        <f t="shared" si="3"/>
        <v>46409.561663367873</v>
      </c>
      <c r="I27" s="651">
        <f t="shared" si="3"/>
        <v>12369.378690653175</v>
      </c>
      <c r="J27" s="651">
        <f t="shared" si="3"/>
        <v>0</v>
      </c>
      <c r="K27" s="651">
        <f t="shared" si="3"/>
        <v>222.35428718131283</v>
      </c>
      <c r="L27" s="651">
        <f t="shared" si="3"/>
        <v>0</v>
      </c>
      <c r="M27" s="651">
        <f t="shared" ca="1" si="3"/>
        <v>0</v>
      </c>
      <c r="N27" s="651">
        <f t="shared" si="3"/>
        <v>3493.8233553159862</v>
      </c>
      <c r="O27" s="651">
        <f t="shared" ca="1" si="3"/>
        <v>6790.6034013926646</v>
      </c>
      <c r="P27" s="651">
        <f t="shared" si="3"/>
        <v>212.28352947441243</v>
      </c>
      <c r="Q27" s="651">
        <f t="shared" si="3"/>
        <v>716.30923292258149</v>
      </c>
      <c r="R27" s="651">
        <f t="shared" ca="1" si="3"/>
        <v>160885.66718403515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1286.6047178185156</v>
      </c>
      <c r="D40" s="641">
        <f ca="1">tertiair!C20</f>
        <v>2.7327627627627624</v>
      </c>
      <c r="E40" s="641">
        <f ca="1">tertiair!D20</f>
        <v>776.52696867385953</v>
      </c>
      <c r="F40" s="641">
        <f>tertiair!E20</f>
        <v>4.0393679983688919</v>
      </c>
      <c r="G40" s="641">
        <f ca="1">tertiair!F20</f>
        <v>266.59823894043683</v>
      </c>
      <c r="H40" s="641">
        <f>tertiair!G20</f>
        <v>0</v>
      </c>
      <c r="I40" s="641">
        <f>tertiair!H20</f>
        <v>0</v>
      </c>
      <c r="J40" s="641">
        <f>tertiair!I20</f>
        <v>0</v>
      </c>
      <c r="K40" s="641">
        <f>tertiair!J20</f>
        <v>2.0870838858137921E-3</v>
      </c>
      <c r="L40" s="641">
        <f>tertiair!K20</f>
        <v>0</v>
      </c>
      <c r="M40" s="641">
        <f ca="1">tertiair!L20</f>
        <v>0</v>
      </c>
      <c r="N40" s="641">
        <f>tertiair!M20</f>
        <v>0</v>
      </c>
      <c r="O40" s="641">
        <f ca="1">tertiair!N20</f>
        <v>0</v>
      </c>
      <c r="P40" s="641">
        <f>tertiair!O20</f>
        <v>0</v>
      </c>
      <c r="Q40" s="724">
        <f>tertiair!P20</f>
        <v>0</v>
      </c>
      <c r="R40" s="802">
        <f t="shared" ca="1" si="4"/>
        <v>2336.5041432778294</v>
      </c>
    </row>
    <row r="41" spans="1:18">
      <c r="A41" s="774" t="s">
        <v>213</v>
      </c>
      <c r="B41" s="781"/>
      <c r="C41" s="641">
        <f ca="1">huishoudens!B12</f>
        <v>3315.1781959621126</v>
      </c>
      <c r="D41" s="641">
        <f ca="1">huishoudens!C12</f>
        <v>0</v>
      </c>
      <c r="E41" s="641">
        <f>huishoudens!D12</f>
        <v>3994.5682612241999</v>
      </c>
      <c r="F41" s="641">
        <f>huishoudens!E12</f>
        <v>424.21531614089423</v>
      </c>
      <c r="G41" s="641">
        <f>huishoudens!F12</f>
        <v>9602.268042042846</v>
      </c>
      <c r="H41" s="641">
        <f>huishoudens!G12</f>
        <v>0</v>
      </c>
      <c r="I41" s="641">
        <f>huishoudens!H12</f>
        <v>0</v>
      </c>
      <c r="J41" s="641">
        <f>huishoudens!I12</f>
        <v>0</v>
      </c>
      <c r="K41" s="641">
        <f>huishoudens!J12</f>
        <v>65.146378169926464</v>
      </c>
      <c r="L41" s="641">
        <f>huishoudens!K12</f>
        <v>0</v>
      </c>
      <c r="M41" s="641">
        <f>huishoudens!L12</f>
        <v>0</v>
      </c>
      <c r="N41" s="641">
        <f>huishoudens!M12</f>
        <v>0</v>
      </c>
      <c r="O41" s="641">
        <f>huishoudens!N12</f>
        <v>0</v>
      </c>
      <c r="P41" s="641">
        <f>huishoudens!O12</f>
        <v>0</v>
      </c>
      <c r="Q41" s="724">
        <f>huishoudens!P12</f>
        <v>0</v>
      </c>
      <c r="R41" s="802">
        <f t="shared" ca="1" si="4"/>
        <v>17401.376193539982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208.09019898435196</v>
      </c>
      <c r="D43" s="641">
        <f ca="1">industrie!C22</f>
        <v>0</v>
      </c>
      <c r="E43" s="641">
        <f>industrie!D22</f>
        <v>105.71501588560001</v>
      </c>
      <c r="F43" s="641">
        <f>industrie!E22</f>
        <v>1.129422559472913</v>
      </c>
      <c r="G43" s="641">
        <f>industrie!F22</f>
        <v>119.49676779283732</v>
      </c>
      <c r="H43" s="641">
        <f>industrie!G22</f>
        <v>0</v>
      </c>
      <c r="I43" s="641">
        <f>industrie!H22</f>
        <v>0</v>
      </c>
      <c r="J43" s="641">
        <f>industrie!I22</f>
        <v>0</v>
      </c>
      <c r="K43" s="641">
        <f>industrie!J22</f>
        <v>0.12109539339680955</v>
      </c>
      <c r="L43" s="641">
        <f>industrie!K22</f>
        <v>0</v>
      </c>
      <c r="M43" s="641">
        <f>industrie!L22</f>
        <v>0</v>
      </c>
      <c r="N43" s="641">
        <f>industrie!M22</f>
        <v>0</v>
      </c>
      <c r="O43" s="641">
        <f>industrie!N22</f>
        <v>0</v>
      </c>
      <c r="P43" s="641">
        <f>industrie!O22</f>
        <v>0</v>
      </c>
      <c r="Q43" s="724">
        <f>industrie!P22</f>
        <v>0</v>
      </c>
      <c r="R43" s="801">
        <f t="shared" ca="1" si="4"/>
        <v>434.55250061565897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4809.8731127649808</v>
      </c>
      <c r="D46" s="677">
        <f t="shared" ref="D46:Q46" ca="1" si="5">SUM(D39:D45)</f>
        <v>2.7327627627627624</v>
      </c>
      <c r="E46" s="677">
        <f t="shared" ca="1" si="5"/>
        <v>4876.8102457836594</v>
      </c>
      <c r="F46" s="677">
        <f t="shared" si="5"/>
        <v>429.38410669873605</v>
      </c>
      <c r="G46" s="677">
        <f t="shared" ca="1" si="5"/>
        <v>9988.3630487761202</v>
      </c>
      <c r="H46" s="677">
        <f t="shared" si="5"/>
        <v>0</v>
      </c>
      <c r="I46" s="677">
        <f t="shared" si="5"/>
        <v>0</v>
      </c>
      <c r="J46" s="677">
        <f t="shared" si="5"/>
        <v>0</v>
      </c>
      <c r="K46" s="677">
        <f t="shared" si="5"/>
        <v>65.26956064720909</v>
      </c>
      <c r="L46" s="677">
        <f t="shared" si="5"/>
        <v>0</v>
      </c>
      <c r="M46" s="677">
        <f t="shared" ca="1" si="5"/>
        <v>0</v>
      </c>
      <c r="N46" s="677">
        <f t="shared" si="5"/>
        <v>0</v>
      </c>
      <c r="O46" s="677">
        <f t="shared" ca="1" si="5"/>
        <v>0</v>
      </c>
      <c r="P46" s="677">
        <f t="shared" si="5"/>
        <v>0</v>
      </c>
      <c r="Q46" s="677">
        <f t="shared" si="5"/>
        <v>0</v>
      </c>
      <c r="R46" s="677">
        <f ca="1">SUM(R39:R45)</f>
        <v>20172.432837433473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0.69714667671399477</v>
      </c>
      <c r="D49" s="641">
        <f ca="1">transport!C58</f>
        <v>0</v>
      </c>
      <c r="E49" s="641">
        <f>transport!D58</f>
        <v>0</v>
      </c>
      <c r="F49" s="641">
        <f>transport!E58</f>
        <v>0</v>
      </c>
      <c r="G49" s="641">
        <f>transport!F58</f>
        <v>0</v>
      </c>
      <c r="H49" s="641">
        <f>transport!G58</f>
        <v>71.726329266307104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72.423475943021103</v>
      </c>
    </row>
    <row r="50" spans="1:18">
      <c r="A50" s="777" t="s">
        <v>295</v>
      </c>
      <c r="B50" s="787"/>
      <c r="C50" s="647">
        <f ca="1">transport!B18</f>
        <v>12.907035110832293</v>
      </c>
      <c r="D50" s="647">
        <f>transport!C18</f>
        <v>0</v>
      </c>
      <c r="E50" s="647">
        <f>transport!D18</f>
        <v>26.191858157767417</v>
      </c>
      <c r="F50" s="647">
        <f>transport!E18</f>
        <v>24.921796721929358</v>
      </c>
      <c r="G50" s="647">
        <f>transport!F18</f>
        <v>0</v>
      </c>
      <c r="H50" s="647">
        <f>transport!G18</f>
        <v>12319.626634852915</v>
      </c>
      <c r="I50" s="647">
        <f>transport!H18</f>
        <v>3079.9752939726404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15463.622618816085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13.604181787546288</v>
      </c>
      <c r="D52" s="677">
        <f t="shared" ref="D52:Q52" ca="1" si="6">SUM(D48:D51)</f>
        <v>0</v>
      </c>
      <c r="E52" s="677">
        <f t="shared" si="6"/>
        <v>26.191858157767417</v>
      </c>
      <c r="F52" s="677">
        <f t="shared" si="6"/>
        <v>24.921796721929358</v>
      </c>
      <c r="G52" s="677">
        <f t="shared" si="6"/>
        <v>0</v>
      </c>
      <c r="H52" s="677">
        <f t="shared" si="6"/>
        <v>12391.352964119222</v>
      </c>
      <c r="I52" s="677">
        <f t="shared" si="6"/>
        <v>3079.9752939726404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15536.046094759107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25.131704488636696</v>
      </c>
      <c r="D54" s="647">
        <f ca="1">+landbouw!C12</f>
        <v>0</v>
      </c>
      <c r="E54" s="647">
        <f>+landbouw!D12</f>
        <v>5.0630847520000009</v>
      </c>
      <c r="F54" s="647">
        <f>+landbouw!E12</f>
        <v>1.232685914900058</v>
      </c>
      <c r="G54" s="647">
        <f>+landbouw!F12</f>
        <v>126.24290679825425</v>
      </c>
      <c r="H54" s="647">
        <f>+landbouw!G12</f>
        <v>0</v>
      </c>
      <c r="I54" s="647">
        <f>+landbouw!H12</f>
        <v>0</v>
      </c>
      <c r="J54" s="647">
        <f>+landbouw!I12</f>
        <v>0</v>
      </c>
      <c r="K54" s="647">
        <f>+landbouw!J12</f>
        <v>13.443857014975633</v>
      </c>
      <c r="L54" s="647">
        <f>+landbouw!K12</f>
        <v>0</v>
      </c>
      <c r="M54" s="647">
        <f>+landbouw!L12</f>
        <v>0</v>
      </c>
      <c r="N54" s="647">
        <f>+landbouw!M12</f>
        <v>0</v>
      </c>
      <c r="O54" s="647">
        <f>+landbouw!N12</f>
        <v>0</v>
      </c>
      <c r="P54" s="647">
        <f>+landbouw!O12</f>
        <v>0</v>
      </c>
      <c r="Q54" s="648">
        <f>+landbouw!P12</f>
        <v>0</v>
      </c>
      <c r="R54" s="676">
        <f ca="1">SUM(C54:Q54)</f>
        <v>171.11423896876664</v>
      </c>
    </row>
    <row r="55" spans="1:18" ht="15" thickBot="1">
      <c r="A55" s="777" t="s">
        <v>683</v>
      </c>
      <c r="B55" s="787"/>
      <c r="C55" s="647">
        <f ca="1">C25*'EF ele_warmte'!B12</f>
        <v>68.416099389852519</v>
      </c>
      <c r="D55" s="647"/>
      <c r="E55" s="647">
        <f>E25*EF_CO2_aardgas</f>
        <v>64.848585200000002</v>
      </c>
      <c r="F55" s="647"/>
      <c r="G55" s="647"/>
      <c r="H55" s="647"/>
      <c r="I55" s="647"/>
      <c r="J55" s="647"/>
      <c r="K55" s="647"/>
      <c r="L55" s="647"/>
      <c r="M55" s="647"/>
      <c r="N55" s="647"/>
      <c r="O55" s="647"/>
      <c r="P55" s="647"/>
      <c r="Q55" s="648"/>
      <c r="R55" s="676">
        <f ca="1">SUM(C55:Q55)</f>
        <v>133.26468458985252</v>
      </c>
    </row>
    <row r="56" spans="1:18" ht="15.75" thickBot="1">
      <c r="A56" s="775" t="s">
        <v>684</v>
      </c>
      <c r="B56" s="788"/>
      <c r="C56" s="677">
        <f ca="1">SUM(C54:C55)</f>
        <v>93.547803878489219</v>
      </c>
      <c r="D56" s="677">
        <f t="shared" ref="D56:Q56" ca="1" si="7">SUM(D54:D55)</f>
        <v>0</v>
      </c>
      <c r="E56" s="677">
        <f t="shared" si="7"/>
        <v>69.911669951999997</v>
      </c>
      <c r="F56" s="677">
        <f t="shared" si="7"/>
        <v>1.232685914900058</v>
      </c>
      <c r="G56" s="677">
        <f t="shared" si="7"/>
        <v>126.24290679825425</v>
      </c>
      <c r="H56" s="677">
        <f t="shared" si="7"/>
        <v>0</v>
      </c>
      <c r="I56" s="677">
        <f t="shared" si="7"/>
        <v>0</v>
      </c>
      <c r="J56" s="677">
        <f t="shared" si="7"/>
        <v>0</v>
      </c>
      <c r="K56" s="677">
        <f t="shared" si="7"/>
        <v>13.443857014975633</v>
      </c>
      <c r="L56" s="677">
        <f t="shared" si="7"/>
        <v>0</v>
      </c>
      <c r="M56" s="677">
        <f t="shared" si="7"/>
        <v>0</v>
      </c>
      <c r="N56" s="677">
        <f t="shared" si="7"/>
        <v>0</v>
      </c>
      <c r="O56" s="677">
        <f t="shared" si="7"/>
        <v>0</v>
      </c>
      <c r="P56" s="677">
        <f t="shared" si="7"/>
        <v>0</v>
      </c>
      <c r="Q56" s="678">
        <f t="shared" si="7"/>
        <v>0</v>
      </c>
      <c r="R56" s="679">
        <f ca="1">SUM(R54:R55)</f>
        <v>304.37892355861914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4917.0250984310169</v>
      </c>
      <c r="D61" s="685">
        <f t="shared" ref="D61:Q61" ca="1" si="8">D46+D52+D56</f>
        <v>2.7327627627627624</v>
      </c>
      <c r="E61" s="685">
        <f t="shared" ca="1" si="8"/>
        <v>4972.9137738934269</v>
      </c>
      <c r="F61" s="685">
        <f t="shared" si="8"/>
        <v>455.53858933556546</v>
      </c>
      <c r="G61" s="685">
        <f t="shared" ca="1" si="8"/>
        <v>10114.605955574374</v>
      </c>
      <c r="H61" s="685">
        <f t="shared" si="8"/>
        <v>12391.352964119222</v>
      </c>
      <c r="I61" s="685">
        <f t="shared" si="8"/>
        <v>3079.9752939726404</v>
      </c>
      <c r="J61" s="685">
        <f t="shared" si="8"/>
        <v>0</v>
      </c>
      <c r="K61" s="685">
        <f t="shared" si="8"/>
        <v>78.713417662184725</v>
      </c>
      <c r="L61" s="685">
        <f t="shared" si="8"/>
        <v>0</v>
      </c>
      <c r="M61" s="685">
        <f t="shared" ca="1" si="8"/>
        <v>0</v>
      </c>
      <c r="N61" s="685">
        <f t="shared" si="8"/>
        <v>0</v>
      </c>
      <c r="O61" s="685">
        <f t="shared" ca="1" si="8"/>
        <v>0</v>
      </c>
      <c r="P61" s="685">
        <f t="shared" si="8"/>
        <v>0</v>
      </c>
      <c r="Q61" s="685">
        <f t="shared" si="8"/>
        <v>0</v>
      </c>
      <c r="R61" s="685">
        <f ca="1">R46+R52+R56</f>
        <v>36012.857855751194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0.18802008370655521</v>
      </c>
      <c r="D63" s="731">
        <f t="shared" ca="1" si="9"/>
        <v>0.22444444444444442</v>
      </c>
      <c r="E63" s="927">
        <f t="shared" ca="1" si="9"/>
        <v>0.20199999999999999</v>
      </c>
      <c r="F63" s="731">
        <f t="shared" si="9"/>
        <v>0.22699999999999998</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3902.7452257121604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8.5</v>
      </c>
      <c r="D76" s="910">
        <f>'lokale energieproductie'!C8</f>
        <v>9.4444444444444429</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1.9077777777777776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3902.7452257121604</v>
      </c>
      <c r="C78" s="703">
        <f>SUM(C72:C77)</f>
        <v>8.5</v>
      </c>
      <c r="D78" s="704">
        <f t="shared" ref="D78:H78" si="10">SUM(D76:D77)</f>
        <v>9.4444444444444429</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1.9077777777777776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12.175675675675675</v>
      </c>
      <c r="D87" s="727">
        <f>'lokale energieproductie'!C17</f>
        <v>13.528528528528525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2.7327627627627624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12.175675675675675</v>
      </c>
      <c r="D90" s="703">
        <f t="shared" ref="D90:H90" si="12">SUM(D87:D89)</f>
        <v>13.528528528528525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2.7327627627627624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17632.042974388547</v>
      </c>
      <c r="C4" s="444">
        <f>huishoudens!C8</f>
        <v>0</v>
      </c>
      <c r="D4" s="444">
        <f>huishoudens!D8</f>
        <v>19775.090402099999</v>
      </c>
      <c r="E4" s="444">
        <f>huishoudens!E8</f>
        <v>1868.7899389466706</v>
      </c>
      <c r="F4" s="444">
        <f>huishoudens!F8</f>
        <v>35963.550719261591</v>
      </c>
      <c r="G4" s="444">
        <f>huishoudens!G8</f>
        <v>0</v>
      </c>
      <c r="H4" s="444">
        <f>huishoudens!H8</f>
        <v>0</v>
      </c>
      <c r="I4" s="444">
        <f>huishoudens!I8</f>
        <v>0</v>
      </c>
      <c r="J4" s="444">
        <f>huishoudens!J8</f>
        <v>184.02931686419907</v>
      </c>
      <c r="K4" s="444">
        <f>huishoudens!K8</f>
        <v>0</v>
      </c>
      <c r="L4" s="444">
        <f>huishoudens!L8</f>
        <v>0</v>
      </c>
      <c r="M4" s="444">
        <f>huishoudens!M8</f>
        <v>0</v>
      </c>
      <c r="N4" s="444">
        <f>huishoudens!N8</f>
        <v>6516.6186041053479</v>
      </c>
      <c r="O4" s="444">
        <f>huishoudens!O8</f>
        <v>212.28352947441243</v>
      </c>
      <c r="P4" s="445">
        <f>huishoudens!P8</f>
        <v>716.30923292258149</v>
      </c>
      <c r="Q4" s="446">
        <f>SUM(B4:P4)</f>
        <v>82868.714718063347</v>
      </c>
    </row>
    <row r="5" spans="1:17">
      <c r="A5" s="443" t="s">
        <v>149</v>
      </c>
      <c r="B5" s="444">
        <f ca="1">tertiair!B16</f>
        <v>6298.5881000000008</v>
      </c>
      <c r="C5" s="444">
        <f ca="1">tertiair!C16</f>
        <v>12.175675675675675</v>
      </c>
      <c r="D5" s="444">
        <f ca="1">tertiair!D16</f>
        <v>3844.1929142270269</v>
      </c>
      <c r="E5" s="444">
        <f>tertiair!E16</f>
        <v>17.79457268003917</v>
      </c>
      <c r="F5" s="444">
        <f ca="1">tertiair!F16</f>
        <v>998.49527693047503</v>
      </c>
      <c r="G5" s="444">
        <f>tertiair!G16</f>
        <v>0</v>
      </c>
      <c r="H5" s="444">
        <f>tertiair!H16</f>
        <v>0</v>
      </c>
      <c r="I5" s="444">
        <f>tertiair!I16</f>
        <v>0</v>
      </c>
      <c r="J5" s="444">
        <f>tertiair!J16</f>
        <v>5.895717191564385E-3</v>
      </c>
      <c r="K5" s="444">
        <f>tertiair!K16</f>
        <v>0</v>
      </c>
      <c r="L5" s="444">
        <f ca="1">tertiair!L16</f>
        <v>0</v>
      </c>
      <c r="M5" s="444">
        <f>tertiair!M16</f>
        <v>0</v>
      </c>
      <c r="N5" s="444">
        <f ca="1">tertiair!N16</f>
        <v>225.86312180501849</v>
      </c>
      <c r="O5" s="444">
        <f>tertiair!O16</f>
        <v>0</v>
      </c>
      <c r="P5" s="445">
        <f>tertiair!P16</f>
        <v>0</v>
      </c>
      <c r="Q5" s="443">
        <f t="shared" ref="Q5:Q14" ca="1" si="0">SUM(B5:P5)</f>
        <v>11397.115557035426</v>
      </c>
    </row>
    <row r="6" spans="1:17">
      <c r="A6" s="443" t="s">
        <v>187</v>
      </c>
      <c r="B6" s="444">
        <f>'openbare verlichting'!B8</f>
        <v>544.32299999999998</v>
      </c>
      <c r="C6" s="444"/>
      <c r="D6" s="444"/>
      <c r="E6" s="444"/>
      <c r="F6" s="444"/>
      <c r="G6" s="444"/>
      <c r="H6" s="444"/>
      <c r="I6" s="444"/>
      <c r="J6" s="444"/>
      <c r="K6" s="444"/>
      <c r="L6" s="444"/>
      <c r="M6" s="444"/>
      <c r="N6" s="444"/>
      <c r="O6" s="444"/>
      <c r="P6" s="445"/>
      <c r="Q6" s="443">
        <f t="shared" si="0"/>
        <v>544.32299999999998</v>
      </c>
    </row>
    <row r="7" spans="1:17">
      <c r="A7" s="443" t="s">
        <v>105</v>
      </c>
      <c r="B7" s="444">
        <f>landbouw!B8</f>
        <v>133.66499999999999</v>
      </c>
      <c r="C7" s="444">
        <f>landbouw!C8</f>
        <v>0</v>
      </c>
      <c r="D7" s="444">
        <f>landbouw!D8</f>
        <v>25.064776000000002</v>
      </c>
      <c r="E7" s="444">
        <f>landbouw!E8</f>
        <v>5.430334426872502</v>
      </c>
      <c r="F7" s="444">
        <f>landbouw!F8</f>
        <v>472.81987564889232</v>
      </c>
      <c r="G7" s="444">
        <f>landbouw!G8</f>
        <v>0</v>
      </c>
      <c r="H7" s="444">
        <f>landbouw!H8</f>
        <v>0</v>
      </c>
      <c r="I7" s="444">
        <f>landbouw!I8</f>
        <v>0</v>
      </c>
      <c r="J7" s="444">
        <f>landbouw!J8</f>
        <v>37.976997217445295</v>
      </c>
      <c r="K7" s="444">
        <f>landbouw!K8</f>
        <v>0</v>
      </c>
      <c r="L7" s="444">
        <f>landbouw!L8</f>
        <v>0</v>
      </c>
      <c r="M7" s="444">
        <f>landbouw!M8</f>
        <v>0</v>
      </c>
      <c r="N7" s="444">
        <f>landbouw!N8</f>
        <v>0</v>
      </c>
      <c r="O7" s="444">
        <f>landbouw!O8</f>
        <v>0</v>
      </c>
      <c r="P7" s="445">
        <f>landbouw!P8</f>
        <v>0</v>
      </c>
      <c r="Q7" s="443">
        <f t="shared" si="0"/>
        <v>674.9569832932101</v>
      </c>
    </row>
    <row r="8" spans="1:17">
      <c r="A8" s="443" t="s">
        <v>587</v>
      </c>
      <c r="B8" s="444">
        <f>industrie!B18</f>
        <v>1106.7445289999998</v>
      </c>
      <c r="C8" s="444">
        <f>industrie!C18</f>
        <v>0</v>
      </c>
      <c r="D8" s="444">
        <f>industrie!D18</f>
        <v>523.34166279999999</v>
      </c>
      <c r="E8" s="444">
        <f>industrie!E18</f>
        <v>4.9754297774137139</v>
      </c>
      <c r="F8" s="444">
        <f>industrie!F18</f>
        <v>447.55343742635699</v>
      </c>
      <c r="G8" s="444">
        <f>industrie!G18</f>
        <v>0</v>
      </c>
      <c r="H8" s="444">
        <f>industrie!H18</f>
        <v>0</v>
      </c>
      <c r="I8" s="444">
        <f>industrie!I18</f>
        <v>0</v>
      </c>
      <c r="J8" s="444">
        <f>industrie!J18</f>
        <v>0.34207738247686315</v>
      </c>
      <c r="K8" s="444">
        <f>industrie!K18</f>
        <v>0</v>
      </c>
      <c r="L8" s="444">
        <f>industrie!L18</f>
        <v>0</v>
      </c>
      <c r="M8" s="444">
        <f>industrie!M18</f>
        <v>0</v>
      </c>
      <c r="N8" s="444">
        <f>industrie!N18</f>
        <v>48.121675482298201</v>
      </c>
      <c r="O8" s="444">
        <f>industrie!O18</f>
        <v>0</v>
      </c>
      <c r="P8" s="445">
        <f>industrie!P18</f>
        <v>0</v>
      </c>
      <c r="Q8" s="443">
        <f t="shared" si="0"/>
        <v>2131.0788118685455</v>
      </c>
    </row>
    <row r="9" spans="1:17" s="449" customFormat="1">
      <c r="A9" s="447" t="s">
        <v>536</v>
      </c>
      <c r="B9" s="448">
        <f>transport!B14</f>
        <v>68.647108630035675</v>
      </c>
      <c r="C9" s="448">
        <f>transport!C14</f>
        <v>0</v>
      </c>
      <c r="D9" s="448">
        <f>transport!D14</f>
        <v>129.66266414736344</v>
      </c>
      <c r="E9" s="448">
        <f>transport!E14</f>
        <v>109.78765075739804</v>
      </c>
      <c r="F9" s="448">
        <f>transport!F14</f>
        <v>0</v>
      </c>
      <c r="G9" s="448">
        <f>transport!G14</f>
        <v>46140.923726040877</v>
      </c>
      <c r="H9" s="448">
        <f>transport!H14</f>
        <v>12369.378690653175</v>
      </c>
      <c r="I9" s="448">
        <f>transport!I14</f>
        <v>0</v>
      </c>
      <c r="J9" s="448">
        <f>transport!J14</f>
        <v>0</v>
      </c>
      <c r="K9" s="448">
        <f>transport!K14</f>
        <v>0</v>
      </c>
      <c r="L9" s="448">
        <f>transport!L14</f>
        <v>0</v>
      </c>
      <c r="M9" s="448">
        <f>transport!M14</f>
        <v>3478.6283935680308</v>
      </c>
      <c r="N9" s="448">
        <f>transport!N14</f>
        <v>0</v>
      </c>
      <c r="O9" s="448">
        <f>transport!O14</f>
        <v>0</v>
      </c>
      <c r="P9" s="448">
        <f>transport!P14</f>
        <v>0</v>
      </c>
      <c r="Q9" s="447">
        <f>SUM(B9:P9)</f>
        <v>62297.028233796882</v>
      </c>
    </row>
    <row r="10" spans="1:17">
      <c r="A10" s="443" t="s">
        <v>526</v>
      </c>
      <c r="B10" s="444">
        <f>transport!B54</f>
        <v>3.7078309027988658</v>
      </c>
      <c r="C10" s="444">
        <f>transport!C54</f>
        <v>0</v>
      </c>
      <c r="D10" s="444">
        <f>transport!D54</f>
        <v>0</v>
      </c>
      <c r="E10" s="444">
        <f>transport!E54</f>
        <v>0</v>
      </c>
      <c r="F10" s="444">
        <f>transport!F54</f>
        <v>0</v>
      </c>
      <c r="G10" s="444">
        <f>transport!G54</f>
        <v>268.63793732699287</v>
      </c>
      <c r="H10" s="444">
        <f>transport!H54</f>
        <v>0</v>
      </c>
      <c r="I10" s="444">
        <f>transport!I54</f>
        <v>0</v>
      </c>
      <c r="J10" s="444">
        <f>transport!J54</f>
        <v>0</v>
      </c>
      <c r="K10" s="444">
        <f>transport!K54</f>
        <v>0</v>
      </c>
      <c r="L10" s="444">
        <f>transport!L54</f>
        <v>0</v>
      </c>
      <c r="M10" s="444">
        <f>transport!M54</f>
        <v>15.194961747955201</v>
      </c>
      <c r="N10" s="444">
        <f>transport!N54</f>
        <v>0</v>
      </c>
      <c r="O10" s="444">
        <f>transport!O54</f>
        <v>0</v>
      </c>
      <c r="P10" s="445">
        <f>transport!P54</f>
        <v>0</v>
      </c>
      <c r="Q10" s="443">
        <f t="shared" si="0"/>
        <v>287.54072997774693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363.87655000000001</v>
      </c>
      <c r="C14" s="451"/>
      <c r="D14" s="451">
        <f>'SEAP template'!E25</f>
        <v>321.0326</v>
      </c>
      <c r="E14" s="451"/>
      <c r="F14" s="451"/>
      <c r="G14" s="451"/>
      <c r="H14" s="451"/>
      <c r="I14" s="451"/>
      <c r="J14" s="451"/>
      <c r="K14" s="451"/>
      <c r="L14" s="451"/>
      <c r="M14" s="451"/>
      <c r="N14" s="451"/>
      <c r="O14" s="451"/>
      <c r="P14" s="452"/>
      <c r="Q14" s="443">
        <f t="shared" si="0"/>
        <v>684.90914999999995</v>
      </c>
    </row>
    <row r="15" spans="1:17" s="455" customFormat="1">
      <c r="A15" s="453" t="s">
        <v>530</v>
      </c>
      <c r="B15" s="454">
        <f ca="1">SUM(B4:B14)</f>
        <v>26151.595092921387</v>
      </c>
      <c r="C15" s="454">
        <f t="shared" ref="C15:Q15" ca="1" si="1">SUM(C4:C14)</f>
        <v>12.175675675675675</v>
      </c>
      <c r="D15" s="454">
        <f t="shared" ca="1" si="1"/>
        <v>24618.385019274388</v>
      </c>
      <c r="E15" s="454">
        <f t="shared" si="1"/>
        <v>2006.7779265883942</v>
      </c>
      <c r="F15" s="454">
        <f t="shared" ca="1" si="1"/>
        <v>37882.419309267316</v>
      </c>
      <c r="G15" s="454">
        <f t="shared" si="1"/>
        <v>46409.561663367873</v>
      </c>
      <c r="H15" s="454">
        <f t="shared" si="1"/>
        <v>12369.378690653175</v>
      </c>
      <c r="I15" s="454">
        <f t="shared" si="1"/>
        <v>0</v>
      </c>
      <c r="J15" s="454">
        <f t="shared" si="1"/>
        <v>222.35428718131283</v>
      </c>
      <c r="K15" s="454">
        <f t="shared" si="1"/>
        <v>0</v>
      </c>
      <c r="L15" s="454">
        <f t="shared" ca="1" si="1"/>
        <v>0</v>
      </c>
      <c r="M15" s="454">
        <f t="shared" si="1"/>
        <v>3493.8233553159862</v>
      </c>
      <c r="N15" s="454">
        <f t="shared" ca="1" si="1"/>
        <v>6790.6034013926646</v>
      </c>
      <c r="O15" s="454">
        <f t="shared" si="1"/>
        <v>212.28352947441243</v>
      </c>
      <c r="P15" s="454">
        <f t="shared" si="1"/>
        <v>716.30923292258149</v>
      </c>
      <c r="Q15" s="454">
        <f t="shared" ca="1" si="1"/>
        <v>160885.66718403515</v>
      </c>
    </row>
    <row r="17" spans="1:17">
      <c r="A17" s="456" t="s">
        <v>531</v>
      </c>
      <c r="B17" s="736">
        <f ca="1">huishoudens!B10</f>
        <v>0.18802008370655518</v>
      </c>
      <c r="C17" s="736">
        <f ca="1">huishoudens!C10</f>
        <v>0.22444444444444442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3315.1781959621126</v>
      </c>
      <c r="C22" s="444">
        <f t="shared" ref="C22:C32" ca="1" si="3">C4*$C$17</f>
        <v>0</v>
      </c>
      <c r="D22" s="444">
        <f t="shared" ref="D22:D32" si="4">D4*$D$17</f>
        <v>3994.5682612241999</v>
      </c>
      <c r="E22" s="444">
        <f t="shared" ref="E22:E32" si="5">E4*$E$17</f>
        <v>424.21531614089423</v>
      </c>
      <c r="F22" s="444">
        <f t="shared" ref="F22:F32" si="6">F4*$F$17</f>
        <v>9602.268042042846</v>
      </c>
      <c r="G22" s="444">
        <f t="shared" ref="G22:G32" si="7">G4*$G$17</f>
        <v>0</v>
      </c>
      <c r="H22" s="444">
        <f t="shared" ref="H22:H32" si="8">H4*$H$17</f>
        <v>0</v>
      </c>
      <c r="I22" s="444">
        <f t="shared" ref="I22:I32" si="9">I4*$I$17</f>
        <v>0</v>
      </c>
      <c r="J22" s="444">
        <f t="shared" ref="J22:J32" si="10">J4*$J$17</f>
        <v>65.146378169926464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17401.376193539982</v>
      </c>
    </row>
    <row r="23" spans="1:17">
      <c r="A23" s="443" t="s">
        <v>149</v>
      </c>
      <c r="B23" s="444">
        <f t="shared" ca="1" si="2"/>
        <v>1184.2610617951125</v>
      </c>
      <c r="C23" s="444">
        <f t="shared" ca="1" si="3"/>
        <v>2.7327627627627624</v>
      </c>
      <c r="D23" s="444">
        <f t="shared" ca="1" si="4"/>
        <v>776.52696867385953</v>
      </c>
      <c r="E23" s="444">
        <f t="shared" si="5"/>
        <v>4.0393679983688919</v>
      </c>
      <c r="F23" s="444">
        <f t="shared" ca="1" si="6"/>
        <v>266.59823894043683</v>
      </c>
      <c r="G23" s="444">
        <f t="shared" si="7"/>
        <v>0</v>
      </c>
      <c r="H23" s="444">
        <f t="shared" si="8"/>
        <v>0</v>
      </c>
      <c r="I23" s="444">
        <f t="shared" si="9"/>
        <v>0</v>
      </c>
      <c r="J23" s="444">
        <f t="shared" si="10"/>
        <v>2.0870838858137921E-3</v>
      </c>
      <c r="K23" s="444">
        <f t="shared" si="11"/>
        <v>0</v>
      </c>
      <c r="L23" s="444">
        <f t="shared" ca="1" si="12"/>
        <v>0</v>
      </c>
      <c r="M23" s="444">
        <f t="shared" si="13"/>
        <v>0</v>
      </c>
      <c r="N23" s="444">
        <f t="shared" ca="1" si="14"/>
        <v>0</v>
      </c>
      <c r="O23" s="444">
        <f t="shared" si="15"/>
        <v>0</v>
      </c>
      <c r="P23" s="445">
        <f t="shared" si="16"/>
        <v>0</v>
      </c>
      <c r="Q23" s="443">
        <f t="shared" ref="Q23:Q31" ca="1" si="17">SUM(B23:P23)</f>
        <v>2234.1604872544262</v>
      </c>
    </row>
    <row r="24" spans="1:17">
      <c r="A24" s="443" t="s">
        <v>187</v>
      </c>
      <c r="B24" s="444">
        <f t="shared" ca="1" si="2"/>
        <v>102.34365602340323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102.34365602340323</v>
      </c>
    </row>
    <row r="25" spans="1:17">
      <c r="A25" s="443" t="s">
        <v>105</v>
      </c>
      <c r="B25" s="444">
        <f t="shared" ca="1" si="2"/>
        <v>25.131704488636696</v>
      </c>
      <c r="C25" s="444">
        <f t="shared" ca="1" si="3"/>
        <v>0</v>
      </c>
      <c r="D25" s="444">
        <f t="shared" si="4"/>
        <v>5.0630847520000009</v>
      </c>
      <c r="E25" s="444">
        <f t="shared" si="5"/>
        <v>1.232685914900058</v>
      </c>
      <c r="F25" s="444">
        <f t="shared" si="6"/>
        <v>126.24290679825425</v>
      </c>
      <c r="G25" s="444">
        <f t="shared" si="7"/>
        <v>0</v>
      </c>
      <c r="H25" s="444">
        <f t="shared" si="8"/>
        <v>0</v>
      </c>
      <c r="I25" s="444">
        <f t="shared" si="9"/>
        <v>0</v>
      </c>
      <c r="J25" s="444">
        <f t="shared" si="10"/>
        <v>13.443857014975633</v>
      </c>
      <c r="K25" s="444">
        <f t="shared" si="11"/>
        <v>0</v>
      </c>
      <c r="L25" s="444">
        <f t="shared" si="12"/>
        <v>0</v>
      </c>
      <c r="M25" s="444">
        <f t="shared" si="13"/>
        <v>0</v>
      </c>
      <c r="N25" s="444">
        <f t="shared" si="14"/>
        <v>0</v>
      </c>
      <c r="O25" s="444">
        <f t="shared" si="15"/>
        <v>0</v>
      </c>
      <c r="P25" s="445">
        <f t="shared" si="16"/>
        <v>0</v>
      </c>
      <c r="Q25" s="443">
        <f t="shared" ca="1" si="17"/>
        <v>171.11423896876664</v>
      </c>
    </row>
    <row r="26" spans="1:17">
      <c r="A26" s="443" t="s">
        <v>587</v>
      </c>
      <c r="B26" s="444">
        <f t="shared" ca="1" si="2"/>
        <v>208.09019898435196</v>
      </c>
      <c r="C26" s="444">
        <f t="shared" ca="1" si="3"/>
        <v>0</v>
      </c>
      <c r="D26" s="444">
        <f t="shared" si="4"/>
        <v>105.71501588560001</v>
      </c>
      <c r="E26" s="444">
        <f t="shared" si="5"/>
        <v>1.129422559472913</v>
      </c>
      <c r="F26" s="444">
        <f t="shared" si="6"/>
        <v>119.49676779283732</v>
      </c>
      <c r="G26" s="444">
        <f t="shared" si="7"/>
        <v>0</v>
      </c>
      <c r="H26" s="444">
        <f t="shared" si="8"/>
        <v>0</v>
      </c>
      <c r="I26" s="444">
        <f t="shared" si="9"/>
        <v>0</v>
      </c>
      <c r="J26" s="444">
        <f t="shared" si="10"/>
        <v>0.12109539339680955</v>
      </c>
      <c r="K26" s="444">
        <f t="shared" si="11"/>
        <v>0</v>
      </c>
      <c r="L26" s="444">
        <f t="shared" si="12"/>
        <v>0</v>
      </c>
      <c r="M26" s="444">
        <f t="shared" si="13"/>
        <v>0</v>
      </c>
      <c r="N26" s="444">
        <f t="shared" si="14"/>
        <v>0</v>
      </c>
      <c r="O26" s="444">
        <f t="shared" si="15"/>
        <v>0</v>
      </c>
      <c r="P26" s="445">
        <f t="shared" si="16"/>
        <v>0</v>
      </c>
      <c r="Q26" s="443">
        <f t="shared" ca="1" si="17"/>
        <v>434.55250061565897</v>
      </c>
    </row>
    <row r="27" spans="1:17" s="449" customFormat="1">
      <c r="A27" s="447" t="s">
        <v>536</v>
      </c>
      <c r="B27" s="730">
        <f t="shared" ca="1" si="2"/>
        <v>12.907035110832293</v>
      </c>
      <c r="C27" s="448">
        <f t="shared" ca="1" si="3"/>
        <v>0</v>
      </c>
      <c r="D27" s="448">
        <f t="shared" si="4"/>
        <v>26.191858157767417</v>
      </c>
      <c r="E27" s="448">
        <f t="shared" si="5"/>
        <v>24.921796721929358</v>
      </c>
      <c r="F27" s="448">
        <f t="shared" si="6"/>
        <v>0</v>
      </c>
      <c r="G27" s="448">
        <f t="shared" si="7"/>
        <v>12319.626634852915</v>
      </c>
      <c r="H27" s="448">
        <f t="shared" si="8"/>
        <v>3079.9752939726404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15463.622618816085</v>
      </c>
    </row>
    <row r="28" spans="1:17" ht="16.5" customHeight="1">
      <c r="A28" s="443" t="s">
        <v>526</v>
      </c>
      <c r="B28" s="444">
        <f t="shared" ca="1" si="2"/>
        <v>0.69714667671399477</v>
      </c>
      <c r="C28" s="444">
        <f t="shared" ca="1" si="3"/>
        <v>0</v>
      </c>
      <c r="D28" s="444">
        <f t="shared" si="4"/>
        <v>0</v>
      </c>
      <c r="E28" s="444">
        <f t="shared" si="5"/>
        <v>0</v>
      </c>
      <c r="F28" s="444">
        <f t="shared" si="6"/>
        <v>0</v>
      </c>
      <c r="G28" s="444">
        <f t="shared" si="7"/>
        <v>71.726329266307104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72.423475943021103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68.416099389852519</v>
      </c>
      <c r="C32" s="444">
        <f t="shared" ca="1" si="3"/>
        <v>0</v>
      </c>
      <c r="D32" s="444">
        <f t="shared" si="4"/>
        <v>64.848585200000002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133.26468458985252</v>
      </c>
    </row>
    <row r="33" spans="1:17" s="455" customFormat="1">
      <c r="A33" s="453" t="s">
        <v>530</v>
      </c>
      <c r="B33" s="454">
        <f ca="1">SUM(B22:B32)</f>
        <v>4917.0250984310151</v>
      </c>
      <c r="C33" s="454">
        <f t="shared" ref="C33:Q33" ca="1" si="19">SUM(C22:C32)</f>
        <v>2.7327627627627624</v>
      </c>
      <c r="D33" s="454">
        <f t="shared" ca="1" si="19"/>
        <v>4972.9137738934269</v>
      </c>
      <c r="E33" s="454">
        <f t="shared" si="19"/>
        <v>455.53858933556546</v>
      </c>
      <c r="F33" s="454">
        <f t="shared" ca="1" si="19"/>
        <v>10114.605955574374</v>
      </c>
      <c r="G33" s="454">
        <f t="shared" si="19"/>
        <v>12391.352964119222</v>
      </c>
      <c r="H33" s="454">
        <f t="shared" si="19"/>
        <v>3079.9752939726404</v>
      </c>
      <c r="I33" s="454">
        <f t="shared" si="19"/>
        <v>0</v>
      </c>
      <c r="J33" s="454">
        <f t="shared" si="19"/>
        <v>78.713417662184725</v>
      </c>
      <c r="K33" s="454">
        <f t="shared" si="19"/>
        <v>0</v>
      </c>
      <c r="L33" s="454">
        <f t="shared" ca="1" si="19"/>
        <v>0</v>
      </c>
      <c r="M33" s="454">
        <f t="shared" si="19"/>
        <v>0</v>
      </c>
      <c r="N33" s="454">
        <f t="shared" ca="1" si="19"/>
        <v>0</v>
      </c>
      <c r="O33" s="454">
        <f t="shared" si="19"/>
        <v>0</v>
      </c>
      <c r="P33" s="454">
        <f t="shared" si="19"/>
        <v>0</v>
      </c>
      <c r="Q33" s="454">
        <f t="shared" ca="1" si="19"/>
        <v>36012.857855751194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3902.7452257121604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8.5</v>
      </c>
      <c r="D8" s="979">
        <f>'SEAP template'!D76</f>
        <v>9.4444444444444429</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1.9077777777777776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3902.7452257121604</v>
      </c>
      <c r="C10" s="981">
        <f>SUM(C4:C9)</f>
        <v>8.5</v>
      </c>
      <c r="D10" s="981">
        <f t="shared" ref="D10:H10" si="0">SUM(D8:D9)</f>
        <v>9.4444444444444429</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1.9077777777777776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0.18802008370655518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12.175675675675675</v>
      </c>
      <c r="D17" s="980">
        <f>'SEAP template'!D87</f>
        <v>13.528528528528525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2.7327627627627624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12.175675675675675</v>
      </c>
      <c r="D20" s="981">
        <f t="shared" ref="D20:H20" si="2">SUM(D17:D19)</f>
        <v>13.528528528528525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2.7327627627627624</v>
      </c>
    </row>
    <row r="21" spans="1:16">
      <c r="B21" s="840"/>
    </row>
    <row r="22" spans="1:16">
      <c r="A22" s="456" t="s">
        <v>754</v>
      </c>
      <c r="B22" s="736" t="s">
        <v>752</v>
      </c>
      <c r="C22" s="736">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0.18802008370655518</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2022-07-26T10:12:24Z</dcterms:modified>
</cp:coreProperties>
</file>