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FF393ED-9F2C-4884-BE75-D09CD226E4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<sst xmlns="http://schemas.openxmlformats.org/spreadsheetml/2006/main" count="2405" uniqueCount="883">
  <si>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</si>
  <si>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</si>
  <si>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</si>
  <si>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</si>
  <si>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</si>
  <si>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</si>
  <si>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</si>
  <si>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</si>
  <si>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</si>
  <si>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</si>
  <si>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</si>
  <si>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</si>
  <si>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</si>
  <si>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</si>
  <si>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</si>
  <si>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</si>
  <si>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</si>
  <si>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</si>
  <si>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</si>
  <si>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</si>
  <si>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</si>
  <si>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</si>
  <si>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</si>
  <si>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</si>
  <si>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</si>
  <si>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</si>
  <si>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</si>
  <si>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</si>
  <si>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</si>
  <si>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</si>
  <si>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</si>
  <si>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</si>
  <si>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</si>
  <si>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</si>
  <si>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</si>
  <si>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</si>
  <si>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</si>
  <si>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</si>
  <si>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</si>
  <si>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</si>
  <si>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</si>
  <si>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</si>
  <si>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</si>
  <si>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</si>
  <si>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</si>
  <si>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</si>
  <si>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</si>
  <si>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</si>
  <si>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</si>
  <si>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</si>
  <si>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</si>
  <si>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</si>
  <si>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</si>
  <si>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</si>
  <si>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</si>
  <si>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</si>
  <si>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</si>
  <si>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</si>
  <si>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</si>
  <si>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</si>
  <si>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</si>
  <si>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</si>
  <si>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</si>
  <si>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</si>
  <si>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</si>
  <si>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</si>
  <si>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</si>
  <si>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</si>
  <si>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</si>
  <si>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</si>
  <si>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</si>
  <si>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</si>
  <si>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</si>
  <si>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</si>
  <si>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</si>
  <si>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</si>
  <si>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</si>
  <si>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</si>
  <si>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</si>
  <si>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</si>
  <si>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</si>
  <si>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</si>
  <si>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</si>
  <si>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</si>
  <si>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</si>
  <si>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</si>
  <si>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</si>
  <si>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</si>
  <si>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</si>
  <si>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</si>
  <si>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</si>
  <si>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</si>
  <si>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</si>
  <si>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</si>
  <si>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</si>
  <si>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</si>
  <si>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</si>
  <si>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</si>
  <si>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</si>
  <si>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</si>
  <si>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</si>
  <si>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</si>
  <si>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</si>
  <si>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</si>
  <si>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</si>
  <si>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</si>
  <si>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</si>
  <si>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</si>
  <si>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</si>
  <si>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</si>
  <si>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</si>
  <si>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</si>
  <si>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</si>
  <si>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</si>
  <si>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</si>
  <si>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</si>
  <si>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</si>
  <si>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</si>
  <si>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</si>
  <si>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</si>
  <si>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</si>
  <si>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</si>
  <si>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</si>
  <si>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</si>
  <si>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</si>
  <si>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</si>
  <si>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</si>
  <si>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</si>
  <si>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</si>
  <si>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</si>
  <si>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</si>
  <si>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</si>
  <si>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</si>
  <si>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</si>
  <si>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</si>
  <si>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</si>
  <si>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</si>
  <si>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</si>
  <si>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</si>
  <si>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</si>
  <si>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</si>
  <si>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</si>
  <si>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</si>
  <si>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</si>
  <si>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</si>
  <si>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</si>
  <si>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</si>
  <si>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</si>
  <si>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</si>
  <si>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</si>
  <si>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</si>
  <si>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</si>
  <si>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</si>
  <si>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</si>
  <si>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</si>
  <si>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</si>
  <si>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</si>
  <si>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</si>
  <si>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</si>
  <si>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</si>
  <si>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</si>
  <si>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</si>
  <si>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</si>
  <si>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</si>
  <si>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</si>
  <si>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</si>
  <si>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</si>
  <si>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</si>
  <si>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</si>
  <si>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</si>
  <si>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</si>
  <si>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</si>
  <si>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</si>
  <si>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</si>
  <si>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</si>
  <si>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</si>
  <si>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</si>
  <si>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</si>
  <si>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</si>
  <si>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</si>
  <si>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</si>
  <si>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</si>
  <si>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</si>
  <si>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</si>
  <si>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</si>
  <si>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</si>
  <si>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</si>
  <si>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</si>
  <si>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</si>
  <si>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</si>
  <si>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</si>
  <si>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</si>
  <si>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</si>
  <si>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</si>
  <si>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</si>
  <si>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</si>
  <si>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</si>
  <si>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</si>
  <si>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</si>
  <si>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</si>
  <si>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</si>
  <si>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</si>
  <si>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</si>
  <si>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</si>
  <si>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</si>
  <si>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</si>
  <si>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</si>
  <si>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</si>
  <si>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</si>
  <si>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</si>
  <si>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</si>
  <si>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</si>
  <si>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</si>
  <si>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</si>
  <si>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</si>
  <si>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</si>
  <si>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</si>
  <si>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</si>
  <si>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</si>
  <si>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</si>
  <si>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</si>
  <si>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</si>
  <si>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</si>
  <si>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</si>
  <si>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</si>
  <si>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</si>
  <si>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</si>
  <si>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</si>
  <si>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</si>
  <si>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</si>
  <si>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</si>
  <si>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</si>
  <si>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</si>
  <si>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</si>
  <si>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</si>
  <si>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</si>
  <si>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</si>
  <si>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</si>
  <si>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</si>
  <si>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</si>
  <si>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</si>
  <si>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</si>
  <si>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</si>
  <si>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</si>
  <si>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</si>
  <si>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</si>
  <si>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</si>
  <si>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</si>
  <si>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</si>
  <si>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</si>
  <si>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</si>
  <si>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</si>
  <si>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</si>
  <si>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</si>
  <si>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</si>
  <si>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</si>
  <si>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</si>
  <si>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</si>
  <si>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</si>
  <si>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</si>
  <si>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</si>
  <si>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</si>
  <si>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</si>
  <si>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</si>
  <si>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</si>
  <si>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</si>
  <si>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</si>
  <si>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</si>
  <si>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</si>
  <si>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</si>
  <si>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</si>
  <si>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</si>
  <si>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</si>
  <si>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</si>
  <si>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</si>
  <si>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</si>
  <si>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</si>
  <si>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</si>
  <si>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</si>
  <si>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</si>
  <si>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</si>
  <si>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</si>
  <si>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</si>
  <si>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</si>
  <si>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</si>
  <si>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</si>
  <si>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</si>
  <si>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</si>
  <si>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</si>
  <si>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</si>
  <si>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</si>
  <si>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</si>
  <si>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</si>
  <si>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</si>
  <si>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</si>
  <si>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</si>
  <si>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</si>
  <si>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</si>
  <si>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</si>
  <si>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</si>
  <si>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</si>
  <si>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</si>
  <si>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</si>
  <si>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</si>
  <si>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</si>
  <si>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</si>
  <si>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</si>
  <si>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</si>
  <si>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</si>
  <si>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</si>
  <si>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</si>
  <si>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</si>
  <si>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</si>
  <si>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</si>
  <si>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</si>
  <si>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</si>
  <si>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</si>
  <si>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</si>
  <si>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</si>
  <si>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</si>
  <si>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</si>
  <si>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</si>
  <si>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</si>
  <si>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</si>
  <si>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</si>
  <si>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</si>
  <si>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</si>
  <si>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</si>
  <si>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</si>
  <si>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</si>
  <si>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</si>
  <si>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</si>
  <si>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</si>
  <si>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</si>
  <si>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</si>
  <si>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</si>
  <si>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</si>
  <si>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</si>
  <si>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</si>
  <si>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</si>
  <si>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</si>
  <si>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</si>
  <si>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</si>
  <si>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</si>
  <si>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</si>
  <si>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</si>
  <si>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</si>
  <si>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</si>
  <si>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</si>
  <si>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</si>
  <si>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</si>
  <si>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</si>
  <si>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</si>
  <si>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</si>
  <si>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</si>
  <si>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</si>
  <si>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</si>
  <si>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</si>
  <si>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</si>
  <si>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</si>
  <si>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</si>
  <si>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</si>
  <si>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</si>
  <si>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</si>
  <si>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</si>
  <si>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</si>
  <si>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</si>
  <si>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</si>
  <si>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</si>
  <si>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</si>
  <si>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</si>
  <si>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</si>
  <si>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</si>
  <si>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</si>
  <si>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</si>
  <si>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</si>
  <si>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</si>
  <si>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</si>
  <si>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</si>
  <si>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</si>
  <si>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</si>
  <si>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</si>
  <si>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</si>
  <si>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</si>
  <si>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</si>
  <si>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</si>
  <si>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</si>
  <si>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</si>
  <si>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</si>
  <si>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</si>
  <si>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</si>
  <si>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</si>
  <si>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</si>
  <si>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</si>
  <si>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</si>
  <si>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</si>
  <si>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</si>
  <si>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</si>
  <si>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</si>
  <si>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</si>
  <si>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</si>
  <si>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</si>
  <si>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</si>
  <si>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</si>
  <si>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</si>
  <si>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</si>
  <si>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</si>
  <si>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</si>
  <si>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</si>
  <si>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</si>
  <si>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</si>
  <si>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</si>
  <si>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</si>
  <si>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</si>
  <si>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</si>
  <si>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</si>
  <si>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</si>
  <si>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</si>
  <si>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</si>
  <si>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</si>
  <si>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</si>
  <si>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</si>
  <si>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</si>
  <si>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</si>
  <si>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</si>
  <si>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</si>
  <si>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</si>
  <si>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</si>
  <si>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</si>
  <si>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</si>
  <si>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</si>
  <si>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</si>
  <si>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</si>
  <si>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</si>
  <si>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</si>
  <si>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</si>
  <si>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</si>
  <si>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</si>
  <si>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</si>
  <si>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</si>
  <si>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</si>
  <si>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</si>
  <si>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</si>
  <si>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</si>
  <si>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</si>
  <si>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</si>
  <si>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</si>
  <si>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</si>
  <si>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</si>
  <si>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</si>
  <si>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</si>
  <si>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</si>
  <si>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</si>
  <si>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</si>
  <si>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</si>
  <si>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</si>
  <si>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</si>
  <si>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</si>
  <si>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</si>
  <si>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</si>
  <si>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</si>
  <si>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</si>
  <si>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</si>
  <si>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</si>
  <si>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</si>
  <si>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</si>
  <si>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</si>
  <si>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</si>
  <si>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</si>
  <si>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</si>
  <si>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</si>
  <si>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</si>
  <si>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</si>
  <si>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</si>
  <si>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</si>
  <si>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</si>
  <si>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</si>
  <si>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</si>
  <si>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</si>
  <si>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</si>
  <si>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</si>
  <si>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</si>
  <si>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</si>
  <si>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</si>
  <si>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</si>
  <si>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</si>
  <si>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</si>
  <si>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</si>
  <si>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</si>
  <si>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</si>
  <si>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</si>
  <si>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</si>
  <si>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</si>
  <si>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</si>
  <si>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</si>
  <si>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</si>
  <si>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</si>
  <si>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</si>
  <si>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</si>
  <si>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</si>
  <si>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</si>
  <si>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</si>
  <si>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</si>
  <si>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</si>
  <si>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</si>
  <si>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</si>
  <si>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</si>
  <si>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</si>
  <si>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</si>
  <si>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</si>
  <si>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</si>
  <si>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</si>
  <si>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</si>
  <si>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</si>
  <si>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</si>
  <si>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</si>
  <si>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</si>
  <si>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</si>
  <si>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</si>
  <si>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</si>
  <si>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</si>
  <si>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</si>
  <si>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</si>
  <si>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</si>
  <si>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</si>
  <si>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</si>
  <si>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</si>
  <si>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</si>
  <si>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</si>
  <si>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</si>
  <si>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</si>
  <si>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</si>
  <si>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</si>
  <si>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</si>
  <si>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</si>
  <si>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</si>
  <si>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</si>
  <si>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</si>
  <si>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</si>
  <si>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</si>
  <si>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</si>
  <si>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</si>
  <si>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</si>
  <si>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</si>
  <si>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</si>
  <si>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</si>
  <si>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</si>
  <si>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</si>
  <si>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</si>
  <si>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</si>
  <si>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</si>
  <si>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</si>
  <si>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</si>
  <si>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</si>
  <si>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</si>
  <si>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</si>
  <si>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</si>
  <si>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</si>
  <si>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</si>
  <si>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</si>
  <si>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</si>
  <si>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</si>
  <si>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</si>
  <si>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</si>
  <si>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</si>
  <si>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</si>
  <si>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</si>
  <si>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</si>
  <si>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</si>
  <si>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</si>
  <si>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</si>
  <si>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</si>
  <si>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</si>
  <si>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</si>
  <si>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</si>
  <si>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</si>
  <si>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</si>
  <si>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</si>
  <si>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</si>
  <si>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</si>
  <si>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</si>
  <si>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</si>
  <si>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</si>
  <si>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</si>
  <si>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</si>
  <si>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</si>
  <si>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</si>
  <si>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</si>
  <si>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</si>
  <si>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</si>
  <si>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</si>
  <si>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</si>
  <si>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</si>
  <si>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</si>
  <si>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</si>
  <si>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</si>
  <si>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</si>
  <si>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</si>
  <si>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</si>
  <si>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</si>
  <si>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</si>
  <si>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</si>
  <si>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</si>
  <si>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</si>
  <si>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</si>
  <si>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</si>
  <si>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</si>
  <si>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</si>
  <si>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</si>
  <si>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</si>
  <si>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</si>
  <si>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</si>
  <si>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</si>
  <si>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</si>
  <si>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</si>
  <si>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</si>
  <si>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</si>
  <si>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</si>
  <si>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</si>
  <si>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</si>
  <si>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</si>
  <si>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</si>
  <si>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</si>
  <si>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</si>
  <si>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</si>
  <si>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</si>
  <si>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</si>
  <si>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</si>
  <si>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</si>
  <si>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</si>
  <si>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</si>
  <si>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</si>
  <si>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</si>
  <si>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</si>
  <si>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</si>
  <si>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</si>
  <si>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</si>
  <si>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</si>
  <si>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</si>
  <si>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</si>
  <si>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</si>
  <si>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</si>
  <si>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</si>
  <si>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</si>
  <si>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</si>
  <si>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</si>
  <si>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</si>
  <si>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</si>
  <si>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</si>
  <si>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</si>
  <si>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</si>
  <si>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</si>
  <si>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</si>
  <si>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</si>
  <si>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</si>
  <si>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</si>
  <si>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</si>
  <si>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</si>
  <si>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</si>
  <si>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</si>
  <si>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</si>
  <si>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</si>
  <si>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</si>
  <si>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</si>
  <si>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</si>
  <si>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</si>
  <si>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</si>
  <si>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</si>
  <si>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</si>
  <si>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</si>
  <si>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</si>
  <si>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</si>
  <si>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</si>
  <si>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</si>
  <si>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</si>
  <si>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</si>
  <si>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</si>
  <si>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</si>
  <si>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</si>
  <si>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</si>
  <si>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</si>
  <si>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</si>
  <si>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</si>
  <si>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</si>
  <si>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</si>
  <si>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</si>
  <si>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</si>
  <si>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</si>
  <si>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</si>
  <si>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</si>
  <si>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</si>
  <si>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</si>
  <si>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</si>
  <si>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</si>
  <si>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</si>
  <si>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</si>
  <si>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</si>
  <si>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</si>
  <si>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</si>
  <si>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</si>
  <si>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</si>
  <si>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</si>
  <si>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</si>
  <si>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</si>
  <si>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</si>
  <si>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</si>
  <si>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</si>
  <si>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</si>
  <si>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</si>
  <si>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</si>
  <si>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</si>
  <si>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</si>
  <si>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</si>
  <si>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</si>
  <si>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</si>
  <si>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</si>
  <si>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</si>
  <si>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</si>
  <si>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</si>
  <si>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</si>
  <si>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</si>
  <si>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</si>
  <si>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</si>
  <si>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</si>
  <si>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</si>
  <si>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</si>
  <si>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</si>
  <si>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</si>
  <si>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</si>
  <si>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</si>
  <si>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</si>
  <si>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</si>
  <si>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</si>
  <si>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</si>
  <si>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</si>
  <si>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</si>
  <si>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</si>
  <si>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</si>
  <si>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</si>
  <si>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</si>
  <si>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</si>
  <si>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</si>
  <si>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</si>
  <si>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</si>
  <si>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</si>
  <si>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</si>
  <si>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</si>
  <si>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</si>
  <si>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</si>
  <si>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</si>
  <si>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</si>
  <si>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</si>
  <si>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</si>
  <si>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</si>
  <si>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</si>
  <si>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</si>
  <si>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</si>
  <si>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</si>
  <si>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</si>
  <si>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</si>
  <si>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</si>
  <si>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</si>
  <si>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</si>
  <si>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</si>
  <si>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</si>
  <si>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</si>
  <si>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</si>
  <si>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</si>
  <si>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</si>
  <si>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</si>
  <si>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</si>
  <si>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</si>
  <si>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</si>
  <si>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</si>
  <si>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</si>
  <si>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</si>
  <si>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</si>
  <si>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</si>
  <si>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</si>
  <si>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</si>
  <si>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</si>
  <si>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</si>
  <si>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</si>
  <si>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</si>
  <si>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</si>
  <si>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</si>
  <si>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</si>
  <si>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</si>
  <si>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</si>
  <si>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</si>
  <si>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</si>
  <si>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</si>
  <si>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</si>
  <si>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</si>
  <si>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</si>
  <si>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</si>
  <si>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</si>
  <si>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</si>
  <si>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</si>
  <si>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</si>
  <si>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</si>
  <si>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</si>
  <si>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</si>
  <si>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</si>
  <si>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</si>
  <si>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</si>
  <si>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</si>
  <si>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</si>
  <si>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</si>
  <si>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</si>
  <si>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</si>
  <si>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</si>
  <si>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</si>
  <si>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</si>
  <si>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</si>
  <si>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</si>
  <si>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</si>
  <si>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</si>
  <si>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</si>
  <si>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</si>
  <si>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</si>
  <si>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</si>
  <si>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</si>
  <si>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</si>
  <si>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</si>
  <si>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</si>
  <si>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</si>
  <si>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</si>
  <si>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</si>
  <si>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</si>
  <si>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</si>
  <si>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</si>
  <si>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</si>
  <si>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</si>
  <si>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</si>
  <si>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</si>
  <si>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</si>
  <si>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</si>
  <si>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</si>
  <si>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</si>
  <si>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</si>
  <si>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</si>
  <si>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</si>
  <si>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</si>
  <si>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</si>
  <si>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</si>
  <si>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</si>
  <si>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</si>
  <si>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</si>
  <si>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</si>
  <si>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</si>
  <si>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</si>
  <si>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</si>
  <si>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</si>
  <si>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</si>
  <si>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</si>
  <si>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</si>
  <si>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</si>
  <si>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</si>
  <si>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</si>
  <si>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</si>
  <si>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</si>
  <si>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</si>
  <si>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</si>
  <si>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</si>
  <si>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</si>
  <si>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</si>
  <si>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</si>
  <si>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</si>
  <si>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</si>
  <si>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</si>
  <si>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</si>
  <si>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</si>
  <si>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</si>
  <si>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</si>
  <si>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</si>
  <si>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</si>
  <si>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</si>
  <si>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</si>
  <si>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</si>
  <si>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23102</t>
  </si>
  <si>
    <t>WEMMEL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</si>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</sst>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AE82237-7FF6-486C-9CBE-59A38C209A1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135206.77522642308</c:v>
                </c:pt>
                <c:pt idx="1">
                  <c:v>50079.035029153376</c:v>
                </c:pt>
                <c:pt idx="2">
                  <c:v>1384.9449999999999</c:v>
                </c:pt>
                <c:pt idx="3">
                  <c:v>881.79413115037892</c:v>
                </c:pt>
                <c:pt idx="4">
                  <c:v>3632.9580254903949</c:v>
                </c:pt>
                <c:pt idx="5">
                  <c:v>171174.29347425693</c:v>
                </c:pt>
                <c:pt idx="6">
                  <c:v>1681.0907184287626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135206.77522642308</c:v>
                </c:pt>
                <c:pt idx="1">
                  <c:v>50079.035029153376</c:v>
                </c:pt>
                <c:pt idx="2">
                  <c:v>1384.9449999999999</c:v>
                </c:pt>
                <c:pt idx="3">
                  <c:v>881.79413115037892</c:v>
                </c:pt>
                <c:pt idx="4">
                  <c:v>3632.9580254903949</c:v>
                </c:pt>
                <c:pt idx="5">
                  <c:v>171174.29347425693</c:v>
                </c:pt>
                <c:pt idx="6">
                  <c:v>1681.0907184287626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27470.447751248044</c:v>
                </c:pt>
                <c:pt idx="1">
                  <c:v>10362.096093637565</c:v>
                </c:pt>
                <c:pt idx="2">
                  <c:v>300.61602294451347</c:v>
                </c:pt>
                <c:pt idx="3">
                  <c:v>221.4027633921406</c:v>
                </c:pt>
                <c:pt idx="4">
                  <c:v>765.47534810546097</c:v>
                </c:pt>
                <c:pt idx="5">
                  <c:v>42575.424623509542</c:v>
                </c:pt>
                <c:pt idx="6">
                  <c:v>424.04929624654568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27470.447751248044</c:v>
                </c:pt>
                <c:pt idx="1">
                  <c:v>10362.096093637565</c:v>
                </c:pt>
                <c:pt idx="2">
                  <c:v>300.61602294451347</c:v>
                </c:pt>
                <c:pt idx="3">
                  <c:v>221.4027633921406</c:v>
                </c:pt>
                <c:pt idx="4">
                  <c:v>765.47534810546097</c:v>
                </c:pt>
                <c:pt idx="5">
                  <c:v>42575.424623509542</c:v>
                </c:pt>
                <c:pt idx="6">
                  <c:v>424.04929624654568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23102</v>
      </c>
      <c r="B6" s="382"/>
      <c r="C6" s="383"/>
    </row>
    <row r="7" spans="1:7" s="380" customFormat="1" ht="15.75" customHeight="1">
      <c r="A7" s="384" t="str">
        <f>txtMunicipality</f>
        <v>WEMMEL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0.2170598998115546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0.2170598998115546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6531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228.62</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19</v>
      </c>
      <c r="C17" s="324"/>
      <c r="D17" s="324"/>
      <c r="E17" s="324"/>
      <c r="F17" s="324"/>
    </row>
    <row r="18" spans="1:6">
      <c r="A18" s="1257" t="s">
        <v>8</v>
      </c>
      <c r="B18" s="1258">
        <v>13</v>
      </c>
      <c r="C18" s="324"/>
      <c r="D18" s="324"/>
      <c r="E18" s="324"/>
      <c r="F18" s="324"/>
    </row>
    <row r="19" spans="1:6">
      <c r="A19" s="1257" t="s">
        <v>9</v>
      </c>
      <c r="B19" s="1258">
        <v>12</v>
      </c>
      <c r="C19" s="324"/>
      <c r="D19" s="324"/>
      <c r="E19" s="324"/>
      <c r="F19" s="324"/>
    </row>
    <row r="20" spans="1:6">
      <c r="A20" s="1257" t="s">
        <v>10</v>
      </c>
      <c r="B20" s="1258">
        <v>18</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5</v>
      </c>
      <c r="C28" s="324"/>
      <c r="D28" s="324"/>
      <c r="E28" s="324"/>
      <c r="F28" s="324"/>
    </row>
    <row r="29" spans="1:6">
      <c r="A29" s="1257" t="s">
        <v>664</v>
      </c>
      <c r="B29" s="1259">
        <v>136</v>
      </c>
      <c r="C29" s="324"/>
      <c r="D29" s="324"/>
      <c r="E29" s="324"/>
      <c r="F29" s="324"/>
    </row>
    <row r="30" spans="1:6">
      <c r="A30" s="1252" t="s">
        <v>665</v>
      </c>
      <c r="B30" s="1260">
        <v>37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5671</v>
      </c>
    </row>
    <row r="39" spans="1:6">
      <c r="A39" s="1257" t="s">
        <v>29</v>
      </c>
      <c r="B39" s="1257" t="s">
        <v>30</v>
      </c>
      <c r="C39" s="1258">
        <v>5165</v>
      </c>
      <c r="D39" s="1258">
        <v>89371347.400000006</v>
      </c>
      <c r="E39" s="1258">
        <v>6492</v>
      </c>
      <c r="F39" s="1258">
        <v>22866079.210000001</v>
      </c>
    </row>
    <row r="40" spans="1:6">
      <c r="A40" s="1257" t="s">
        <v>29</v>
      </c>
      <c r="B40" s="1257" t="s">
        <v>28</v>
      </c>
      <c r="C40" s="1258">
        <v>0</v>
      </c>
      <c r="D40" s="1258">
        <v>0</v>
      </c>
      <c r="E40" s="1258">
        <v>0</v>
      </c>
      <c r="F40" s="1258">
        <v>0</v>
      </c>
    </row>
    <row r="41" spans="1:6">
      <c r="A41" s="1257" t="s">
        <v>31</v>
      </c>
      <c r="B41" s="1257" t="s">
        <v>32</v>
      </c>
      <c r="C41" s="1258">
        <v>50</v>
      </c>
      <c r="D41" s="1258">
        <v>1251425.328</v>
      </c>
      <c r="E41" s="1258">
        <v>81</v>
      </c>
      <c r="F41" s="1258">
        <v>436141.24599999998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4</v>
      </c>
      <c r="F44" s="1258">
        <v>51058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15659.423000000001</v>
      </c>
    </row>
    <row r="48" spans="1:6">
      <c r="A48" s="1257" t="s">
        <v>31</v>
      </c>
      <c r="B48" s="1257" t="s">
        <v>28</v>
      </c>
      <c r="C48" s="1258">
        <v>21</v>
      </c>
      <c r="D48" s="1258">
        <v>443838.96500000003</v>
      </c>
      <c r="E48" s="1258">
        <v>24</v>
      </c>
      <c r="F48" s="1258">
        <v>236578.198</v>
      </c>
    </row>
    <row r="49" spans="1:6">
      <c r="A49" s="1257" t="s">
        <v>31</v>
      </c>
      <c r="B49" s="1257" t="s">
        <v>39</v>
      </c>
      <c r="C49" s="1258">
        <v>0</v>
      </c>
      <c r="D49" s="1258">
        <v>0</v>
      </c>
      <c r="E49" s="1258">
        <v>0</v>
      </c>
      <c r="F49" s="1258">
        <v>0</v>
      </c>
    </row>
    <row r="50" spans="1:6">
      <c r="A50" s="1257" t="s">
        <v>31</v>
      </c>
      <c r="B50" s="1257" t="s">
        <v>40</v>
      </c>
      <c r="C50" s="1258">
        <v>7</v>
      </c>
      <c r="D50" s="1258">
        <v>295991.674</v>
      </c>
      <c r="E50" s="1258">
        <v>7</v>
      </c>
      <c r="F50" s="1258">
        <v>648023.31900000002</v>
      </c>
    </row>
    <row r="51" spans="1:6">
      <c r="A51" s="1257" t="s">
        <v>41</v>
      </c>
      <c r="B51" s="1257" t="s">
        <v>42</v>
      </c>
      <c r="C51" s="1258">
        <v>0</v>
      </c>
      <c r="D51" s="1258">
        <v>0</v>
      </c>
      <c r="E51" s="1258">
        <v>6</v>
      </c>
      <c r="F51" s="1258">
        <v>31890.959999999999</v>
      </c>
    </row>
    <row r="52" spans="1:6">
      <c r="A52" s="1257" t="s">
        <v>41</v>
      </c>
      <c r="B52" s="1257" t="s">
        <v>28</v>
      </c>
      <c r="C52" s="1258">
        <v>5</v>
      </c>
      <c r="D52" s="1258">
        <v>170874.61</v>
      </c>
      <c r="E52" s="1258">
        <v>5</v>
      </c>
      <c r="F52" s="1258">
        <v>117769.818</v>
      </c>
    </row>
    <row r="53" spans="1:6">
      <c r="A53" s="1257" t="s">
        <v>43</v>
      </c>
      <c r="B53" s="1257" t="s">
        <v>44</v>
      </c>
      <c r="C53" s="1258">
        <v>213</v>
      </c>
      <c r="D53" s="1258">
        <v>4078537.281</v>
      </c>
      <c r="E53" s="1258">
        <v>444</v>
      </c>
      <c r="F53" s="1258">
        <v>1304162.4890000001</v>
      </c>
    </row>
    <row r="54" spans="1:6">
      <c r="A54" s="1257" t="s">
        <v>45</v>
      </c>
      <c r="B54" s="1257" t="s">
        <v>46</v>
      </c>
      <c r="C54" s="1258">
        <v>0</v>
      </c>
      <c r="D54" s="1258">
        <v>0</v>
      </c>
      <c r="E54" s="1258">
        <v>1</v>
      </c>
      <c r="F54" s="1258">
        <v>1384945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58</v>
      </c>
      <c r="D57" s="1258">
        <v>3315805.952</v>
      </c>
      <c r="E57" s="1258">
        <v>124</v>
      </c>
      <c r="F57" s="1258">
        <v>3343862.8289999999</v>
      </c>
    </row>
    <row r="58" spans="1:6">
      <c r="A58" s="1257" t="s">
        <v>48</v>
      </c>
      <c r="B58" s="1257" t="s">
        <v>50</v>
      </c>
      <c r="C58" s="1258">
        <v>41</v>
      </c>
      <c r="D58" s="1258">
        <v>2424050.7319999998</v>
      </c>
      <c r="E58" s="1258">
        <v>57</v>
      </c>
      <c r="F58" s="1258">
        <v>1059924.585</v>
      </c>
    </row>
    <row r="59" spans="1:6">
      <c r="A59" s="1257" t="s">
        <v>48</v>
      </c>
      <c r="B59" s="1257" t="s">
        <v>51</v>
      </c>
      <c r="C59" s="1258">
        <v>64</v>
      </c>
      <c r="D59" s="1258">
        <v>2420580.9389999998</v>
      </c>
      <c r="E59" s="1258">
        <v>166</v>
      </c>
      <c r="F59" s="1258">
        <v>5622883.5779999997</v>
      </c>
    </row>
    <row r="60" spans="1:6">
      <c r="A60" s="1257" t="s">
        <v>48</v>
      </c>
      <c r="B60" s="1257" t="s">
        <v>52</v>
      </c>
      <c r="C60" s="1258">
        <v>65</v>
      </c>
      <c r="D60" s="1258">
        <v>4099697.4819999998</v>
      </c>
      <c r="E60" s="1258">
        <v>72</v>
      </c>
      <c r="F60" s="1258">
        <v>1892612.8149999999</v>
      </c>
    </row>
    <row r="61" spans="1:6">
      <c r="A61" s="1257" t="s">
        <v>48</v>
      </c>
      <c r="B61" s="1257" t="s">
        <v>53</v>
      </c>
      <c r="C61" s="1258">
        <v>191</v>
      </c>
      <c r="D61" s="1258">
        <v>7270470.3399999999</v>
      </c>
      <c r="E61" s="1258">
        <v>379</v>
      </c>
      <c r="F61" s="1258">
        <v>4344142.165</v>
      </c>
    </row>
    <row r="62" spans="1:6">
      <c r="A62" s="1257" t="s">
        <v>48</v>
      </c>
      <c r="B62" s="1257" t="s">
        <v>54</v>
      </c>
      <c r="C62" s="1258">
        <v>9</v>
      </c>
      <c r="D62" s="1258">
        <v>3701684.5159999998</v>
      </c>
      <c r="E62" s="1258">
        <v>10</v>
      </c>
      <c r="F62" s="1258">
        <v>97726.023000000001</v>
      </c>
    </row>
    <row r="63" spans="1:6">
      <c r="A63" s="1257" t="s">
        <v>48</v>
      </c>
      <c r="B63" s="1257" t="s">
        <v>28</v>
      </c>
      <c r="C63" s="1258">
        <v>89</v>
      </c>
      <c r="D63" s="1258">
        <v>4805399.5650000004</v>
      </c>
      <c r="E63" s="1258">
        <v>76</v>
      </c>
      <c r="F63" s="1258">
        <v>2359850.162</v>
      </c>
    </row>
    <row r="64" spans="1:6">
      <c r="A64" s="1257" t="s">
        <v>55</v>
      </c>
      <c r="B64" s="1257" t="s">
        <v>56</v>
      </c>
      <c r="C64" s="1258">
        <v>0</v>
      </c>
      <c r="D64" s="1258">
        <v>0</v>
      </c>
      <c r="E64" s="1258">
        <v>0</v>
      </c>
      <c r="F64" s="1258">
        <v>0</v>
      </c>
    </row>
    <row r="65" spans="1:6">
      <c r="A65" s="1257" t="s">
        <v>55</v>
      </c>
      <c r="B65" s="1257" t="s">
        <v>28</v>
      </c>
      <c r="C65" s="1258">
        <v>7</v>
      </c>
      <c r="D65" s="1258">
        <v>135588.44</v>
      </c>
      <c r="E65" s="1258">
        <v>5</v>
      </c>
      <c r="F65" s="1258">
        <v>27098.36</v>
      </c>
    </row>
    <row r="66" spans="1:6">
      <c r="A66" s="1257" t="s">
        <v>55</v>
      </c>
      <c r="B66" s="1257" t="s">
        <v>57</v>
      </c>
      <c r="C66" s="1258">
        <v>0</v>
      </c>
      <c r="D66" s="1258">
        <v>0</v>
      </c>
      <c r="E66" s="1258">
        <v>3</v>
      </c>
      <c r="F66" s="1258">
        <v>321505</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10296.258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44207982</v>
      </c>
      <c r="E73" s="442"/>
      <c r="F73" s="324"/>
    </row>
    <row r="74" spans="1:6">
      <c r="A74" s="1257" t="s">
        <v>63</v>
      </c>
      <c r="B74" s="1257" t="s">
        <v>608</v>
      </c>
      <c r="C74" s="1270" t="s">
        <v>610</v>
      </c>
      <c r="D74" s="1258">
        <v>1002671.5</v>
      </c>
      <c r="E74" s="442"/>
      <c r="F74" s="324"/>
    </row>
    <row r="75" spans="1:6">
      <c r="A75" s="1257" t="s">
        <v>64</v>
      </c>
      <c r="B75" s="1257" t="s">
        <v>607</v>
      </c>
      <c r="C75" s="1270" t="s">
        <v>611</v>
      </c>
      <c r="D75" s="1258">
        <v>13365437</v>
      </c>
      <c r="E75" s="442"/>
      <c r="F75" s="324"/>
    </row>
    <row r="76" spans="1:6">
      <c r="A76" s="1257" t="s">
        <v>64</v>
      </c>
      <c r="B76" s="1257" t="s">
        <v>608</v>
      </c>
      <c r="C76" s="1270" t="s">
        <v>612</v>
      </c>
      <c r="D76" s="1258">
        <v>132343.5</v>
      </c>
      <c r="E76" s="442"/>
      <c r="F76" s="324"/>
    </row>
    <row r="77" spans="1:6">
      <c r="A77" s="1257" t="s">
        <v>65</v>
      </c>
      <c r="B77" s="1257" t="s">
        <v>607</v>
      </c>
      <c r="C77" s="1270" t="s">
        <v>613</v>
      </c>
      <c r="D77" s="1258">
        <v>131161262</v>
      </c>
      <c r="E77" s="442"/>
      <c r="F77" s="324"/>
    </row>
    <row r="78" spans="1:6">
      <c r="A78" s="1252" t="s">
        <v>65</v>
      </c>
      <c r="B78" s="1252" t="s">
        <v>608</v>
      </c>
      <c r="C78" s="1252" t="s">
        <v>614</v>
      </c>
      <c r="D78" s="1260">
        <v>15503405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460653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815.47635890448953</v>
      </c>
      <c r="C91" s="324"/>
      <c r="D91" s="324"/>
      <c r="E91" s="324"/>
      <c r="F91" s="324"/>
    </row>
    <row r="92" spans="1:6">
      <c r="A92" s="1252" t="s">
        <v>68</v>
      </c>
      <c r="B92" s="1253">
        <v>19.861446282350339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3562</v>
      </c>
      <c r="C97" s="324"/>
      <c r="D97" s="324"/>
      <c r="E97" s="324"/>
      <c r="F97" s="324"/>
    </row>
    <row r="98" spans="1:6">
      <c r="A98" s="1257" t="s">
        <v>71</v>
      </c>
      <c r="B98" s="1258">
        <v>0</v>
      </c>
      <c r="C98" s="324"/>
      <c r="D98" s="324"/>
      <c r="E98" s="324"/>
      <c r="F98" s="324"/>
    </row>
    <row r="99" spans="1:6">
      <c r="A99" s="1257" t="s">
        <v>72</v>
      </c>
      <c r="B99" s="1258">
        <v>15</v>
      </c>
      <c r="C99" s="324"/>
      <c r="D99" s="324"/>
      <c r="E99" s="324"/>
      <c r="F99" s="324"/>
    </row>
    <row r="100" spans="1:6">
      <c r="A100" s="1257" t="s">
        <v>73</v>
      </c>
      <c r="B100" s="1258">
        <v>277</v>
      </c>
      <c r="C100" s="324"/>
      <c r="D100" s="324"/>
      <c r="E100" s="324"/>
      <c r="F100" s="324"/>
    </row>
    <row r="101" spans="1:6">
      <c r="A101" s="1257" t="s">
        <v>74</v>
      </c>
      <c r="B101" s="1258">
        <v>7</v>
      </c>
      <c r="C101" s="324"/>
      <c r="D101" s="324"/>
      <c r="E101" s="324"/>
      <c r="F101" s="324"/>
    </row>
    <row r="102" spans="1:6">
      <c r="A102" s="1257" t="s">
        <v>75</v>
      </c>
      <c r="B102" s="1258">
        <v>118</v>
      </c>
      <c r="C102" s="324"/>
      <c r="D102" s="324"/>
      <c r="E102" s="324"/>
      <c r="F102" s="324"/>
    </row>
    <row r="103" spans="1:6">
      <c r="A103" s="1257" t="s">
        <v>76</v>
      </c>
      <c r="B103" s="1258">
        <v>26</v>
      </c>
      <c r="C103" s="324"/>
      <c r="D103" s="324"/>
      <c r="E103" s="324"/>
      <c r="F103" s="324"/>
    </row>
    <row r="104" spans="1:6">
      <c r="A104" s="1257" t="s">
        <v>77</v>
      </c>
      <c r="B104" s="1258">
        <v>1689</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11</v>
      </c>
      <c r="C123" s="1258">
        <v>13</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29</v>
      </c>
      <c r="C129" s="324"/>
      <c r="D129" s="324"/>
      <c r="E129" s="324"/>
      <c r="F129" s="324"/>
    </row>
    <row r="130" spans="1:6">
      <c r="A130" s="1257" t="s">
        <v>283</v>
      </c>
      <c r="B130" s="1258">
        <v>0</v>
      </c>
      <c r="C130" s="324"/>
      <c r="D130" s="324"/>
      <c r="E130" s="324"/>
      <c r="F130" s="324"/>
    </row>
    <row r="131" spans="1:6">
      <c r="A131" s="1257" t="s">
        <v>284</v>
      </c>
      <c r="B131" s="1258">
        <v>4</v>
      </c>
      <c r="C131" s="324"/>
      <c r="D131" s="324"/>
      <c r="E131" s="324"/>
      <c r="F131" s="324"/>
    </row>
    <row r="132" spans="1:6">
      <c r="A132" s="1252" t="s">
        <v>285</v>
      </c>
      <c r="B132" s="1253">
        <v>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46854.050942073096</v>
      </c>
      <c r="C3" s="43" t="s">
        <v>163</v>
      </c>
      <c r="D3" s="43"/>
      <c r="E3" s="153"/>
      <c r="F3" s="43"/>
      <c r="G3" s="43"/>
      <c r="H3" s="43"/>
      <c r="I3" s="43"/>
      <c r="J3" s="43"/>
      <c r="K3" s="96"/>
    </row>
    <row r="4" spans="1:11">
      <c r="A4" s="350" t="s">
        <v>164</v>
      </c>
      <c r="B4" s="49">
        <f>IF(ISERROR('SEAP template'!B78+'SEAP template'!C78),0,'SEAP template'!B78+'SEAP template'!C78)</f>
        <v>835.33780518683989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0.2170598998115546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1384.9449999999999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1384.9449999999999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0.2170598998115546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300.61602294451347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22866.07921</v>
      </c>
      <c r="C5" s="17">
        <f>IF(ISERROR('Eigen informatie GS &amp; warmtenet'!B59),0,'Eigen informatie GS &amp; warmtenet'!B59)</f>
        <v>0</v>
      </c>
      <c r="D5" s="30">
        <f>(SUM(HH_hh_gas_kWh,HH_rest_gas_kWh)/1000)*0.902</f>
        <v>80612.955354799997</v>
      </c>
      <c r="E5" s="17">
        <f>B32*B41</f>
        <v>1119.6697021532677</v>
      </c>
      <c r="F5" s="17">
        <f>B36*B45</f>
        <v>21547.257550469225</v>
      </c>
      <c r="G5" s="18"/>
      <c r="H5" s="17"/>
      <c r="I5" s="17"/>
      <c r="J5" s="17">
        <f>B35*B44+C35*C44</f>
        <v>110.25961029999276</v>
      </c>
      <c r="K5" s="17"/>
      <c r="L5" s="17"/>
      <c r="M5" s="17"/>
      <c r="N5" s="17">
        <f>B34*B43+C34*C43</f>
        <v>7851.6059677358298</v>
      </c>
      <c r="O5" s="17">
        <f>B52*B53*B54</f>
        <v>83.326245214255337</v>
      </c>
      <c r="P5" s="17">
        <f>B60*B61*B62/1000-B60*B61*B62/1000/B63</f>
        <v>200.14522684601545</v>
      </c>
    </row>
    <row r="6" spans="1:16">
      <c r="A6" s="16" t="s">
        <v>573</v>
      </c>
      <c r="B6" s="738">
        <f>kWh_PV_kleiner_dan_10kW</f>
        <v>815.47635890448953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23681.555568904489</v>
      </c>
      <c r="C8" s="21">
        <f>C5</f>
        <v>0</v>
      </c>
      <c r="D8" s="21">
        <f>D5</f>
        <v>80612.955354799997</v>
      </c>
      <c r="E8" s="21">
        <f>E5</f>
        <v>1119.6697021532677</v>
      </c>
      <c r="F8" s="21">
        <f>F5</f>
        <v>21547.257550469225</v>
      </c>
      <c r="G8" s="21"/>
      <c r="H8" s="21"/>
      <c r="I8" s="21"/>
      <c r="J8" s="21">
        <f>J5</f>
        <v>110.25961029999276</v>
      </c>
      <c r="K8" s="21"/>
      <c r="L8" s="21">
        <f>L5</f>
        <v>0</v>
      </c>
      <c r="M8" s="21">
        <f>M5</f>
        <v>0</v>
      </c>
      <c r="N8" s="21">
        <f>N5</f>
        <v>7851.6059677358298</v>
      </c>
      <c r="O8" s="21">
        <f>O5</f>
        <v>83.326245214255337</v>
      </c>
      <c r="P8" s="21">
        <f>P5</f>
        <v>200.14522684601545</v>
      </c>
    </row>
    <row r="9" spans="1:16">
      <c r="B9" s="19"/>
      <c r="C9" s="19"/>
      <c r="D9" s="255"/>
      <c r="E9" s="19"/>
      <c r="F9" s="19"/>
      <c r="G9" s="19"/>
      <c r="H9" s="19"/>
      <c r="I9" s="19"/>
      <c r="J9" s="19"/>
      <c r="K9" s="19"/>
      <c r="L9" s="19"/>
      <c r="M9" s="19"/>
      <c r="N9" s="19"/>
      <c r="O9" s="19"/>
      <c r="P9" s="19"/>
    </row>
    <row r="10" spans="1:16">
      <c r="A10" s="24" t="s">
        <v>207</v>
      </c>
      <c r="B10" s="25">
        <f ca="1">'EF ele_warmte'!B12</f>
        <v>0.2170598998115546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5140.3160791681712</v>
      </c>
      <c r="C12" s="23">
        <f ca="1">C10*C8</f>
        <v>0</v>
      </c>
      <c r="D12" s="23">
        <f>D8*D10</f>
        <v>16283.816981669601</v>
      </c>
      <c r="E12" s="23">
        <f>E10*E8</f>
        <v>254.16502238879178</v>
      </c>
      <c r="F12" s="23">
        <f>F10*F8</f>
        <v>5753.117765975283</v>
      </c>
      <c r="G12" s="23"/>
      <c r="H12" s="23"/>
      <c r="I12" s="23"/>
      <c r="J12" s="23">
        <f>J10*J8</f>
        <v>39.031902046197438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6531</v>
      </c>
      <c r="C26" s="36"/>
      <c r="D26" s="225"/>
    </row>
    <row r="27" spans="1:7" s="15" customFormat="1">
      <c r="A27" s="227" t="s">
        <v>774</v>
      </c>
      <c r="B27" s="37">
        <f>SUM(HH_hh_gas_aantal,HH_rest_gas_aantal)</f>
        <v>5165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4906.75</v>
      </c>
      <c r="C31" s="165" t="s">
        <v>104</v>
      </c>
      <c r="D31" s="230"/>
      <c r="G31" s="15"/>
    </row>
    <row r="32" spans="1:7">
      <c r="A32" s="168" t="s">
        <v>72</v>
      </c>
      <c r="B32" s="165">
        <f>IF((B21*($B$26-($B$27-0.05*$B$27)-$B$60))&lt;0,0,B21*($B$26-($B$27-0.05*$B$27)-$B$60))</f>
        <v>18.096251856811175</v>
      </c>
      <c r="C32" s="165" t="s">
        <v>104</v>
      </c>
      <c r="D32" s="230"/>
      <c r="G32" s="15"/>
    </row>
    <row r="33" spans="1:7">
      <c r="A33" s="168" t="s">
        <v>73</v>
      </c>
      <c r="B33" s="165">
        <f>IF((B22*($B$26-($B$27-0.05*$B$27)-$B$60))&lt;0,0,B22*($B$26-($B$27-0.05*$B$27)-$B$60))</f>
        <v>376.23627277955848</v>
      </c>
      <c r="C33" s="165" t="s">
        <v>104</v>
      </c>
      <c r="D33" s="230"/>
      <c r="G33" s="15"/>
    </row>
    <row r="34" spans="1:7">
      <c r="A34" s="168" t="s">
        <v>74</v>
      </c>
      <c r="B34" s="165">
        <f>IF((B24*($B$26-($B$27-0.05*$B$27)-$B$60))&lt;0,0,B24*($B$26-($B$27-0.05*$B$27)-$B$60))</f>
        <v>158.86355062396476</v>
      </c>
      <c r="C34" s="165">
        <f>B26*C24</f>
        <v>1127.0054121049518</v>
      </c>
      <c r="D34" s="230"/>
      <c r="G34" s="15"/>
    </row>
    <row r="35" spans="1:7">
      <c r="A35" s="168" t="s">
        <v>76</v>
      </c>
      <c r="B35" s="165">
        <f>IF((B19*($B$26-($B$27-0.05*$B$27)-$B$60))&lt;0,0,B19*($B$26-($B$27-0.05*$B$27)-$B$60))</f>
        <v>13.69691132450839</v>
      </c>
      <c r="C35" s="165">
        <f>B35/2</f>
        <v>6.848455662254195</v>
      </c>
      <c r="D35" s="231"/>
      <c r="G35" s="15"/>
    </row>
    <row r="36" spans="1:7">
      <c r="A36" s="168" t="s">
        <v>77</v>
      </c>
      <c r="B36" s="165">
        <f>IF((B18*($B$26-($B$27-0.05*$B$27)-$B$60))&lt;0,0,B18*($B$26-($B$27-0.05*$B$27)-$B$60))</f>
        <v>1038.3570134151571</v>
      </c>
      <c r="C36" s="165" t="s">
        <v>104</v>
      </c>
      <c r="D36" s="231"/>
      <c r="G36" s="15"/>
    </row>
    <row r="37" spans="1:7">
      <c r="A37" s="168" t="s">
        <v>78</v>
      </c>
      <c r="B37" s="165">
        <f>B60</f>
        <v>19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18721.002156999999</v>
      </c>
      <c r="C5" s="17">
        <f>IF(ISERROR('Eigen informatie GS &amp; warmtenet'!B60),0,'Eigen informatie GS &amp; warmtenet'!B60)</f>
        <v>0</v>
      </c>
      <c r="D5" s="30">
        <f>SUM(D6:D12)</f>
        <v>25289.995952451998</v>
      </c>
      <c r="E5" s="17">
        <f>SUM(E6:E12)</f>
        <v>59.096445479337604</v>
      </c>
      <c r="F5" s="17">
        <f>SUM(F6:F12)</f>
        <v>4406.4036492531895</v>
      </c>
      <c r="G5" s="18"/>
      <c r="H5" s="17"/>
      <c r="I5" s="17"/>
      <c r="J5" s="17">
        <f>SUM(J6:J12)</f>
        <v>3.7828241613932889E-2</v>
      </c>
      <c r="K5" s="17"/>
      <c r="L5" s="17"/>
      <c r="M5" s="17"/>
      <c r="N5" s="17">
        <f>SUM(N6:N12)</f>
        <v>1392.3424435012651</v>
      </c>
      <c r="O5" s="17">
        <f>B38*B39*B40</f>
        <v>0</v>
      </c>
      <c r="P5" s="17">
        <f>B46*B47*B48/1000-B46*B47*B48/1000/B49</f>
        <v>210.15655322598008</v>
      </c>
      <c r="R5" s="32"/>
    </row>
    <row r="6" spans="1:18">
      <c r="A6" s="32" t="s">
        <v>53</v>
      </c>
      <c r="B6" s="37">
        <f>B26</f>
        <v>4344.1421650000002</v>
      </c>
      <c r="C6" s="33"/>
      <c r="D6" s="37">
        <f>IF(ISERROR(TER_kantoor_gas_kWh/1000),0,TER_kantoor_gas_kWh/1000)*0.902</f>
        <v>6557.9642466799996</v>
      </c>
      <c r="E6" s="33">
        <f>$C$26*'E Balans VL '!I12/100/3.6*1000000</f>
        <v>1.1343800821472525</v>
      </c>
      <c r="F6" s="33">
        <f>$C$26*('E Balans VL '!L12+'E Balans VL '!N12)/100/3.6*1000000</f>
        <v>434.05017313425827</v>
      </c>
      <c r="G6" s="34"/>
      <c r="H6" s="33"/>
      <c r="I6" s="33"/>
      <c r="J6" s="33">
        <f>$C$26*('E Balans VL '!D12+'E Balans VL '!E12)/100/3.6*1000000</f>
        <v>0</v>
      </c>
      <c r="K6" s="33"/>
      <c r="L6" s="33"/>
      <c r="M6" s="33"/>
      <c r="N6" s="33">
        <f>$C$26*'E Balans VL '!Y12/100/3.6*1000000</f>
        <v>3.0799741381981867</v>
      </c>
      <c r="O6" s="33"/>
      <c r="P6" s="33"/>
      <c r="R6" s="32"/>
    </row>
    <row r="7" spans="1:18">
      <c r="A7" s="32" t="s">
        <v>52</v>
      </c>
      <c r="B7" s="37">
        <f t="shared" ref="B7:B12" si="0">B27</f>
        <v>1892.612815</v>
      </c>
      <c r="C7" s="33"/>
      <c r="D7" s="37">
        <f>IF(ISERROR(TER_horeca_gas_kWh/1000),0,TER_horeca_gas_kWh/1000)*0.902</f>
        <v>3697.9271287639999</v>
      </c>
      <c r="E7" s="33">
        <f>$C$27*'E Balans VL '!I9/100/3.6*1000000</f>
        <v>0</v>
      </c>
      <c r="F7" s="33">
        <f>$C$27*('E Balans VL '!L9+'E Balans VL '!N9)/100/3.6*1000000</f>
        <v>155.43361331684594</v>
      </c>
      <c r="G7" s="34"/>
      <c r="H7" s="33"/>
      <c r="I7" s="33"/>
      <c r="J7" s="33">
        <f>$C$27*('E Balans VL '!D9+'E Balans VL '!E9)/100/3.6*1000000</f>
        <v>0</v>
      </c>
      <c r="K7" s="33"/>
      <c r="L7" s="33"/>
      <c r="M7" s="33"/>
      <c r="N7" s="33">
        <f>$C$27*'E Balans VL '!Y9/100/3.6*1000000</f>
        <v>23.91708514529072</v>
      </c>
      <c r="O7" s="33"/>
      <c r="P7" s="33"/>
      <c r="R7" s="32"/>
    </row>
    <row r="8" spans="1:18">
      <c r="A8" s="6" t="s">
        <v>51</v>
      </c>
      <c r="B8" s="37">
        <f t="shared" si="0"/>
        <v>5622.8835779999999</v>
      </c>
      <c r="C8" s="33"/>
      <c r="D8" s="37">
        <f>IF(ISERROR(TER_handel_gas_kWh/1000),0,TER_handel_gas_kWh/1000)*0.902</f>
        <v>2183.3640069779999</v>
      </c>
      <c r="E8" s="33">
        <f>$C$28*'E Balans VL '!I13/100/3.6*1000000</f>
        <v>20.665572647655434</v>
      </c>
      <c r="F8" s="33">
        <f>$C$28*('E Balans VL '!L13+'E Balans VL '!N13)/100/3.6*1000000</f>
        <v>537.08013001222946</v>
      </c>
      <c r="G8" s="34"/>
      <c r="H8" s="33"/>
      <c r="I8" s="33"/>
      <c r="J8" s="33">
        <f>$C$28*('E Balans VL '!D13+'E Balans VL '!E13)/100/3.6*1000000</f>
        <v>0</v>
      </c>
      <c r="K8" s="33"/>
      <c r="L8" s="33"/>
      <c r="M8" s="33"/>
      <c r="N8" s="33">
        <f>$C$28*'E Balans VL '!Y13/100/3.6*1000000</f>
        <v>2.2248429080001189</v>
      </c>
      <c r="O8" s="33"/>
      <c r="P8" s="33"/>
      <c r="R8" s="32"/>
    </row>
    <row r="9" spans="1:18">
      <c r="A9" s="32" t="s">
        <v>50</v>
      </c>
      <c r="B9" s="37">
        <f t="shared" si="0"/>
        <v>1059.924585</v>
      </c>
      <c r="C9" s="33"/>
      <c r="D9" s="37">
        <f>IF(ISERROR(TER_gezond_gas_kWh/1000),0,TER_gezond_gas_kWh/1000)*0.902</f>
        <v>2186.4937602639998</v>
      </c>
      <c r="E9" s="33">
        <f>$C$29*'E Balans VL '!I10/100/3.6*1000000</f>
        <v>0</v>
      </c>
      <c r="F9" s="33">
        <f>$C$29*('E Balans VL '!L10+'E Balans VL '!N10)/100/3.6*1000000</f>
        <v>71.602841767187726</v>
      </c>
      <c r="G9" s="34"/>
      <c r="H9" s="33"/>
      <c r="I9" s="33"/>
      <c r="J9" s="33">
        <f>$C$29*('E Balans VL '!D10+'E Balans VL '!E10)/100/3.6*1000000</f>
        <v>0</v>
      </c>
      <c r="K9" s="33"/>
      <c r="L9" s="33"/>
      <c r="M9" s="33"/>
      <c r="N9" s="33">
        <f>$C$29*'E Balans VL '!Y10/100/3.6*1000000</f>
        <v>8.2470040886705487</v>
      </c>
      <c r="O9" s="33"/>
      <c r="P9" s="33"/>
      <c r="R9" s="32"/>
    </row>
    <row r="10" spans="1:18">
      <c r="A10" s="32" t="s">
        <v>49</v>
      </c>
      <c r="B10" s="37">
        <f t="shared" si="0"/>
        <v>3343.8628289999997</v>
      </c>
      <c r="C10" s="33"/>
      <c r="D10" s="37">
        <f>IF(ISERROR(TER_ander_gas_kWh/1000),0,TER_ander_gas_kWh/1000)*0.902</f>
        <v>2990.8569687040003</v>
      </c>
      <c r="E10" s="33">
        <f>$C$30*'E Balans VL '!I14/100/3.6*1000000</f>
        <v>30.321497051728617</v>
      </c>
      <c r="F10" s="33">
        <f>$C$30*('E Balans VL '!L14+'E Balans VL '!N14)/100/3.6*1000000</f>
        <v>2643.1465758384934</v>
      </c>
      <c r="G10" s="34"/>
      <c r="H10" s="33"/>
      <c r="I10" s="33"/>
      <c r="J10" s="33">
        <f>$C$30*('E Balans VL '!D14+'E Balans VL '!E14)/100/3.6*1000000</f>
        <v>3.3095960836374838E-2</v>
      </c>
      <c r="K10" s="33"/>
      <c r="L10" s="33"/>
      <c r="M10" s="33"/>
      <c r="N10" s="33">
        <f>$C$30*'E Balans VL '!Y14/100/3.6*1000000</f>
        <v>1180.2131210262321</v>
      </c>
      <c r="O10" s="33"/>
      <c r="P10" s="33"/>
      <c r="R10" s="32"/>
    </row>
    <row r="11" spans="1:18">
      <c r="A11" s="32" t="s">
        <v>54</v>
      </c>
      <c r="B11" s="37">
        <f t="shared" si="0"/>
        <v>97.726022999999998</v>
      </c>
      <c r="C11" s="33"/>
      <c r="D11" s="37">
        <f>IF(ISERROR(TER_onderwijs_gas_kWh/1000),0,TER_onderwijs_gas_kWh/1000)*0.902</f>
        <v>3338.919433432</v>
      </c>
      <c r="E11" s="33">
        <f>$C$31*'E Balans VL '!I11/100/3.6*1000000</f>
        <v>0</v>
      </c>
      <c r="F11" s="33">
        <f>$C$31*('E Balans VL '!L11+'E Balans VL '!N11)/100/3.6*1000000</f>
        <v>11.630710688217885</v>
      </c>
      <c r="G11" s="34"/>
      <c r="H11" s="33"/>
      <c r="I11" s="33"/>
      <c r="J11" s="33">
        <f>$C$31*('E Balans VL '!D11+'E Balans VL '!E11)/100/3.6*1000000</f>
        <v>0</v>
      </c>
      <c r="K11" s="33"/>
      <c r="L11" s="33"/>
      <c r="M11" s="33"/>
      <c r="N11" s="33">
        <f>$C$31*'E Balans VL '!Y11/100/3.6*1000000</f>
        <v>0.21734029061649199</v>
      </c>
      <c r="O11" s="33"/>
      <c r="P11" s="33"/>
      <c r="R11" s="32"/>
    </row>
    <row r="12" spans="1:18">
      <c r="A12" s="32" t="s">
        <v>248</v>
      </c>
      <c r="B12" s="37">
        <f t="shared" si="0"/>
        <v>2359.8501620000002</v>
      </c>
      <c r="C12" s="33"/>
      <c r="D12" s="37">
        <f>IF(ISERROR(TER_rest_gas_kWh/1000),0,TER_rest_gas_kWh/1000)*0.902</f>
        <v>4334.4704076300004</v>
      </c>
      <c r="E12" s="33">
        <f>$C$32*'E Balans VL '!I8/100/3.6*1000000</f>
        <v>6.9749956978063006</v>
      </c>
      <c r="F12" s="33">
        <f>$C$32*('E Balans VL '!L8+'E Balans VL '!N8)/100/3.6*1000000</f>
        <v>553.45960449595702</v>
      </c>
      <c r="G12" s="34"/>
      <c r="H12" s="33"/>
      <c r="I12" s="33"/>
      <c r="J12" s="33">
        <f>$C$32*('E Balans VL '!D8+'E Balans VL '!E8)/100/3.6*1000000</f>
        <v>4.7322807775580537E-3</v>
      </c>
      <c r="K12" s="33"/>
      <c r="L12" s="33"/>
      <c r="M12" s="33"/>
      <c r="N12" s="33">
        <f>$C$32*'E Balans VL '!Y8/100/3.6*1000000</f>
        <v>174.44307590425683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18721.002156999999</v>
      </c>
      <c r="C16" s="21">
        <f t="shared" ca="1" si="1"/>
        <v>0</v>
      </c>
      <c r="D16" s="21">
        <f t="shared" ca="1" si="1"/>
        <v>25289.995952451998</v>
      </c>
      <c r="E16" s="21">
        <f t="shared" si="1"/>
        <v>59.096445479337604</v>
      </c>
      <c r="F16" s="21">
        <f t="shared" ca="1" si="1"/>
        <v>4406.4036492531895</v>
      </c>
      <c r="G16" s="21">
        <f t="shared" si="1"/>
        <v>0</v>
      </c>
      <c r="H16" s="21">
        <f t="shared" si="1"/>
        <v>0</v>
      </c>
      <c r="I16" s="21">
        <f t="shared" si="1"/>
        <v>0</v>
      </c>
      <c r="J16" s="21">
        <f t="shared" si="1"/>
        <v>3.7828241613932889E-2</v>
      </c>
      <c r="K16" s="21">
        <f t="shared" si="1"/>
        <v>0</v>
      </c>
      <c r="L16" s="21">
        <f t="shared" ca="1" si="1"/>
        <v>0</v>
      </c>
      <c r="M16" s="21">
        <f t="shared" si="1"/>
        <v>0</v>
      </c>
      <c r="N16" s="21">
        <f t="shared" ca="1" si="1"/>
        <v>1392.3424435012651</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0.2170598998115546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4063.5788525703174</v>
      </c>
      <c r="C20" s="23">
        <f t="shared" ref="C20:P20" ca="1" si="2">C16*C18</f>
        <v>0</v>
      </c>
      <c r="D20" s="23">
        <f t="shared" ca="1" si="2"/>
        <v>5108.5791823953041</v>
      </c>
      <c r="E20" s="23">
        <f t="shared" si="2"/>
        <v>13.414893123809636</v>
      </c>
      <c r="F20" s="23">
        <f t="shared" ca="1" si="2"/>
        <v>1176.5097743506017</v>
      </c>
      <c r="G20" s="23">
        <f t="shared" si="2"/>
        <v>0</v>
      </c>
      <c r="H20" s="23">
        <f t="shared" si="2"/>
        <v>0</v>
      </c>
      <c r="I20" s="23">
        <f t="shared" si="2"/>
        <v>0</v>
      </c>
      <c r="J20" s="23">
        <f t="shared" si="2"/>
        <v>1.3391197531332243E-2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4344.1421650000002</v>
      </c>
      <c r="C26" s="39">
        <f>IF(ISERROR(B26*3.6/1000000/'E Balans VL '!Z12*100),0,B26*3.6/1000000/'E Balans VL '!Z12*100)</f>
        <v>0.12157175860513428</v>
      </c>
      <c r="D26" s="234" t="s">
        <v>667</v>
      </c>
      <c r="F26" s="6"/>
    </row>
    <row r="27" spans="1:18">
      <c r="A27" s="228" t="s">
        <v>52</v>
      </c>
      <c r="B27" s="33">
        <f>IF(ISERROR(TER_horeca_ele_kWh/1000),0,TER_horeca_ele_kWh/1000)</f>
        <v>1892.612815</v>
      </c>
      <c r="C27" s="39">
        <f>IF(ISERROR(B27*3.6/1000000/'E Balans VL '!Z9*100),0,B27*3.6/1000000/'E Balans VL '!Z9*100)</f>
        <v>0.141061048592934</v>
      </c>
      <c r="D27" s="234" t="s">
        <v>667</v>
      </c>
      <c r="F27" s="6"/>
    </row>
    <row r="28" spans="1:18">
      <c r="A28" s="168" t="s">
        <v>51</v>
      </c>
      <c r="B28" s="33">
        <f>IF(ISERROR(TER_handel_ele_kWh/1000),0,TER_handel_ele_kWh/1000)</f>
        <v>5622.8835779999999</v>
      </c>
      <c r="C28" s="39">
        <f>IF(ISERROR(B28*3.6/1000000/'E Balans VL '!Z13*100),0,B28*3.6/1000000/'E Balans VL '!Z13*100)</f>
        <v>0.16290982350722613</v>
      </c>
      <c r="D28" s="234" t="s">
        <v>667</v>
      </c>
      <c r="F28" s="6"/>
    </row>
    <row r="29" spans="1:18">
      <c r="A29" s="228" t="s">
        <v>50</v>
      </c>
      <c r="B29" s="33">
        <f>IF(ISERROR(TER_gezond_ele_kWh/1000),0,TER_gezond_ele_kWh/1000)</f>
        <v>1059.924585</v>
      </c>
      <c r="C29" s="39">
        <f>IF(ISERROR(B29*3.6/1000000/'E Balans VL '!Z10*100),0,B29*3.6/1000000/'E Balans VL '!Z10*100)</f>
        <v>0.10689465840879968</v>
      </c>
      <c r="D29" s="234" t="s">
        <v>667</v>
      </c>
      <c r="F29" s="6"/>
    </row>
    <row r="30" spans="1:18">
      <c r="A30" s="228" t="s">
        <v>49</v>
      </c>
      <c r="B30" s="33">
        <f>IF(ISERROR(TER_ander_ele_kWh/1000),0,TER_ander_ele_kWh/1000)</f>
        <v>3343.8628289999997</v>
      </c>
      <c r="C30" s="39">
        <f>IF(ISERROR(B30*3.6/1000000/'E Balans VL '!Z14*100),0,B30*3.6/1000000/'E Balans VL '!Z14*100)</f>
        <v>0.13554659728208124</v>
      </c>
      <c r="D30" s="234" t="s">
        <v>667</v>
      </c>
      <c r="F30" s="6"/>
    </row>
    <row r="31" spans="1:18">
      <c r="A31" s="228" t="s">
        <v>54</v>
      </c>
      <c r="B31" s="33">
        <f>IF(ISERROR(TER_onderwijs_ele_kWh/1000),0,TER_onderwijs_ele_kWh/1000)</f>
        <v>97.726022999999998</v>
      </c>
      <c r="C31" s="39">
        <f>IF(ISERROR(B31*3.6/1000000/'E Balans VL '!Z11*100),0,B31*3.6/1000000/'E Balans VL '!Z11*100)</f>
        <v>2.785589614396065E-2</v>
      </c>
      <c r="D31" s="234" t="s">
        <v>667</v>
      </c>
    </row>
    <row r="32" spans="1:18">
      <c r="A32" s="228" t="s">
        <v>248</v>
      </c>
      <c r="B32" s="33">
        <f>IF(ISERROR(TER_rest_ele_kWh/1000),0,TER_rest_ele_kWh/1000)</f>
        <v>2359.8501620000002</v>
      </c>
      <c r="C32" s="39">
        <f>IF(ISERROR(B32*3.6/1000000/'E Balans VL '!Z8*100),0,B32*3.6/1000000/'E Balans VL '!Z8*100)</f>
        <v>1.9381354720374281E-2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1387.460186</v>
      </c>
      <c r="C5" s="17">
        <f>IF(ISERROR('Eigen informatie GS &amp; warmtenet'!B61),0,'Eigen informatie GS &amp; warmtenet'!B61)</f>
        <v>0</v>
      </c>
      <c r="D5" s="30">
        <f>SUM(D6:D15)</f>
        <v>1796.1128822339999</v>
      </c>
      <c r="E5" s="17">
        <f>SUM(E6:E15)</f>
        <v>13.94833522695841</v>
      </c>
      <c r="F5" s="17">
        <f>SUM(F6:F15)</f>
        <v>367.01501955040186</v>
      </c>
      <c r="G5" s="18"/>
      <c r="H5" s="17"/>
      <c r="I5" s="17"/>
      <c r="J5" s="17">
        <f>SUM(J6:J15)</f>
        <v>0.9584593560313841</v>
      </c>
      <c r="K5" s="17"/>
      <c r="L5" s="17"/>
      <c r="M5" s="17"/>
      <c r="N5" s="17">
        <f>SUM(N6:N15)</f>
        <v>67.46314312300305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51.058</v>
      </c>
      <c r="C8" s="33"/>
      <c r="D8" s="37">
        <f>IF( ISERROR(IND_metaal_Gas_kWH/1000),0,IND_metaal_Gas_kWH/1000)*0.902</f>
        <v>0</v>
      </c>
      <c r="E8" s="33">
        <f>C30*'E Balans VL '!I18/100/3.6*1000000</f>
        <v>0.36640439961747451</v>
      </c>
      <c r="F8" s="33">
        <f>C30*'E Balans VL '!L18/100/3.6*1000000+C30*'E Balans VL '!N18/100/3.6*1000000</f>
        <v>3.3983839272415435</v>
      </c>
      <c r="G8" s="34"/>
      <c r="H8" s="33"/>
      <c r="I8" s="33"/>
      <c r="J8" s="40">
        <f>C30*'E Balans VL '!D18/100/3.6*1000000+C30*'E Balans VL '!E18/100/3.6*1000000</f>
        <v>4.9222095298002588E-2</v>
      </c>
      <c r="K8" s="33"/>
      <c r="L8" s="33"/>
      <c r="M8" s="33"/>
      <c r="N8" s="33">
        <f>C30*'E Balans VL '!Y18/100/3.6*1000000</f>
        <v>0.6187054264804871</v>
      </c>
      <c r="O8" s="33"/>
      <c r="P8" s="33"/>
      <c r="R8" s="32"/>
    </row>
    <row r="9" spans="1:18">
      <c r="A9" s="6" t="s">
        <v>32</v>
      </c>
      <c r="B9" s="37">
        <f t="shared" si="0"/>
        <v>436.14124599999997</v>
      </c>
      <c r="C9" s="33"/>
      <c r="D9" s="37">
        <f>IF( ISERROR(IND_andere_gas_kWh/1000),0,IND_andere_gas_kWh/1000)*0.902</f>
        <v>1128.785645856</v>
      </c>
      <c r="E9" s="33">
        <f>C31*'E Balans VL '!I19/100/3.6*1000000</f>
        <v>1.1466922790067013</v>
      </c>
      <c r="F9" s="33">
        <f>C31*'E Balans VL '!L19/100/3.6*1000000+C31*'E Balans VL '!N19/100/3.6*1000000</f>
        <v>288.02971534857147</v>
      </c>
      <c r="G9" s="34"/>
      <c r="H9" s="33"/>
      <c r="I9" s="33"/>
      <c r="J9" s="40">
        <f>C31*'E Balans VL '!D19/100/3.6*1000000+C31*'E Balans VL '!E19/100/3.6*1000000</f>
        <v>0</v>
      </c>
      <c r="K9" s="33"/>
      <c r="L9" s="33"/>
      <c r="M9" s="33"/>
      <c r="N9" s="33">
        <f>C31*'E Balans VL '!Y19/100/3.6*1000000</f>
        <v>23.284887155073726</v>
      </c>
      <c r="O9" s="33"/>
      <c r="P9" s="33"/>
      <c r="R9" s="32"/>
    </row>
    <row r="10" spans="1:18">
      <c r="A10" s="6" t="s">
        <v>40</v>
      </c>
      <c r="B10" s="37">
        <f t="shared" si="0"/>
        <v>648.02331900000001</v>
      </c>
      <c r="C10" s="33"/>
      <c r="D10" s="37">
        <f>IF( ISERROR(IND_voed_gas_kWh/1000),0,IND_voed_gas_kWh/1000)*0.902</f>
        <v>266.98448994799998</v>
      </c>
      <c r="E10" s="33">
        <f>C32*'E Balans VL '!I20/100/3.6*1000000</f>
        <v>1.0940115012759848</v>
      </c>
      <c r="F10" s="33">
        <f>C32*'E Balans VL '!L20/100/3.6*1000000+C32*'E Balans VL '!N20/100/3.6*1000000</f>
        <v>38.036140609387886</v>
      </c>
      <c r="G10" s="34"/>
      <c r="H10" s="33"/>
      <c r="I10" s="33"/>
      <c r="J10" s="40">
        <f>C32*'E Balans VL '!D20/100/3.6*1000000+C32*'E Balans VL '!E20/100/3.6*1000000</f>
        <v>0</v>
      </c>
      <c r="K10" s="33"/>
      <c r="L10" s="33"/>
      <c r="M10" s="33"/>
      <c r="N10" s="33">
        <f>C32*'E Balans VL '!Y20/100/3.6*1000000</f>
        <v>35.281625714321692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15.659423</v>
      </c>
      <c r="C13" s="33"/>
      <c r="D13" s="37">
        <f>IF( ISERROR(IND_papier_gas_kWh/1000),0,IND_papier_gas_kWh/1000)*0.902</f>
        <v>0</v>
      </c>
      <c r="E13" s="33">
        <f>C35*'E Balans VL '!I23/100/3.6*1000000</f>
        <v>5.5403190121754729E-2</v>
      </c>
      <c r="F13" s="33">
        <f>C35*'E Balans VL '!L23/100/3.6*1000000+C35*'E Balans VL '!N23/100/3.6*1000000</f>
        <v>0.14517490104988101</v>
      </c>
      <c r="G13" s="34"/>
      <c r="H13" s="33"/>
      <c r="I13" s="33"/>
      <c r="J13" s="40">
        <f>C35*'E Balans VL '!D23/100/3.6*1000000+C35*'E Balans VL '!E23/100/3.6*1000000</f>
        <v>0</v>
      </c>
      <c r="K13" s="33"/>
      <c r="L13" s="33"/>
      <c r="M13" s="33"/>
      <c r="N13" s="33">
        <f>C35*'E Balans VL '!Y23/100/3.6*1000000</f>
        <v>-0.34112052703833257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236.57819800000001</v>
      </c>
      <c r="C15" s="33"/>
      <c r="D15" s="37">
        <f>IF( ISERROR(IND_rest_gas_kWh/1000),0,IND_rest_gas_kWh/1000)*0.902</f>
        <v>400.34274643000003</v>
      </c>
      <c r="E15" s="33">
        <f>C37*'E Balans VL '!I15/100/3.6*1000000</f>
        <v>11.285823856936494</v>
      </c>
      <c r="F15" s="33">
        <f>C37*'E Balans VL '!L15/100/3.6*1000000+C37*'E Balans VL '!N15/100/3.6*1000000</f>
        <v>37.405604764151121</v>
      </c>
      <c r="G15" s="34"/>
      <c r="H15" s="33"/>
      <c r="I15" s="33"/>
      <c r="J15" s="40">
        <f>C37*'E Balans VL '!D15/100/3.6*1000000+C37*'E Balans VL '!E15/100/3.6*1000000</f>
        <v>0.90923726073338151</v>
      </c>
      <c r="K15" s="33"/>
      <c r="L15" s="33"/>
      <c r="M15" s="33"/>
      <c r="N15" s="33">
        <f>C37*'E Balans VL '!Y15/100/3.6*1000000</f>
        <v>8.6190453541654808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1387.460186</v>
      </c>
      <c r="C18" s="21">
        <f>C5+C16</f>
        <v>0</v>
      </c>
      <c r="D18" s="21">
        <f>MAX((D5+D16),0)</f>
        <v>1796.1128822339999</v>
      </c>
      <c r="E18" s="21">
        <f>MAX((E5+E16),0)</f>
        <v>13.94833522695841</v>
      </c>
      <c r="F18" s="21">
        <f>MAX((F5+F16),0)</f>
        <v>367.01501955040186</v>
      </c>
      <c r="G18" s="21"/>
      <c r="H18" s="21"/>
      <c r="I18" s="21"/>
      <c r="J18" s="21">
        <f>MAX((J5+J16),0)</f>
        <v>0.9584593560313841</v>
      </c>
      <c r="K18" s="21"/>
      <c r="L18" s="21">
        <f>MAX((L5+L16),0)</f>
        <v>0</v>
      </c>
      <c r="M18" s="21"/>
      <c r="N18" s="21">
        <f>MAX((N5+N16),0)</f>
        <v>67.46314312300305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0.2170598998115546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301.1619689656809</v>
      </c>
      <c r="C22" s="23">
        <f ca="1">C18*C20</f>
        <v>0</v>
      </c>
      <c r="D22" s="23">
        <f>D18*D20</f>
        <v>362.81480221126799</v>
      </c>
      <c r="E22" s="23">
        <f>E18*E20</f>
        <v>3.1662720965195592</v>
      </c>
      <c r="F22" s="23">
        <f>F18*F20</f>
        <v>97.993010219957299</v>
      </c>
      <c r="G22" s="23"/>
      <c r="H22" s="23"/>
      <c r="I22" s="23"/>
      <c r="J22" s="23">
        <f>J18*J20</f>
        <v>0.33929461203510997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51.058</v>
      </c>
      <c r="C30" s="39">
        <f>IF(ISERROR(B30*3.6/1000000/'E Balans VL '!Z18*100),0,B30*3.6/1000000/'E Balans VL '!Z18*100)</f>
        <v>2.8251126870973945E-3</v>
      </c>
      <c r="D30" s="234" t="s">
        <v>667</v>
      </c>
    </row>
    <row r="31" spans="1:18">
      <c r="A31" s="6" t="s">
        <v>32</v>
      </c>
      <c r="B31" s="37">
        <f>IF( ISERROR(IND_ander_ele_kWh/1000),0,IND_ander_ele_kWh/1000)</f>
        <v>436.14124599999997</v>
      </c>
      <c r="C31" s="39">
        <f>IF(ISERROR(B31*3.6/1000000/'E Balans VL '!Z19*100),0,B31*3.6/1000000/'E Balans VL '!Z19*100)</f>
        <v>1.9025843906770742E-2</v>
      </c>
      <c r="D31" s="234" t="s">
        <v>667</v>
      </c>
    </row>
    <row r="32" spans="1:18">
      <c r="A32" s="168" t="s">
        <v>40</v>
      </c>
      <c r="B32" s="37">
        <f>IF( ISERROR(IND_voed_ele_kWh/1000),0,IND_voed_ele_kWh/1000)</f>
        <v>648.02331900000001</v>
      </c>
      <c r="C32" s="39">
        <f>IF(ISERROR(B32*3.6/1000000/'E Balans VL '!Z20*100),0,B32*3.6/1000000/'E Balans VL '!Z20*100)</f>
        <v>2.0340992261177922E-2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15.659423</v>
      </c>
      <c r="C35" s="39">
        <f>IF(ISERROR(B35*3.6/1000000/'E Balans VL '!Z22*100),0,B35*3.6/1000000/'E Balans VL '!Z22*100)</f>
        <v>7.0238983060973009E-3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236.57819800000001</v>
      </c>
      <c r="C37" s="39">
        <f>IF(ISERROR(B37*3.6/1000000/'E Balans VL '!Z15*100),0,B37*3.6/1000000/'E Balans VL '!Z15*100)</f>
        <v>1.9253722589340349E-3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149.66077799999999</v>
      </c>
      <c r="C5" s="17">
        <f>'Eigen informatie GS &amp; warmtenet'!B62</f>
        <v>0</v>
      </c>
      <c r="D5" s="30">
        <f>IF(ISERROR(SUM(LB_lb_gas_kWh,LB_rest_gas_kWh)/1000),0,SUM(LB_lb_gas_kWh,LB_rest_gas_kWh)/1000)*0.902</f>
        <v>154.12889822</v>
      </c>
      <c r="E5" s="17">
        <f>B17*'E Balans VL '!I25/3.6*1000000/100</f>
        <v>6.0801861005193789</v>
      </c>
      <c r="F5" s="17">
        <f>B17*('E Balans VL '!L25/3.6*1000000+'E Balans VL '!N25/3.6*1000000)/100</f>
        <v>529.40253950904491</v>
      </c>
      <c r="G5" s="18"/>
      <c r="H5" s="17"/>
      <c r="I5" s="17"/>
      <c r="J5" s="17">
        <f>('E Balans VL '!D25+'E Balans VL '!E25)/3.6*1000000*landbouw!B17/100</f>
        <v>42.5217293208147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149.66077799999999</v>
      </c>
      <c r="C8" s="21">
        <f>C5+C6</f>
        <v>0</v>
      </c>
      <c r="D8" s="21">
        <f>MAX((D5+D6),0)</f>
        <v>154.12889822</v>
      </c>
      <c r="E8" s="21">
        <f>MAX((E5+E6),0)</f>
        <v>6.0801861005193789</v>
      </c>
      <c r="F8" s="21">
        <f>MAX((F5+F6),0)</f>
        <v>529.40253950904491</v>
      </c>
      <c r="G8" s="21"/>
      <c r="H8" s="21"/>
      <c r="I8" s="21"/>
      <c r="J8" s="21">
        <f>MAX((J5+J6),0)</f>
        <v>42.5217293208147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0.2170598998115546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32.485353478399311</v>
      </c>
      <c r="C12" s="23">
        <f ca="1">C8*C10</f>
        <v>0</v>
      </c>
      <c r="D12" s="23">
        <f>D8*D10</f>
        <v>31.13403744044</v>
      </c>
      <c r="E12" s="23">
        <f>E8*E10</f>
        <v>1.380202244817899</v>
      </c>
      <c r="F12" s="23">
        <f>F8*F10</f>
        <v>141.35047804891499</v>
      </c>
      <c r="G12" s="23"/>
      <c r="H12" s="23"/>
      <c r="I12" s="23"/>
      <c r="J12" s="23">
        <f>J8*J10</f>
        <v>15.052692179568403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2.224814751978129E-2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5.8651012819548569</v>
      </c>
      <c r="C26" s="244">
        <f>B26*'GWP N2O_CH4'!B5</f>
        <v>123.16712692105199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0.4135670290305104</v>
      </c>
      <c r="C27" s="244">
        <f>B27*'GWP N2O_CH4'!B5</f>
        <v>8.6849076096407192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7.2041784293129976E-2</v>
      </c>
      <c r="C28" s="244">
        <f>B28*'GWP N2O_CH4'!B4</f>
        <v>22.332953130870294</v>
      </c>
      <c r="D28" s="50"/>
    </row>
    <row r="29" spans="1:4">
      <c r="A29" s="41" t="s">
        <v>265</v>
      </c>
      <c r="B29" s="244">
        <f>B34*'ha_N2O bodem landbouw'!B4</f>
        <v>1.5436099200532967</v>
      </c>
      <c r="C29" s="244">
        <f>B29*'GWP N2O_CH4'!B4</f>
        <v>478.51907521652197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3.3848586339597702E-4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7.3291369741307409E-4</v>
      </c>
      <c r="C5" s="429" t="s">
        <v>204</v>
      </c>
      <c r="D5" s="414">
        <f>SUM(D6:D11)</f>
        <v>1.0925214469757541E-3</v>
      </c>
      <c r="E5" s="414">
        <f>SUM(E6:E11)</f>
        <v>1.0860069132758207E-3</v>
      </c>
      <c r="F5" s="427" t="s">
        <v>204</v>
      </c>
      <c r="G5" s="414">
        <f>SUM(G6:G11)</f>
        <v>0.47062446592215079</v>
      </c>
      <c r="H5" s="414">
        <f>SUM(H6:H11)</f>
        <v>0.10838753882765612</v>
      </c>
      <c r="I5" s="429" t="s">
        <v>204</v>
      </c>
      <c r="J5" s="429" t="s">
        <v>204</v>
      </c>
      <c r="K5" s="429" t="s">
        <v>204</v>
      </c>
      <c r="L5" s="429" t="s">
        <v>204</v>
      </c>
      <c r="M5" s="414">
        <f>SUM(M6:M11)</f>
        <v>3.4304009699853422E-2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1.4342529489962336E-4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2.4332859661884481E-4</v>
      </c>
      <c r="E6" s="843">
        <f>vkm_GW_PW*SUMIFS(TableVerdeelsleutelVkm[LPG],TableVerdeelsleutelVkm[Voertuigtype],"Lichte voertuigen")*SUMIFS(TableECFTransport[EnergieConsumptieFactor (PJ per km)],TableECFTransport[Index],CONCATENATE($A6,"_LPG_LPG"))</f>
        <v>2.1067618129383568E-4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6.729880563045737E-2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2.3412412787082459E-2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5.4293781964315051E-3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2.4928087750746472E-7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9.5143231174299285E-3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1.5163435930480978E-7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5.4842951104967037E-4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5.7724788955140203E-5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1.2485541686170872E-4</v>
      </c>
      <c r="E8" s="417">
        <f>vkm_NGW_PW*SUMIFS(TableVerdeelsleutelVkm[LPG],TableVerdeelsleutelVkm[Voertuigtype],"Lichte voertuigen")*SUMIFS(TableECFTransport[EnergieConsumptieFactor (PJ per km)],TableECFTransport[Index],CONCATENATE($A8,"_LPG_LPG"))</f>
        <v>1.0324767013764637E-4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3.0601828554733229E-2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1.1804247314017385E-2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2.5455139306507319E-3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3.2902803971599036E-8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1.6144330372992581E-3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2.4157835078389485E-8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9.3059876140470793E-5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5.2762702451799399E-4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7.243374334952007E-4</v>
      </c>
      <c r="E10" s="417">
        <f>vkm_SW_PW*SUMIFS(TableVerdeelsleutelVkm[LPG],TableVerdeelsleutelVkm[Voertuigtype],"Lichte voertuigen")*SUMIFS(TableECFTransport[EnergieConsumptieFactor (PJ per km)],TableECFTransport[Index],CONCATENATE($A10,"_LPG_LPG"))</f>
        <v>7.7208306184433869E-4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0.22206683332946267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7.3168289716775262E-2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1.7644856870994548E-2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3.8544053588374819E-6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0.13952824225276836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2.4132175866281123E-6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8.0427713145864964E-3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203.58713817029835</v>
      </c>
      <c r="C14" s="21"/>
      <c r="D14" s="21">
        <f t="shared" ref="D14:M14" si="0">((D5)*10^9/3600)+D12</f>
        <v>303.47817971548727</v>
      </c>
      <c r="E14" s="21">
        <f t="shared" si="0"/>
        <v>301.66858702106128</v>
      </c>
      <c r="F14" s="21"/>
      <c r="G14" s="21">
        <f t="shared" si="0"/>
        <v>130729.01831170855</v>
      </c>
      <c r="H14" s="21">
        <f t="shared" si="0"/>
        <v>30107.649674348922</v>
      </c>
      <c r="I14" s="21"/>
      <c r="J14" s="21"/>
      <c r="K14" s="21"/>
      <c r="L14" s="21"/>
      <c r="M14" s="21">
        <f t="shared" si="0"/>
        <v>9528.8915832926159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0.2170598998115546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44.190603814166082</v>
      </c>
      <c r="C18" s="23"/>
      <c r="D18" s="23">
        <f t="shared" ref="D18:M18" si="1">D14*D16</f>
        <v>61.302592302528431</v>
      </c>
      <c r="E18" s="23">
        <f t="shared" si="1"/>
        <v>68.478769253780911</v>
      </c>
      <c r="F18" s="23"/>
      <c r="G18" s="23">
        <f t="shared" si="1"/>
        <v>34904.647889226188</v>
      </c>
      <c r="H18" s="23">
        <f t="shared" si="1"/>
        <v>7496.8047689128816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7.8039449993923515E-5</v>
      </c>
      <c r="C50" s="313">
        <f t="shared" ref="C50:P50" si="2">SUM(C51:C52)</f>
        <v>0</v>
      </c>
      <c r="D50" s="313">
        <f t="shared" si="2"/>
        <v>0</v>
      </c>
      <c r="E50" s="313">
        <f t="shared" si="2"/>
        <v>0</v>
      </c>
      <c r="F50" s="313">
        <f t="shared" si="2"/>
        <v>0</v>
      </c>
      <c r="G50" s="313">
        <f t="shared" si="2"/>
        <v>5.6540757726237243E-3</v>
      </c>
      <c r="H50" s="313">
        <f t="shared" si="2"/>
        <v>0</v>
      </c>
      <c r="I50" s="313">
        <f t="shared" si="2"/>
        <v>0</v>
      </c>
      <c r="J50" s="313">
        <f t="shared" si="2"/>
        <v>0</v>
      </c>
      <c r="K50" s="313">
        <f t="shared" si="2"/>
        <v>0</v>
      </c>
      <c r="L50" s="313">
        <f t="shared" si="2"/>
        <v>0</v>
      </c>
      <c r="M50" s="313">
        <f t="shared" si="2"/>
        <v>3.1981136372589741E-4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7.8039449993923515E-5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5.6540757726237243E-3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3.1981136372589741E-4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21.677624998312087</v>
      </c>
      <c r="C54" s="21">
        <f t="shared" ref="C54:P54" si="3">(C50)*10^9/3600</f>
        <v>0</v>
      </c>
      <c r="D54" s="21">
        <f t="shared" si="3"/>
        <v>0</v>
      </c>
      <c r="E54" s="21">
        <f t="shared" si="3"/>
        <v>0</v>
      </c>
      <c r="F54" s="21">
        <f t="shared" si="3"/>
        <v>0</v>
      </c>
      <c r="G54" s="21">
        <f t="shared" si="3"/>
        <v>1570.5766035065901</v>
      </c>
      <c r="H54" s="21">
        <f t="shared" si="3"/>
        <v>0</v>
      </c>
      <c r="I54" s="21">
        <f t="shared" si="3"/>
        <v>0</v>
      </c>
      <c r="J54" s="21">
        <f t="shared" si="3"/>
        <v>0</v>
      </c>
      <c r="K54" s="21">
        <f t="shared" si="3"/>
        <v>0</v>
      </c>
      <c r="L54" s="21">
        <f t="shared" si="3"/>
        <v>0</v>
      </c>
      <c r="M54" s="21">
        <f t="shared" si="3"/>
        <v>88.836489923860384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0.2170598998115546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4.7053431102860728</v>
      </c>
      <c r="C58" s="23">
        <f t="shared" ref="C58:P58" ca="1" si="4">C54*C56</f>
        <v>0</v>
      </c>
      <c r="D58" s="23">
        <f t="shared" si="4"/>
        <v>0</v>
      </c>
      <c r="E58" s="23">
        <f t="shared" si="4"/>
        <v>0</v>
      </c>
      <c r="F58" s="23">
        <f t="shared" si="4"/>
        <v>0</v>
      </c>
      <c r="G58" s="23">
        <f t="shared" si="4"/>
        <v>419.34395313625959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835.33780518683989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835.33780518683989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20105.947156999999</v>
      </c>
      <c r="D10" s="641">
        <f ca="1">tertiair!C16</f>
        <v>0</v>
      </c>
      <c r="E10" s="641">
        <f ca="1">tertiair!D16</f>
        <v>25289.995952451998</v>
      </c>
      <c r="F10" s="641">
        <f>tertiair!E16</f>
        <v>59.096445479337604</v>
      </c>
      <c r="G10" s="641">
        <f ca="1">tertiair!F16</f>
        <v>4406.4036492531895</v>
      </c>
      <c r="H10" s="641">
        <f>tertiair!G16</f>
        <v>0</v>
      </c>
      <c r="I10" s="641">
        <f>tertiair!H16</f>
        <v>0</v>
      </c>
      <c r="J10" s="641">
        <f>tertiair!I16</f>
        <v>0</v>
      </c>
      <c r="K10" s="641">
        <f>tertiair!J16</f>
        <v>3.7828241613932889E-2</v>
      </c>
      <c r="L10" s="641">
        <f>tertiair!K16</f>
        <v>0</v>
      </c>
      <c r="M10" s="641">
        <f ca="1">tertiair!L16</f>
        <v>0</v>
      </c>
      <c r="N10" s="641">
        <f>tertiair!M16</f>
        <v>0</v>
      </c>
      <c r="O10" s="641">
        <f ca="1">tertiair!N16</f>
        <v>1392.3424435012651</v>
      </c>
      <c r="P10" s="641">
        <f>tertiair!O16</f>
        <v>0</v>
      </c>
      <c r="Q10" s="642">
        <f>tertiair!P16</f>
        <v>210.15655322598008</v>
      </c>
      <c r="R10" s="644">
        <f ca="1">SUM(C10:Q10)</f>
        <v>51463.980029153376</v>
      </c>
      <c r="S10" s="67"/>
    </row>
    <row r="11" spans="1:19" s="440" customFormat="1">
      <c r="A11" s="761" t="s">
        <v>213</v>
      </c>
      <c r="B11" s="766"/>
      <c r="C11" s="641">
        <f>huishoudens!B8</f>
        <v>23681.555568904489</v>
      </c>
      <c r="D11" s="641">
        <f>huishoudens!C8</f>
        <v>0</v>
      </c>
      <c r="E11" s="641">
        <f>huishoudens!D8</f>
        <v>80612.955354799997</v>
      </c>
      <c r="F11" s="641">
        <f>huishoudens!E8</f>
        <v>1119.6697021532677</v>
      </c>
      <c r="G11" s="641">
        <f>huishoudens!F8</f>
        <v>21547.257550469225</v>
      </c>
      <c r="H11" s="641">
        <f>huishoudens!G8</f>
        <v>0</v>
      </c>
      <c r="I11" s="641">
        <f>huishoudens!H8</f>
        <v>0</v>
      </c>
      <c r="J11" s="641">
        <f>huishoudens!I8</f>
        <v>0</v>
      </c>
      <c r="K11" s="641">
        <f>huishoudens!J8</f>
        <v>110.25961029999276</v>
      </c>
      <c r="L11" s="641">
        <f>huishoudens!K8</f>
        <v>0</v>
      </c>
      <c r="M11" s="641">
        <f>huishoudens!L8</f>
        <v>0</v>
      </c>
      <c r="N11" s="641">
        <f>huishoudens!M8</f>
        <v>0</v>
      </c>
      <c r="O11" s="641">
        <f>huishoudens!N8</f>
        <v>7851.6059677358298</v>
      </c>
      <c r="P11" s="641">
        <f>huishoudens!O8</f>
        <v>83.326245214255337</v>
      </c>
      <c r="Q11" s="642">
        <f>huishoudens!P8</f>
        <v>200.14522684601545</v>
      </c>
      <c r="R11" s="644">
        <f>SUM(C11:Q11)</f>
        <v>135206.77522642308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1387.460186</v>
      </c>
      <c r="D13" s="641">
        <f>industrie!C18</f>
        <v>0</v>
      </c>
      <c r="E13" s="641">
        <f>industrie!D18</f>
        <v>1796.1128822339999</v>
      </c>
      <c r="F13" s="641">
        <f>industrie!E18</f>
        <v>13.94833522695841</v>
      </c>
      <c r="G13" s="641">
        <f>industrie!F18</f>
        <v>367.01501955040186</v>
      </c>
      <c r="H13" s="641">
        <f>industrie!G18</f>
        <v>0</v>
      </c>
      <c r="I13" s="641">
        <f>industrie!H18</f>
        <v>0</v>
      </c>
      <c r="J13" s="641">
        <f>industrie!I18</f>
        <v>0</v>
      </c>
      <c r="K13" s="641">
        <f>industrie!J18</f>
        <v>0.9584593560313841</v>
      </c>
      <c r="L13" s="641">
        <f>industrie!K18</f>
        <v>0</v>
      </c>
      <c r="M13" s="641">
        <f>industrie!L18</f>
        <v>0</v>
      </c>
      <c r="N13" s="641">
        <f>industrie!M18</f>
        <v>0</v>
      </c>
      <c r="O13" s="641">
        <f>industrie!N18</f>
        <v>67.46314312300305</v>
      </c>
      <c r="P13" s="641">
        <f>industrie!O18</f>
        <v>0</v>
      </c>
      <c r="Q13" s="642">
        <f>industrie!P18</f>
        <v>0</v>
      </c>
      <c r="R13" s="644">
        <f>SUM(C13:Q13)</f>
        <v>3632.9580254903949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45174.962911904484</v>
      </c>
      <c r="D16" s="677">
        <f t="shared" ref="D16:R16" ca="1" si="0">SUM(D9:D15)</f>
        <v>0</v>
      </c>
      <c r="E16" s="677">
        <f t="shared" ca="1" si="0"/>
        <v>107699.06418948599</v>
      </c>
      <c r="F16" s="677">
        <f t="shared" si="0"/>
        <v>1192.7144828595635</v>
      </c>
      <c r="G16" s="677">
        <f t="shared" ca="1" si="0"/>
        <v>26320.676219272817</v>
      </c>
      <c r="H16" s="677">
        <f t="shared" si="0"/>
        <v>0</v>
      </c>
      <c r="I16" s="677">
        <f t="shared" si="0"/>
        <v>0</v>
      </c>
      <c r="J16" s="677">
        <f t="shared" si="0"/>
        <v>0</v>
      </c>
      <c r="K16" s="677">
        <f t="shared" si="0"/>
        <v>111.25589789763808</v>
      </c>
      <c r="L16" s="677">
        <f t="shared" si="0"/>
        <v>0</v>
      </c>
      <c r="M16" s="677">
        <f t="shared" ca="1" si="0"/>
        <v>0</v>
      </c>
      <c r="N16" s="677">
        <f t="shared" si="0"/>
        <v>0</v>
      </c>
      <c r="O16" s="677">
        <f t="shared" ca="1" si="0"/>
        <v>9311.4115543600983</v>
      </c>
      <c r="P16" s="677">
        <f t="shared" si="0"/>
        <v>83.326245214255337</v>
      </c>
      <c r="Q16" s="677">
        <f t="shared" si="0"/>
        <v>410.30178007199549</v>
      </c>
      <c r="R16" s="677">
        <f t="shared" ca="1" si="0"/>
        <v>190303.71328106686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21.677624998312087</v>
      </c>
      <c r="D19" s="641">
        <f>transport!C54</f>
        <v>0</v>
      </c>
      <c r="E19" s="641">
        <f>transport!D54</f>
        <v>0</v>
      </c>
      <c r="F19" s="641">
        <f>transport!E54</f>
        <v>0</v>
      </c>
      <c r="G19" s="641">
        <f>transport!F54</f>
        <v>0</v>
      </c>
      <c r="H19" s="641">
        <f>transport!G54</f>
        <v>1570.5766035065901</v>
      </c>
      <c r="I19" s="641">
        <f>transport!H54</f>
        <v>0</v>
      </c>
      <c r="J19" s="641">
        <f>transport!I54</f>
        <v>0</v>
      </c>
      <c r="K19" s="641">
        <f>transport!J54</f>
        <v>0</v>
      </c>
      <c r="L19" s="641">
        <f>transport!K54</f>
        <v>0</v>
      </c>
      <c r="M19" s="641">
        <f>transport!L54</f>
        <v>0</v>
      </c>
      <c r="N19" s="641">
        <f>transport!M54</f>
        <v>88.836489923860384</v>
      </c>
      <c r="O19" s="641">
        <f>transport!N54</f>
        <v>0</v>
      </c>
      <c r="P19" s="641">
        <f>transport!O54</f>
        <v>0</v>
      </c>
      <c r="Q19" s="642">
        <f>transport!P54</f>
        <v>0</v>
      </c>
      <c r="R19" s="644">
        <f>SUM(C19:Q19)</f>
        <v>1681.0907184287626</v>
      </c>
      <c r="S19" s="67"/>
    </row>
    <row r="20" spans="1:19" s="440" customFormat="1">
      <c r="A20" s="761" t="s">
        <v>295</v>
      </c>
      <c r="B20" s="766"/>
      <c r="C20" s="641">
        <f>transport!B14</f>
        <v>203.58713817029835</v>
      </c>
      <c r="D20" s="641">
        <f>transport!C14</f>
        <v>0</v>
      </c>
      <c r="E20" s="641">
        <f>transport!D14</f>
        <v>303.47817971548727</v>
      </c>
      <c r="F20" s="641">
        <f>transport!E14</f>
        <v>301.66858702106128</v>
      </c>
      <c r="G20" s="641">
        <f>transport!F14</f>
        <v>0</v>
      </c>
      <c r="H20" s="641">
        <f>transport!G14</f>
        <v>130729.01831170855</v>
      </c>
      <c r="I20" s="641">
        <f>transport!H14</f>
        <v>30107.649674348922</v>
      </c>
      <c r="J20" s="641">
        <f>transport!I14</f>
        <v>0</v>
      </c>
      <c r="K20" s="641">
        <f>transport!J14</f>
        <v>0</v>
      </c>
      <c r="L20" s="641">
        <f>transport!K14</f>
        <v>0</v>
      </c>
      <c r="M20" s="641">
        <f>transport!L14</f>
        <v>0</v>
      </c>
      <c r="N20" s="641">
        <f>transport!M14</f>
        <v>9528.8915832926159</v>
      </c>
      <c r="O20" s="641">
        <f>transport!N14</f>
        <v>0</v>
      </c>
      <c r="P20" s="641">
        <f>transport!O14</f>
        <v>0</v>
      </c>
      <c r="Q20" s="642">
        <f>transport!P14</f>
        <v>0</v>
      </c>
      <c r="R20" s="644">
        <f>SUM(C20:Q20)</f>
        <v>171174.29347425693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225.26476316861044</v>
      </c>
      <c r="D22" s="764">
        <f t="shared" ref="D22:R22" si="1">SUM(D18:D21)</f>
        <v>0</v>
      </c>
      <c r="E22" s="764">
        <f t="shared" si="1"/>
        <v>303.47817971548727</v>
      </c>
      <c r="F22" s="764">
        <f t="shared" si="1"/>
        <v>301.66858702106128</v>
      </c>
      <c r="G22" s="764">
        <f t="shared" si="1"/>
        <v>0</v>
      </c>
      <c r="H22" s="764">
        <f t="shared" si="1"/>
        <v>132299.59491521516</v>
      </c>
      <c r="I22" s="764">
        <f t="shared" si="1"/>
        <v>30107.649674348922</v>
      </c>
      <c r="J22" s="764">
        <f t="shared" si="1"/>
        <v>0</v>
      </c>
      <c r="K22" s="764">
        <f t="shared" si="1"/>
        <v>0</v>
      </c>
      <c r="L22" s="764">
        <f t="shared" si="1"/>
        <v>0</v>
      </c>
      <c r="M22" s="764">
        <f t="shared" si="1"/>
        <v>0</v>
      </c>
      <c r="N22" s="764">
        <f t="shared" si="1"/>
        <v>9617.7280732164763</v>
      </c>
      <c r="O22" s="764">
        <f t="shared" si="1"/>
        <v>0</v>
      </c>
      <c r="P22" s="764">
        <f t="shared" si="1"/>
        <v>0</v>
      </c>
      <c r="Q22" s="764">
        <f t="shared" si="1"/>
        <v>0</v>
      </c>
      <c r="R22" s="764">
        <f t="shared" si="1"/>
        <v>172855.38419268568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149.66077799999999</v>
      </c>
      <c r="D24" s="641">
        <f>+landbouw!C8</f>
        <v>0</v>
      </c>
      <c r="E24" s="641">
        <f>+landbouw!D8</f>
        <v>154.12889822</v>
      </c>
      <c r="F24" s="641">
        <f>+landbouw!E8</f>
        <v>6.0801861005193789</v>
      </c>
      <c r="G24" s="641">
        <f>+landbouw!F8</f>
        <v>529.40253950904491</v>
      </c>
      <c r="H24" s="641">
        <f>+landbouw!G8</f>
        <v>0</v>
      </c>
      <c r="I24" s="641">
        <f>+landbouw!H8</f>
        <v>0</v>
      </c>
      <c r="J24" s="641">
        <f>+landbouw!I8</f>
        <v>0</v>
      </c>
      <c r="K24" s="641">
        <f>+landbouw!J8</f>
        <v>42.5217293208147</v>
      </c>
      <c r="L24" s="641">
        <f>+landbouw!K8</f>
        <v>0</v>
      </c>
      <c r="M24" s="641">
        <f>+landbouw!L8</f>
        <v>0</v>
      </c>
      <c r="N24" s="641">
        <f>+landbouw!M8</f>
        <v>0</v>
      </c>
      <c r="O24" s="641">
        <f>+landbouw!N8</f>
        <v>0</v>
      </c>
      <c r="P24" s="641">
        <f>+landbouw!O8</f>
        <v>0</v>
      </c>
      <c r="Q24" s="642">
        <f>+landbouw!P8</f>
        <v>0</v>
      </c>
      <c r="R24" s="644">
        <f>SUM(C24:Q24)</f>
        <v>881.79413115037892</v>
      </c>
      <c r="S24" s="67"/>
    </row>
    <row r="25" spans="1:19" s="440" customFormat="1" ht="15" thickBot="1">
      <c r="A25" s="783" t="s">
        <v>683</v>
      </c>
      <c r="B25" s="901"/>
      <c r="C25" s="902">
        <f>IF(Onbekend_ele_kWh="---",0,Onbekend_ele_kWh)/1000+IF(REST_rest_ele_kWh="---",0,REST_rest_ele_kWh)/1000</f>
        <v>1304.1624890000001</v>
      </c>
      <c r="D25" s="902"/>
      <c r="E25" s="902">
        <f>IF(onbekend_gas_kWh="---",0,onbekend_gas_kWh)/1000+IF(REST_rest_gas_kWh="---",0,REST_rest_gas_kWh)/1000</f>
        <v>4078.5372809999999</v>
      </c>
      <c r="F25" s="902"/>
      <c r="G25" s="902"/>
      <c r="H25" s="902"/>
      <c r="I25" s="902"/>
      <c r="J25" s="902"/>
      <c r="K25" s="902"/>
      <c r="L25" s="902"/>
      <c r="M25" s="902"/>
      <c r="N25" s="902"/>
      <c r="O25" s="902"/>
      <c r="P25" s="902"/>
      <c r="Q25" s="903"/>
      <c r="R25" s="644">
        <f>SUM(C25:Q25)</f>
        <v>5382.6997700000002</v>
      </c>
      <c r="S25" s="67"/>
    </row>
    <row r="26" spans="1:19" s="440" customFormat="1" ht="15.75" thickBot="1">
      <c r="A26" s="649" t="s">
        <v>684</v>
      </c>
      <c r="B26" s="769"/>
      <c r="C26" s="764">
        <f>SUM(C24:C25)</f>
        <v>1453.823267</v>
      </c>
      <c r="D26" s="764">
        <f t="shared" ref="D26:R26" si="2">SUM(D24:D25)</f>
        <v>0</v>
      </c>
      <c r="E26" s="764">
        <f t="shared" si="2"/>
        <v>4232.6661792200002</v>
      </c>
      <c r="F26" s="764">
        <f t="shared" si="2"/>
        <v>6.0801861005193789</v>
      </c>
      <c r="G26" s="764">
        <f t="shared" si="2"/>
        <v>529.40253950904491</v>
      </c>
      <c r="H26" s="764">
        <f t="shared" si="2"/>
        <v>0</v>
      </c>
      <c r="I26" s="764">
        <f t="shared" si="2"/>
        <v>0</v>
      </c>
      <c r="J26" s="764">
        <f t="shared" si="2"/>
        <v>0</v>
      </c>
      <c r="K26" s="764">
        <f t="shared" si="2"/>
        <v>42.5217293208147</v>
      </c>
      <c r="L26" s="764">
        <f t="shared" si="2"/>
        <v>0</v>
      </c>
      <c r="M26" s="764">
        <f t="shared" si="2"/>
        <v>0</v>
      </c>
      <c r="N26" s="764">
        <f t="shared" si="2"/>
        <v>0</v>
      </c>
      <c r="O26" s="764">
        <f t="shared" si="2"/>
        <v>0</v>
      </c>
      <c r="P26" s="764">
        <f t="shared" si="2"/>
        <v>0</v>
      </c>
      <c r="Q26" s="764">
        <f t="shared" si="2"/>
        <v>0</v>
      </c>
      <c r="R26" s="764">
        <f t="shared" si="2"/>
        <v>6264.4939011503793</v>
      </c>
      <c r="S26" s="67"/>
    </row>
    <row r="27" spans="1:19" s="440" customFormat="1" ht="17.25" thickTop="1" thickBot="1">
      <c r="A27" s="650" t="s">
        <v>109</v>
      </c>
      <c r="B27" s="756"/>
      <c r="C27" s="651">
        <f ca="1">C22+C16+C26</f>
        <v>46854.050942073096</v>
      </c>
      <c r="D27" s="651">
        <f t="shared" ref="D27:R27" ca="1" si="3">D22+D16+D26</f>
        <v>0</v>
      </c>
      <c r="E27" s="651">
        <f t="shared" ca="1" si="3"/>
        <v>112235.20854842148</v>
      </c>
      <c r="F27" s="651">
        <f t="shared" si="3"/>
        <v>1500.4632559811441</v>
      </c>
      <c r="G27" s="651">
        <f t="shared" ca="1" si="3"/>
        <v>26850.078758781863</v>
      </c>
      <c r="H27" s="651">
        <f t="shared" si="3"/>
        <v>132299.59491521516</v>
      </c>
      <c r="I27" s="651">
        <f t="shared" si="3"/>
        <v>30107.649674348922</v>
      </c>
      <c r="J27" s="651">
        <f t="shared" si="3"/>
        <v>0</v>
      </c>
      <c r="K27" s="651">
        <f t="shared" si="3"/>
        <v>153.77762721845278</v>
      </c>
      <c r="L27" s="651">
        <f t="shared" si="3"/>
        <v>0</v>
      </c>
      <c r="M27" s="651">
        <f t="shared" ca="1" si="3"/>
        <v>0</v>
      </c>
      <c r="N27" s="651">
        <f t="shared" si="3"/>
        <v>9617.7280732164763</v>
      </c>
      <c r="O27" s="651">
        <f t="shared" ca="1" si="3"/>
        <v>9311.4115543600983</v>
      </c>
      <c r="P27" s="651">
        <f t="shared" si="3"/>
        <v>83.326245214255337</v>
      </c>
      <c r="Q27" s="651">
        <f t="shared" si="3"/>
        <v>410.30178007199549</v>
      </c>
      <c r="R27" s="651">
        <f t="shared" ca="1" si="3"/>
        <v>369423.59137490293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4364.1948755148305</v>
      </c>
      <c r="D40" s="641">
        <f ca="1">tertiair!C20</f>
        <v>0</v>
      </c>
      <c r="E40" s="641">
        <f ca="1">tertiair!D20</f>
        <v>5108.5791823953041</v>
      </c>
      <c r="F40" s="641">
        <f>tertiair!E20</f>
        <v>13.414893123809636</v>
      </c>
      <c r="G40" s="641">
        <f ca="1">tertiair!F20</f>
        <v>1176.5097743506017</v>
      </c>
      <c r="H40" s="641">
        <f>tertiair!G20</f>
        <v>0</v>
      </c>
      <c r="I40" s="641">
        <f>tertiair!H20</f>
        <v>0</v>
      </c>
      <c r="J40" s="641">
        <f>tertiair!I20</f>
        <v>0</v>
      </c>
      <c r="K40" s="641">
        <f>tertiair!J20</f>
        <v>1.3391197531332243E-2</v>
      </c>
      <c r="L40" s="641">
        <f>tertiair!K20</f>
        <v>0</v>
      </c>
      <c r="M40" s="641">
        <f ca="1">tertiair!L20</f>
        <v>0</v>
      </c>
      <c r="N40" s="641">
        <f>tertiair!M20</f>
        <v>0</v>
      </c>
      <c r="O40" s="641">
        <f ca="1">tertiair!N20</f>
        <v>0</v>
      </c>
      <c r="P40" s="641">
        <f>tertiair!O20</f>
        <v>0</v>
      </c>
      <c r="Q40" s="724">
        <f>tertiair!P20</f>
        <v>0</v>
      </c>
      <c r="R40" s="802">
        <f t="shared" ca="1" si="4"/>
        <v>10662.712116582077</v>
      </c>
    </row>
    <row r="41" spans="1:18">
      <c r="A41" s="774" t="s">
        <v>213</v>
      </c>
      <c r="B41" s="781"/>
      <c r="C41" s="641">
        <f ca="1">huishoudens!B12</f>
        <v>5140.3160791681712</v>
      </c>
      <c r="D41" s="641">
        <f ca="1">huishoudens!C12</f>
        <v>0</v>
      </c>
      <c r="E41" s="641">
        <f>huishoudens!D12</f>
        <v>16283.816981669601</v>
      </c>
      <c r="F41" s="641">
        <f>huishoudens!E12</f>
        <v>254.16502238879178</v>
      </c>
      <c r="G41" s="641">
        <f>huishoudens!F12</f>
        <v>5753.117765975283</v>
      </c>
      <c r="H41" s="641">
        <f>huishoudens!G12</f>
        <v>0</v>
      </c>
      <c r="I41" s="641">
        <f>huishoudens!H12</f>
        <v>0</v>
      </c>
      <c r="J41" s="641">
        <f>huishoudens!I12</f>
        <v>0</v>
      </c>
      <c r="K41" s="641">
        <f>huishoudens!J12</f>
        <v>39.031902046197438</v>
      </c>
      <c r="L41" s="641">
        <f>huishoudens!K12</f>
        <v>0</v>
      </c>
      <c r="M41" s="641">
        <f>huishoudens!L12</f>
        <v>0</v>
      </c>
      <c r="N41" s="641">
        <f>huishoudens!M12</f>
        <v>0</v>
      </c>
      <c r="O41" s="641">
        <f>huishoudens!N12</f>
        <v>0</v>
      </c>
      <c r="P41" s="641">
        <f>huishoudens!O12</f>
        <v>0</v>
      </c>
      <c r="Q41" s="724">
        <f>huishoudens!P12</f>
        <v>0</v>
      </c>
      <c r="R41" s="802">
        <f t="shared" ca="1" si="4"/>
        <v>27470.447751248044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301.1619689656809</v>
      </c>
      <c r="D43" s="641">
        <f ca="1">industrie!C22</f>
        <v>0</v>
      </c>
      <c r="E43" s="641">
        <f>industrie!D22</f>
        <v>362.81480221126799</v>
      </c>
      <c r="F43" s="641">
        <f>industrie!E22</f>
        <v>3.1662720965195592</v>
      </c>
      <c r="G43" s="641">
        <f>industrie!F22</f>
        <v>97.993010219957299</v>
      </c>
      <c r="H43" s="641">
        <f>industrie!G22</f>
        <v>0</v>
      </c>
      <c r="I43" s="641">
        <f>industrie!H22</f>
        <v>0</v>
      </c>
      <c r="J43" s="641">
        <f>industrie!I22</f>
        <v>0</v>
      </c>
      <c r="K43" s="641">
        <f>industrie!J22</f>
        <v>0.33929461203510997</v>
      </c>
      <c r="L43" s="641">
        <f>industrie!K22</f>
        <v>0</v>
      </c>
      <c r="M43" s="641">
        <f>industrie!L22</f>
        <v>0</v>
      </c>
      <c r="N43" s="641">
        <f>industrie!M22</f>
        <v>0</v>
      </c>
      <c r="O43" s="641">
        <f>industrie!N22</f>
        <v>0</v>
      </c>
      <c r="P43" s="641">
        <f>industrie!O22</f>
        <v>0</v>
      </c>
      <c r="Q43" s="724">
        <f>industrie!P22</f>
        <v>0</v>
      </c>
      <c r="R43" s="801">
        <f t="shared" ca="1" si="4"/>
        <v>765.47534810546097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9805.6729236486826</v>
      </c>
      <c r="D46" s="677">
        <f t="shared" ref="D46:Q46" ca="1" si="5">SUM(D39:D45)</f>
        <v>0</v>
      </c>
      <c r="E46" s="677">
        <f t="shared" ca="1" si="5"/>
        <v>21755.210966276176</v>
      </c>
      <c r="F46" s="677">
        <f t="shared" si="5"/>
        <v>270.74618760912097</v>
      </c>
      <c r="G46" s="677">
        <f t="shared" ca="1" si="5"/>
        <v>7027.6205505458411</v>
      </c>
      <c r="H46" s="677">
        <f t="shared" si="5"/>
        <v>0</v>
      </c>
      <c r="I46" s="677">
        <f t="shared" si="5"/>
        <v>0</v>
      </c>
      <c r="J46" s="677">
        <f t="shared" si="5"/>
        <v>0</v>
      </c>
      <c r="K46" s="677">
        <f t="shared" si="5"/>
        <v>39.384587855763883</v>
      </c>
      <c r="L46" s="677">
        <f t="shared" si="5"/>
        <v>0</v>
      </c>
      <c r="M46" s="677">
        <f t="shared" ca="1" si="5"/>
        <v>0</v>
      </c>
      <c r="N46" s="677">
        <f t="shared" si="5"/>
        <v>0</v>
      </c>
      <c r="O46" s="677">
        <f t="shared" ca="1" si="5"/>
        <v>0</v>
      </c>
      <c r="P46" s="677">
        <f t="shared" si="5"/>
        <v>0</v>
      </c>
      <c r="Q46" s="677">
        <f t="shared" si="5"/>
        <v>0</v>
      </c>
      <c r="R46" s="677">
        <f ca="1">SUM(R39:R45)</f>
        <v>38898.635215935581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4.7053431102860728</v>
      </c>
      <c r="D49" s="641">
        <f ca="1">transport!C58</f>
        <v>0</v>
      </c>
      <c r="E49" s="641">
        <f>transport!D58</f>
        <v>0</v>
      </c>
      <c r="F49" s="641">
        <f>transport!E58</f>
        <v>0</v>
      </c>
      <c r="G49" s="641">
        <f>transport!F58</f>
        <v>0</v>
      </c>
      <c r="H49" s="641">
        <f>transport!G58</f>
        <v>419.34395313625959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424.04929624654568</v>
      </c>
    </row>
    <row r="50" spans="1:18">
      <c r="A50" s="777" t="s">
        <v>295</v>
      </c>
      <c r="B50" s="787"/>
      <c r="C50" s="647">
        <f ca="1">transport!B18</f>
        <v>44.190603814166082</v>
      </c>
      <c r="D50" s="647">
        <f>transport!C18</f>
        <v>0</v>
      </c>
      <c r="E50" s="647">
        <f>transport!D18</f>
        <v>61.302592302528431</v>
      </c>
      <c r="F50" s="647">
        <f>transport!E18</f>
        <v>68.478769253780911</v>
      </c>
      <c r="G50" s="647">
        <f>transport!F18</f>
        <v>0</v>
      </c>
      <c r="H50" s="647">
        <f>transport!G18</f>
        <v>34904.647889226188</v>
      </c>
      <c r="I50" s="647">
        <f>transport!H18</f>
        <v>7496.8047689128816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42575.424623509542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48.895946924452154</v>
      </c>
      <c r="D52" s="677">
        <f t="shared" ref="D52:Q52" ca="1" si="6">SUM(D48:D51)</f>
        <v>0</v>
      </c>
      <c r="E52" s="677">
        <f t="shared" si="6"/>
        <v>61.302592302528431</v>
      </c>
      <c r="F52" s="677">
        <f t="shared" si="6"/>
        <v>68.478769253780911</v>
      </c>
      <c r="G52" s="677">
        <f t="shared" si="6"/>
        <v>0</v>
      </c>
      <c r="H52" s="677">
        <f t="shared" si="6"/>
        <v>35323.991842362448</v>
      </c>
      <c r="I52" s="677">
        <f t="shared" si="6"/>
        <v>7496.8047689128816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42999.473919756085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32.485353478399311</v>
      </c>
      <c r="D54" s="647">
        <f ca="1">+landbouw!C12</f>
        <v>0</v>
      </c>
      <c r="E54" s="647">
        <f>+landbouw!D12</f>
        <v>31.13403744044</v>
      </c>
      <c r="F54" s="647">
        <f>+landbouw!E12</f>
        <v>1.380202244817899</v>
      </c>
      <c r="G54" s="647">
        <f>+landbouw!F12</f>
        <v>141.35047804891499</v>
      </c>
      <c r="H54" s="647">
        <f>+landbouw!G12</f>
        <v>0</v>
      </c>
      <c r="I54" s="647">
        <f>+landbouw!H12</f>
        <v>0</v>
      </c>
      <c r="J54" s="647">
        <f>+landbouw!I12</f>
        <v>0</v>
      </c>
      <c r="K54" s="647">
        <f>+landbouw!J12</f>
        <v>15.052692179568403</v>
      </c>
      <c r="L54" s="647">
        <f>+landbouw!K12</f>
        <v>0</v>
      </c>
      <c r="M54" s="647">
        <f>+landbouw!L12</f>
        <v>0</v>
      </c>
      <c r="N54" s="647">
        <f>+landbouw!M12</f>
        <v>0</v>
      </c>
      <c r="O54" s="647">
        <f>+landbouw!N12</f>
        <v>0</v>
      </c>
      <c r="P54" s="647">
        <f>+landbouw!O12</f>
        <v>0</v>
      </c>
      <c r="Q54" s="648">
        <f>+landbouw!P12</f>
        <v>0</v>
      </c>
      <c r="R54" s="676">
        <f ca="1">SUM(C54:Q54)</f>
        <v>221.4027633921406</v>
      </c>
    </row>
    <row r="55" spans="1:18" ht="15" thickBot="1">
      <c r="A55" s="777" t="s">
        <v>683</v>
      </c>
      <c r="B55" s="787"/>
      <c r="C55" s="647">
        <f ca="1">C25*'EF ele_warmte'!B12</f>
        <v>283.08137920032772</v>
      </c>
      <c r="D55" s="647"/>
      <c r="E55" s="647">
        <f>E25*EF_CO2_aardgas</f>
        <v>823.86453076200007</v>
      </c>
      <c r="F55" s="647"/>
      <c r="G55" s="647"/>
      <c r="H55" s="647"/>
      <c r="I55" s="647"/>
      <c r="J55" s="647"/>
      <c r="K55" s="647"/>
      <c r="L55" s="647"/>
      <c r="M55" s="647"/>
      <c r="N55" s="647"/>
      <c r="O55" s="647"/>
      <c r="P55" s="647"/>
      <c r="Q55" s="648"/>
      <c r="R55" s="676">
        <f ca="1">SUM(C55:Q55)</f>
        <v>1106.9459099623277</v>
      </c>
    </row>
    <row r="56" spans="1:18" ht="15.75" thickBot="1">
      <c r="A56" s="775" t="s">
        <v>684</v>
      </c>
      <c r="B56" s="788"/>
      <c r="C56" s="677">
        <f ca="1">SUM(C54:C55)</f>
        <v>315.56673267872702</v>
      </c>
      <c r="D56" s="677">
        <f t="shared" ref="D56:Q56" ca="1" si="7">SUM(D54:D55)</f>
        <v>0</v>
      </c>
      <c r="E56" s="677">
        <f t="shared" si="7"/>
        <v>854.99856820244008</v>
      </c>
      <c r="F56" s="677">
        <f t="shared" si="7"/>
        <v>1.380202244817899</v>
      </c>
      <c r="G56" s="677">
        <f t="shared" si="7"/>
        <v>141.35047804891499</v>
      </c>
      <c r="H56" s="677">
        <f t="shared" si="7"/>
        <v>0</v>
      </c>
      <c r="I56" s="677">
        <f t="shared" si="7"/>
        <v>0</v>
      </c>
      <c r="J56" s="677">
        <f t="shared" si="7"/>
        <v>0</v>
      </c>
      <c r="K56" s="677">
        <f t="shared" si="7"/>
        <v>15.052692179568403</v>
      </c>
      <c r="L56" s="677">
        <f t="shared" si="7"/>
        <v>0</v>
      </c>
      <c r="M56" s="677">
        <f t="shared" si="7"/>
        <v>0</v>
      </c>
      <c r="N56" s="677">
        <f t="shared" si="7"/>
        <v>0</v>
      </c>
      <c r="O56" s="677">
        <f t="shared" si="7"/>
        <v>0</v>
      </c>
      <c r="P56" s="677">
        <f t="shared" si="7"/>
        <v>0</v>
      </c>
      <c r="Q56" s="678">
        <f t="shared" si="7"/>
        <v>0</v>
      </c>
      <c r="R56" s="679">
        <f ca="1">SUM(R54:R55)</f>
        <v>1328.3486733544682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10170.135603251863</v>
      </c>
      <c r="D61" s="685">
        <f t="shared" ref="D61:Q61" ca="1" si="8">D46+D52+D56</f>
        <v>0</v>
      </c>
      <c r="E61" s="685">
        <f t="shared" ca="1" si="8"/>
        <v>22671.512126781145</v>
      </c>
      <c r="F61" s="685">
        <f t="shared" si="8"/>
        <v>340.60515910771977</v>
      </c>
      <c r="G61" s="685">
        <f t="shared" ca="1" si="8"/>
        <v>7168.9710285947558</v>
      </c>
      <c r="H61" s="685">
        <f t="shared" si="8"/>
        <v>35323.991842362448</v>
      </c>
      <c r="I61" s="685">
        <f t="shared" si="8"/>
        <v>7496.8047689128816</v>
      </c>
      <c r="J61" s="685">
        <f t="shared" si="8"/>
        <v>0</v>
      </c>
      <c r="K61" s="685">
        <f t="shared" si="8"/>
        <v>54.437280035332286</v>
      </c>
      <c r="L61" s="685">
        <f t="shared" si="8"/>
        <v>0</v>
      </c>
      <c r="M61" s="685">
        <f t="shared" ca="1" si="8"/>
        <v>0</v>
      </c>
      <c r="N61" s="685">
        <f t="shared" si="8"/>
        <v>0</v>
      </c>
      <c r="O61" s="685">
        <f t="shared" ca="1" si="8"/>
        <v>0</v>
      </c>
      <c r="P61" s="685">
        <f t="shared" si="8"/>
        <v>0</v>
      </c>
      <c r="Q61" s="685">
        <f t="shared" si="8"/>
        <v>0</v>
      </c>
      <c r="R61" s="685">
        <f ca="1">R46+R52+R56</f>
        <v>83226.457809046129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0.21705989981155463</v>
      </c>
      <c r="D63" s="731">
        <f t="shared" ca="1" si="9"/>
        <v>0</v>
      </c>
      <c r="E63" s="927">
        <f t="shared" ca="1" si="9"/>
        <v>0.20200000000000007</v>
      </c>
      <c r="F63" s="731">
        <f t="shared" si="9"/>
        <v>0.22700000000000004</v>
      </c>
      <c r="G63" s="731">
        <f t="shared" ca="1" si="9"/>
        <v>0.26699999999999996</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835.33780518683989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835.33780518683989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23681.555568904489</v>
      </c>
      <c r="C4" s="444">
        <f>huishoudens!C8</f>
        <v>0</v>
      </c>
      <c r="D4" s="444">
        <f>huishoudens!D8</f>
        <v>80612.955354799997</v>
      </c>
      <c r="E4" s="444">
        <f>huishoudens!E8</f>
        <v>1119.6697021532677</v>
      </c>
      <c r="F4" s="444">
        <f>huishoudens!F8</f>
        <v>21547.257550469225</v>
      </c>
      <c r="G4" s="444">
        <f>huishoudens!G8</f>
        <v>0</v>
      </c>
      <c r="H4" s="444">
        <f>huishoudens!H8</f>
        <v>0</v>
      </c>
      <c r="I4" s="444">
        <f>huishoudens!I8</f>
        <v>0</v>
      </c>
      <c r="J4" s="444">
        <f>huishoudens!J8</f>
        <v>110.25961029999276</v>
      </c>
      <c r="K4" s="444">
        <f>huishoudens!K8</f>
        <v>0</v>
      </c>
      <c r="L4" s="444">
        <f>huishoudens!L8</f>
        <v>0</v>
      </c>
      <c r="M4" s="444">
        <f>huishoudens!M8</f>
        <v>0</v>
      </c>
      <c r="N4" s="444">
        <f>huishoudens!N8</f>
        <v>7851.6059677358298</v>
      </c>
      <c r="O4" s="444">
        <f>huishoudens!O8</f>
        <v>83.326245214255337</v>
      </c>
      <c r="P4" s="445">
        <f>huishoudens!P8</f>
        <v>200.14522684601545</v>
      </c>
      <c r="Q4" s="446">
        <f>SUM(B4:P4)</f>
        <v>135206.77522642308</v>
      </c>
    </row>
    <row r="5" spans="1:17">
      <c r="A5" s="443" t="s">
        <v>149</v>
      </c>
      <c r="B5" s="444">
        <f ca="1">tertiair!B16</f>
        <v>18721.002156999999</v>
      </c>
      <c r="C5" s="444">
        <f ca="1">tertiair!C16</f>
        <v>0</v>
      </c>
      <c r="D5" s="444">
        <f ca="1">tertiair!D16</f>
        <v>25289.995952451998</v>
      </c>
      <c r="E5" s="444">
        <f>tertiair!E16</f>
        <v>59.096445479337604</v>
      </c>
      <c r="F5" s="444">
        <f ca="1">tertiair!F16</f>
        <v>4406.4036492531895</v>
      </c>
      <c r="G5" s="444">
        <f>tertiair!G16</f>
        <v>0</v>
      </c>
      <c r="H5" s="444">
        <f>tertiair!H16</f>
        <v>0</v>
      </c>
      <c r="I5" s="444">
        <f>tertiair!I16</f>
        <v>0</v>
      </c>
      <c r="J5" s="444">
        <f>tertiair!J16</f>
        <v>3.7828241613932889E-2</v>
      </c>
      <c r="K5" s="444">
        <f>tertiair!K16</f>
        <v>0</v>
      </c>
      <c r="L5" s="444">
        <f ca="1">tertiair!L16</f>
        <v>0</v>
      </c>
      <c r="M5" s="444">
        <f>tertiair!M16</f>
        <v>0</v>
      </c>
      <c r="N5" s="444">
        <f ca="1">tertiair!N16</f>
        <v>1392.3424435012651</v>
      </c>
      <c r="O5" s="444">
        <f>tertiair!O16</f>
        <v>0</v>
      </c>
      <c r="P5" s="445">
        <f>tertiair!P16</f>
        <v>210.15655322598008</v>
      </c>
      <c r="Q5" s="443">
        <f t="shared" ref="Q5:Q14" ca="1" si="0">SUM(B5:P5)</f>
        <v>50079.035029153376</v>
      </c>
    </row>
    <row r="6" spans="1:17">
      <c r="A6" s="443" t="s">
        <v>187</v>
      </c>
      <c r="B6" s="444">
        <f>'openbare verlichting'!B8</f>
        <v>1384.9449999999999</v>
      </c>
      <c r="C6" s="444"/>
      <c r="D6" s="444"/>
      <c r="E6" s="444"/>
      <c r="F6" s="444"/>
      <c r="G6" s="444"/>
      <c r="H6" s="444"/>
      <c r="I6" s="444"/>
      <c r="J6" s="444"/>
      <c r="K6" s="444"/>
      <c r="L6" s="444"/>
      <c r="M6" s="444"/>
      <c r="N6" s="444"/>
      <c r="O6" s="444"/>
      <c r="P6" s="445"/>
      <c r="Q6" s="443">
        <f t="shared" si="0"/>
        <v>1384.9449999999999</v>
      </c>
    </row>
    <row r="7" spans="1:17">
      <c r="A7" s="443" t="s">
        <v>105</v>
      </c>
      <c r="B7" s="444">
        <f>landbouw!B8</f>
        <v>149.66077799999999</v>
      </c>
      <c r="C7" s="444">
        <f>landbouw!C8</f>
        <v>0</v>
      </c>
      <c r="D7" s="444">
        <f>landbouw!D8</f>
        <v>154.12889822</v>
      </c>
      <c r="E7" s="444">
        <f>landbouw!E8</f>
        <v>6.0801861005193789</v>
      </c>
      <c r="F7" s="444">
        <f>landbouw!F8</f>
        <v>529.40253950904491</v>
      </c>
      <c r="G7" s="444">
        <f>landbouw!G8</f>
        <v>0</v>
      </c>
      <c r="H7" s="444">
        <f>landbouw!H8</f>
        <v>0</v>
      </c>
      <c r="I7" s="444">
        <f>landbouw!I8</f>
        <v>0</v>
      </c>
      <c r="J7" s="444">
        <f>landbouw!J8</f>
        <v>42.5217293208147</v>
      </c>
      <c r="K7" s="444">
        <f>landbouw!K8</f>
        <v>0</v>
      </c>
      <c r="L7" s="444">
        <f>landbouw!L8</f>
        <v>0</v>
      </c>
      <c r="M7" s="444">
        <f>landbouw!M8</f>
        <v>0</v>
      </c>
      <c r="N7" s="444">
        <f>landbouw!N8</f>
        <v>0</v>
      </c>
      <c r="O7" s="444">
        <f>landbouw!O8</f>
        <v>0</v>
      </c>
      <c r="P7" s="445">
        <f>landbouw!P8</f>
        <v>0</v>
      </c>
      <c r="Q7" s="443">
        <f t="shared" si="0"/>
        <v>881.79413115037892</v>
      </c>
    </row>
    <row r="8" spans="1:17">
      <c r="A8" s="443" t="s">
        <v>587</v>
      </c>
      <c r="B8" s="444">
        <f>industrie!B18</f>
        <v>1387.460186</v>
      </c>
      <c r="C8" s="444">
        <f>industrie!C18</f>
        <v>0</v>
      </c>
      <c r="D8" s="444">
        <f>industrie!D18</f>
        <v>1796.1128822339999</v>
      </c>
      <c r="E8" s="444">
        <f>industrie!E18</f>
        <v>13.94833522695841</v>
      </c>
      <c r="F8" s="444">
        <f>industrie!F18</f>
        <v>367.01501955040186</v>
      </c>
      <c r="G8" s="444">
        <f>industrie!G18</f>
        <v>0</v>
      </c>
      <c r="H8" s="444">
        <f>industrie!H18</f>
        <v>0</v>
      </c>
      <c r="I8" s="444">
        <f>industrie!I18</f>
        <v>0</v>
      </c>
      <c r="J8" s="444">
        <f>industrie!J18</f>
        <v>0.9584593560313841</v>
      </c>
      <c r="K8" s="444">
        <f>industrie!K18</f>
        <v>0</v>
      </c>
      <c r="L8" s="444">
        <f>industrie!L18</f>
        <v>0</v>
      </c>
      <c r="M8" s="444">
        <f>industrie!M18</f>
        <v>0</v>
      </c>
      <c r="N8" s="444">
        <f>industrie!N18</f>
        <v>67.46314312300305</v>
      </c>
      <c r="O8" s="444">
        <f>industrie!O18</f>
        <v>0</v>
      </c>
      <c r="P8" s="445">
        <f>industrie!P18</f>
        <v>0</v>
      </c>
      <c r="Q8" s="443">
        <f t="shared" si="0"/>
        <v>3632.9580254903949</v>
      </c>
    </row>
    <row r="9" spans="1:17" s="449" customFormat="1">
      <c r="A9" s="447" t="s">
        <v>536</v>
      </c>
      <c r="B9" s="448">
        <f>transport!B14</f>
        <v>203.58713817029835</v>
      </c>
      <c r="C9" s="448">
        <f>transport!C14</f>
        <v>0</v>
      </c>
      <c r="D9" s="448">
        <f>transport!D14</f>
        <v>303.47817971548727</v>
      </c>
      <c r="E9" s="448">
        <f>transport!E14</f>
        <v>301.66858702106128</v>
      </c>
      <c r="F9" s="448">
        <f>transport!F14</f>
        <v>0</v>
      </c>
      <c r="G9" s="448">
        <f>transport!G14</f>
        <v>130729.01831170855</v>
      </c>
      <c r="H9" s="448">
        <f>transport!H14</f>
        <v>30107.649674348922</v>
      </c>
      <c r="I9" s="448">
        <f>transport!I14</f>
        <v>0</v>
      </c>
      <c r="J9" s="448">
        <f>transport!J14</f>
        <v>0</v>
      </c>
      <c r="K9" s="448">
        <f>transport!K14</f>
        <v>0</v>
      </c>
      <c r="L9" s="448">
        <f>transport!L14</f>
        <v>0</v>
      </c>
      <c r="M9" s="448">
        <f>transport!M14</f>
        <v>9528.8915832926159</v>
      </c>
      <c r="N9" s="448">
        <f>transport!N14</f>
        <v>0</v>
      </c>
      <c r="O9" s="448">
        <f>transport!O14</f>
        <v>0</v>
      </c>
      <c r="P9" s="448">
        <f>transport!P14</f>
        <v>0</v>
      </c>
      <c r="Q9" s="447">
        <f>SUM(B9:P9)</f>
        <v>171174.29347425693</v>
      </c>
    </row>
    <row r="10" spans="1:17">
      <c r="A10" s="443" t="s">
        <v>526</v>
      </c>
      <c r="B10" s="444">
        <f>transport!B54</f>
        <v>21.677624998312087</v>
      </c>
      <c r="C10" s="444">
        <f>transport!C54</f>
        <v>0</v>
      </c>
      <c r="D10" s="444">
        <f>transport!D54</f>
        <v>0</v>
      </c>
      <c r="E10" s="444">
        <f>transport!E54</f>
        <v>0</v>
      </c>
      <c r="F10" s="444">
        <f>transport!F54</f>
        <v>0</v>
      </c>
      <c r="G10" s="444">
        <f>transport!G54</f>
        <v>1570.5766035065901</v>
      </c>
      <c r="H10" s="444">
        <f>transport!H54</f>
        <v>0</v>
      </c>
      <c r="I10" s="444">
        <f>transport!I54</f>
        <v>0</v>
      </c>
      <c r="J10" s="444">
        <f>transport!J54</f>
        <v>0</v>
      </c>
      <c r="K10" s="444">
        <f>transport!K54</f>
        <v>0</v>
      </c>
      <c r="L10" s="444">
        <f>transport!L54</f>
        <v>0</v>
      </c>
      <c r="M10" s="444">
        <f>transport!M54</f>
        <v>88.836489923860384</v>
      </c>
      <c r="N10" s="444">
        <f>transport!N54</f>
        <v>0</v>
      </c>
      <c r="O10" s="444">
        <f>transport!O54</f>
        <v>0</v>
      </c>
      <c r="P10" s="445">
        <f>transport!P54</f>
        <v>0</v>
      </c>
      <c r="Q10" s="443">
        <f t="shared" si="0"/>
        <v>1681.0907184287626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1304.1624890000001</v>
      </c>
      <c r="C14" s="451"/>
      <c r="D14" s="451">
        <f>'SEAP template'!E25</f>
        <v>4078.5372809999999</v>
      </c>
      <c r="E14" s="451"/>
      <c r="F14" s="451"/>
      <c r="G14" s="451"/>
      <c r="H14" s="451"/>
      <c r="I14" s="451"/>
      <c r="J14" s="451"/>
      <c r="K14" s="451"/>
      <c r="L14" s="451"/>
      <c r="M14" s="451"/>
      <c r="N14" s="451"/>
      <c r="O14" s="451"/>
      <c r="P14" s="452"/>
      <c r="Q14" s="443">
        <f t="shared" si="0"/>
        <v>5382.6997700000002</v>
      </c>
    </row>
    <row r="15" spans="1:17" s="455" customFormat="1">
      <c r="A15" s="453" t="s">
        <v>530</v>
      </c>
      <c r="B15" s="454">
        <f ca="1">SUM(B4:B14)</f>
        <v>46854.050942073089</v>
      </c>
      <c r="C15" s="454">
        <f t="shared" ref="C15:Q15" ca="1" si="1">SUM(C4:C14)</f>
        <v>0</v>
      </c>
      <c r="D15" s="454">
        <f t="shared" ca="1" si="1"/>
        <v>112235.20854842148</v>
      </c>
      <c r="E15" s="454">
        <f t="shared" si="1"/>
        <v>1500.4632559811441</v>
      </c>
      <c r="F15" s="454">
        <f t="shared" ca="1" si="1"/>
        <v>26850.078758781863</v>
      </c>
      <c r="G15" s="454">
        <f t="shared" si="1"/>
        <v>132299.59491521516</v>
      </c>
      <c r="H15" s="454">
        <f t="shared" si="1"/>
        <v>30107.649674348922</v>
      </c>
      <c r="I15" s="454">
        <f t="shared" si="1"/>
        <v>0</v>
      </c>
      <c r="J15" s="454">
        <f t="shared" si="1"/>
        <v>153.77762721845281</v>
      </c>
      <c r="K15" s="454">
        <f t="shared" si="1"/>
        <v>0</v>
      </c>
      <c r="L15" s="454">
        <f t="shared" ca="1" si="1"/>
        <v>0</v>
      </c>
      <c r="M15" s="454">
        <f t="shared" si="1"/>
        <v>9617.7280732164763</v>
      </c>
      <c r="N15" s="454">
        <f t="shared" ca="1" si="1"/>
        <v>9311.4115543600983</v>
      </c>
      <c r="O15" s="454">
        <f t="shared" si="1"/>
        <v>83.326245214255337</v>
      </c>
      <c r="P15" s="454">
        <f t="shared" si="1"/>
        <v>410.30178007199549</v>
      </c>
      <c r="Q15" s="454">
        <f t="shared" ca="1" si="1"/>
        <v>369423.59137490299</v>
      </c>
    </row>
    <row r="17" spans="1:17">
      <c r="A17" s="456" t="s">
        <v>531</v>
      </c>
      <c r="B17" s="736">
        <f ca="1">huishoudens!B10</f>
        <v>0.2170598998115546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5140.3160791681712</v>
      </c>
      <c r="C22" s="444">
        <f t="shared" ref="C22:C32" ca="1" si="3">C4*$C$17</f>
        <v>0</v>
      </c>
      <c r="D22" s="444">
        <f t="shared" ref="D22:D32" si="4">D4*$D$17</f>
        <v>16283.816981669601</v>
      </c>
      <c r="E22" s="444">
        <f t="shared" ref="E22:E32" si="5">E4*$E$17</f>
        <v>254.16502238879178</v>
      </c>
      <c r="F22" s="444">
        <f t="shared" ref="F22:F32" si="6">F4*$F$17</f>
        <v>5753.117765975283</v>
      </c>
      <c r="G22" s="444">
        <f t="shared" ref="G22:G32" si="7">G4*$G$17</f>
        <v>0</v>
      </c>
      <c r="H22" s="444">
        <f t="shared" ref="H22:H32" si="8">H4*$H$17</f>
        <v>0</v>
      </c>
      <c r="I22" s="444">
        <f t="shared" ref="I22:I32" si="9">I4*$I$17</f>
        <v>0</v>
      </c>
      <c r="J22" s="444">
        <f t="shared" ref="J22:J32" si="10">J4*$J$17</f>
        <v>39.031902046197438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27470.447751248044</v>
      </c>
    </row>
    <row r="23" spans="1:17">
      <c r="A23" s="443" t="s">
        <v>149</v>
      </c>
      <c r="B23" s="444">
        <f t="shared" ca="1" si="2"/>
        <v>4063.5788525703174</v>
      </c>
      <c r="C23" s="444">
        <f t="shared" ca="1" si="3"/>
        <v>0</v>
      </c>
      <c r="D23" s="444">
        <f t="shared" ca="1" si="4"/>
        <v>5108.5791823953041</v>
      </c>
      <c r="E23" s="444">
        <f t="shared" si="5"/>
        <v>13.414893123809636</v>
      </c>
      <c r="F23" s="444">
        <f t="shared" ca="1" si="6"/>
        <v>1176.5097743506017</v>
      </c>
      <c r="G23" s="444">
        <f t="shared" si="7"/>
        <v>0</v>
      </c>
      <c r="H23" s="444">
        <f t="shared" si="8"/>
        <v>0</v>
      </c>
      <c r="I23" s="444">
        <f t="shared" si="9"/>
        <v>0</v>
      </c>
      <c r="J23" s="444">
        <f t="shared" si="10"/>
        <v>1.3391197531332243E-2</v>
      </c>
      <c r="K23" s="444">
        <f t="shared" si="11"/>
        <v>0</v>
      </c>
      <c r="L23" s="444">
        <f t="shared" ca="1" si="12"/>
        <v>0</v>
      </c>
      <c r="M23" s="444">
        <f t="shared" si="13"/>
        <v>0</v>
      </c>
      <c r="N23" s="444">
        <f t="shared" ca="1" si="14"/>
        <v>0</v>
      </c>
      <c r="O23" s="444">
        <f t="shared" si="15"/>
        <v>0</v>
      </c>
      <c r="P23" s="445">
        <f t="shared" si="16"/>
        <v>0</v>
      </c>
      <c r="Q23" s="443">
        <f t="shared" ref="Q23:Q31" ca="1" si="17">SUM(B23:P23)</f>
        <v>10362.096093637565</v>
      </c>
    </row>
    <row r="24" spans="1:17">
      <c r="A24" s="443" t="s">
        <v>187</v>
      </c>
      <c r="B24" s="444">
        <f t="shared" ca="1" si="2"/>
        <v>300.61602294451347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300.61602294451347</v>
      </c>
    </row>
    <row r="25" spans="1:17">
      <c r="A25" s="443" t="s">
        <v>105</v>
      </c>
      <c r="B25" s="444">
        <f t="shared" ca="1" si="2"/>
        <v>32.485353478399311</v>
      </c>
      <c r="C25" s="444">
        <f t="shared" ca="1" si="3"/>
        <v>0</v>
      </c>
      <c r="D25" s="444">
        <f t="shared" si="4"/>
        <v>31.13403744044</v>
      </c>
      <c r="E25" s="444">
        <f t="shared" si="5"/>
        <v>1.380202244817899</v>
      </c>
      <c r="F25" s="444">
        <f t="shared" si="6"/>
        <v>141.35047804891499</v>
      </c>
      <c r="G25" s="444">
        <f t="shared" si="7"/>
        <v>0</v>
      </c>
      <c r="H25" s="444">
        <f t="shared" si="8"/>
        <v>0</v>
      </c>
      <c r="I25" s="444">
        <f t="shared" si="9"/>
        <v>0</v>
      </c>
      <c r="J25" s="444">
        <f t="shared" si="10"/>
        <v>15.052692179568403</v>
      </c>
      <c r="K25" s="444">
        <f t="shared" si="11"/>
        <v>0</v>
      </c>
      <c r="L25" s="444">
        <f t="shared" si="12"/>
        <v>0</v>
      </c>
      <c r="M25" s="444">
        <f t="shared" si="13"/>
        <v>0</v>
      </c>
      <c r="N25" s="444">
        <f t="shared" si="14"/>
        <v>0</v>
      </c>
      <c r="O25" s="444">
        <f t="shared" si="15"/>
        <v>0</v>
      </c>
      <c r="P25" s="445">
        <f t="shared" si="16"/>
        <v>0</v>
      </c>
      <c r="Q25" s="443">
        <f t="shared" ca="1" si="17"/>
        <v>221.4027633921406</v>
      </c>
    </row>
    <row r="26" spans="1:17">
      <c r="A26" s="443" t="s">
        <v>587</v>
      </c>
      <c r="B26" s="444">
        <f t="shared" ca="1" si="2"/>
        <v>301.1619689656809</v>
      </c>
      <c r="C26" s="444">
        <f t="shared" ca="1" si="3"/>
        <v>0</v>
      </c>
      <c r="D26" s="444">
        <f t="shared" si="4"/>
        <v>362.81480221126799</v>
      </c>
      <c r="E26" s="444">
        <f t="shared" si="5"/>
        <v>3.1662720965195592</v>
      </c>
      <c r="F26" s="444">
        <f t="shared" si="6"/>
        <v>97.993010219957299</v>
      </c>
      <c r="G26" s="444">
        <f t="shared" si="7"/>
        <v>0</v>
      </c>
      <c r="H26" s="444">
        <f t="shared" si="8"/>
        <v>0</v>
      </c>
      <c r="I26" s="444">
        <f t="shared" si="9"/>
        <v>0</v>
      </c>
      <c r="J26" s="444">
        <f t="shared" si="10"/>
        <v>0.33929461203510997</v>
      </c>
      <c r="K26" s="444">
        <f t="shared" si="11"/>
        <v>0</v>
      </c>
      <c r="L26" s="444">
        <f t="shared" si="12"/>
        <v>0</v>
      </c>
      <c r="M26" s="444">
        <f t="shared" si="13"/>
        <v>0</v>
      </c>
      <c r="N26" s="444">
        <f t="shared" si="14"/>
        <v>0</v>
      </c>
      <c r="O26" s="444">
        <f t="shared" si="15"/>
        <v>0</v>
      </c>
      <c r="P26" s="445">
        <f t="shared" si="16"/>
        <v>0</v>
      </c>
      <c r="Q26" s="443">
        <f t="shared" ca="1" si="17"/>
        <v>765.47534810546097</v>
      </c>
    </row>
    <row r="27" spans="1:17" s="449" customFormat="1">
      <c r="A27" s="447" t="s">
        <v>536</v>
      </c>
      <c r="B27" s="730">
        <f t="shared" ca="1" si="2"/>
        <v>44.190603814166082</v>
      </c>
      <c r="C27" s="448">
        <f t="shared" ca="1" si="3"/>
        <v>0</v>
      </c>
      <c r="D27" s="448">
        <f t="shared" si="4"/>
        <v>61.302592302528431</v>
      </c>
      <c r="E27" s="448">
        <f t="shared" si="5"/>
        <v>68.478769253780911</v>
      </c>
      <c r="F27" s="448">
        <f t="shared" si="6"/>
        <v>0</v>
      </c>
      <c r="G27" s="448">
        <f t="shared" si="7"/>
        <v>34904.647889226188</v>
      </c>
      <c r="H27" s="448">
        <f t="shared" si="8"/>
        <v>7496.8047689128816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42575.424623509542</v>
      </c>
    </row>
    <row r="28" spans="1:17" ht="16.5" customHeight="1">
      <c r="A28" s="443" t="s">
        <v>526</v>
      </c>
      <c r="B28" s="444">
        <f t="shared" ca="1" si="2"/>
        <v>4.7053431102860728</v>
      </c>
      <c r="C28" s="444">
        <f t="shared" ca="1" si="3"/>
        <v>0</v>
      </c>
      <c r="D28" s="444">
        <f t="shared" si="4"/>
        <v>0</v>
      </c>
      <c r="E28" s="444">
        <f t="shared" si="5"/>
        <v>0</v>
      </c>
      <c r="F28" s="444">
        <f t="shared" si="6"/>
        <v>0</v>
      </c>
      <c r="G28" s="444">
        <f t="shared" si="7"/>
        <v>419.34395313625959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424.04929624654568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283.08137920032772</v>
      </c>
      <c r="C32" s="444">
        <f t="shared" ca="1" si="3"/>
        <v>0</v>
      </c>
      <c r="D32" s="444">
        <f t="shared" si="4"/>
        <v>823.86453076200007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1106.9459099623277</v>
      </c>
    </row>
    <row r="33" spans="1:17" s="455" customFormat="1">
      <c r="A33" s="453" t="s">
        <v>530</v>
      </c>
      <c r="B33" s="454">
        <f ca="1">SUM(B22:B32)</f>
        <v>10170.135603251865</v>
      </c>
      <c r="C33" s="454">
        <f t="shared" ref="C33:Q33" ca="1" si="19">SUM(C22:C32)</f>
        <v>0</v>
      </c>
      <c r="D33" s="454">
        <f t="shared" ca="1" si="19"/>
        <v>22671.512126781141</v>
      </c>
      <c r="E33" s="454">
        <f t="shared" si="19"/>
        <v>340.60515910771977</v>
      </c>
      <c r="F33" s="454">
        <f t="shared" ca="1" si="19"/>
        <v>7168.9710285947558</v>
      </c>
      <c r="G33" s="454">
        <f t="shared" si="19"/>
        <v>35323.991842362448</v>
      </c>
      <c r="H33" s="454">
        <f t="shared" si="19"/>
        <v>7496.8047689128816</v>
      </c>
      <c r="I33" s="454">
        <f t="shared" si="19"/>
        <v>0</v>
      </c>
      <c r="J33" s="454">
        <f t="shared" si="19"/>
        <v>54.437280035332286</v>
      </c>
      <c r="K33" s="454">
        <f t="shared" si="19"/>
        <v>0</v>
      </c>
      <c r="L33" s="454">
        <f t="shared" ca="1" si="19"/>
        <v>0</v>
      </c>
      <c r="M33" s="454">
        <f t="shared" si="19"/>
        <v>0</v>
      </c>
      <c r="N33" s="454">
        <f t="shared" ca="1" si="19"/>
        <v>0</v>
      </c>
      <c r="O33" s="454">
        <f t="shared" si="19"/>
        <v>0</v>
      </c>
      <c r="P33" s="454">
        <f t="shared" si="19"/>
        <v>0</v>
      </c>
      <c r="Q33" s="454">
        <f t="shared" ca="1" si="19"/>
        <v>83226.457809046158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835.33780518683989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835.33780518683989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0.2170598998115546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0.2170598998115546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2022-07-26T10:11:59Z</dcterms:modified>
</cp:coreProperties>
</file>