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97232AF9-9E1E-4088-94FD-CF83233BDE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<sst xmlns="http://schemas.openxmlformats.org/spreadsheetml/2006/main" count="2420" uniqueCount="890">
  <si>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</si>
  <si>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</si>
  <si>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</si>
  <si>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</si>
  <si>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</si>
  <si>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</si>
  <si>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</si>
  <si>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</si>
  <si>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</si>
  <si>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</si>
  <si>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</si>
  <si>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</si>
  <si>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</si>
  <si>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</si>
  <si>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</si>
  <si>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</si>
  <si>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</si>
  <si>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</si>
  <si>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</si>
  <si>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</si>
  <si>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</si>
  <si>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</si>
  <si>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</si>
  <si>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</si>
  <si>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</si>
  <si>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</si>
  <si>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</si>
  <si>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</si>
  <si>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</si>
  <si>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</si>
  <si>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</si>
  <si>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</si>
  <si>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</si>
  <si>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</si>
  <si>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</si>
  <si>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</si>
  <si>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</si>
  <si>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</si>
  <si>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</si>
  <si>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</si>
  <si>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</si>
  <si>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</si>
  <si>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</si>
  <si>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</si>
  <si>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</si>
  <si>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</si>
  <si>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</si>
  <si>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</si>
  <si>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</si>
  <si>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</si>
  <si>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</si>
  <si>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</si>
  <si>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</si>
  <si>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</si>
  <si>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</si>
  <si>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</si>
  <si>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</si>
  <si>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</si>
  <si>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</si>
  <si>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</si>
  <si>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</si>
  <si>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</si>
  <si>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</si>
  <si>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</si>
  <si>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</si>
  <si>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</si>
  <si>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</si>
  <si>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</si>
  <si>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</si>
  <si>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</si>
  <si>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</si>
  <si>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</si>
  <si>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</si>
  <si>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</si>
  <si>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</si>
  <si>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</si>
  <si>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</si>
  <si>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</si>
  <si>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</si>
  <si>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</si>
  <si>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</si>
  <si>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</si>
  <si>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</si>
  <si>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</si>
  <si>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</si>
  <si>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</si>
  <si>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</si>
  <si>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</si>
  <si>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</si>
  <si>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</si>
  <si>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</si>
  <si>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</si>
  <si>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</si>
  <si>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</si>
  <si>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</si>
  <si>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</si>
  <si>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</si>
  <si>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</si>
  <si>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</si>
  <si>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</si>
  <si>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</si>
  <si>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</si>
  <si>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</si>
  <si>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</si>
  <si>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</si>
  <si>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</si>
  <si>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</si>
  <si>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</si>
  <si>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</si>
  <si>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</si>
  <si>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</si>
  <si>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</si>
  <si>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</si>
  <si>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</si>
  <si>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</si>
  <si>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</si>
  <si>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</si>
  <si>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</si>
  <si>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</si>
  <si>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</si>
  <si>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</si>
  <si>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</si>
  <si>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</si>
  <si>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</si>
  <si>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</si>
  <si>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</si>
  <si>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</si>
  <si>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</si>
  <si>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</si>
  <si>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</si>
  <si>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</si>
  <si>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</si>
  <si>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</si>
  <si>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</si>
  <si>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</si>
  <si>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</si>
  <si>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</si>
  <si>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</si>
  <si>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</si>
  <si>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</si>
  <si>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</si>
  <si>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</si>
  <si>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</si>
  <si>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</si>
  <si>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</si>
  <si>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</si>
  <si>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</si>
  <si>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</si>
  <si>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</si>
  <si>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</si>
  <si>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</si>
  <si>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</si>
  <si>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</si>
  <si>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</si>
  <si>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</si>
  <si>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</si>
  <si>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</si>
  <si>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</si>
  <si>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</si>
  <si>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</si>
  <si>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</si>
  <si>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</si>
  <si>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</si>
  <si>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</si>
  <si>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</si>
  <si>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</si>
  <si>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</si>
  <si>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</si>
  <si>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</si>
  <si>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</si>
  <si>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</si>
  <si>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</si>
  <si>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</si>
  <si>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</si>
  <si>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</si>
  <si>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</si>
  <si>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</si>
  <si>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</si>
  <si>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</si>
  <si>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</si>
  <si>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</si>
  <si>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</si>
  <si>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</si>
  <si>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</si>
  <si>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</si>
  <si>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</si>
  <si>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</si>
  <si>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</si>
  <si>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</si>
  <si>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</si>
  <si>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</si>
  <si>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</si>
  <si>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</si>
  <si>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</si>
  <si>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</si>
  <si>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</si>
  <si>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</si>
  <si>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</si>
  <si>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</si>
  <si>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</si>
  <si>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</si>
  <si>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</si>
  <si>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</si>
  <si>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</si>
  <si>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</si>
  <si>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</si>
  <si>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</si>
  <si>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</si>
  <si>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</si>
  <si>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</si>
  <si>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</si>
  <si>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</si>
  <si>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</si>
  <si>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</si>
  <si>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</si>
  <si>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</si>
  <si>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</si>
  <si>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</si>
  <si>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</si>
  <si>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</si>
  <si>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</si>
  <si>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</si>
  <si>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</si>
  <si>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</si>
  <si>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</si>
  <si>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</si>
  <si>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</si>
  <si>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</si>
  <si>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</si>
  <si>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</si>
  <si>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</si>
  <si>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</si>
  <si>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</si>
  <si>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</si>
  <si>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</si>
  <si>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</si>
  <si>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</si>
  <si>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</si>
  <si>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</si>
  <si>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</si>
  <si>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</si>
  <si>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</si>
  <si>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</si>
  <si>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</si>
  <si>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</si>
  <si>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</si>
  <si>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</si>
  <si>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</si>
  <si>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</si>
  <si>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</si>
  <si>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</si>
  <si>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</si>
  <si>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</si>
  <si>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</si>
  <si>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</si>
  <si>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</si>
  <si>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</si>
  <si>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</si>
  <si>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</si>
  <si>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</si>
  <si>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</si>
  <si>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</si>
  <si>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</si>
  <si>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</si>
  <si>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</si>
  <si>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</si>
  <si>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</si>
  <si>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</si>
  <si>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</si>
  <si>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</si>
  <si>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</si>
  <si>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</si>
  <si>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</si>
  <si>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</si>
  <si>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</si>
  <si>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</si>
  <si>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</si>
  <si>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</si>
  <si>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</si>
  <si>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</si>
  <si>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</si>
  <si>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</si>
  <si>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</si>
  <si>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</si>
  <si>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</si>
  <si>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</si>
  <si>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</si>
  <si>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</si>
  <si>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</si>
  <si>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</si>
  <si>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</si>
  <si>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</si>
  <si>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</si>
  <si>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</si>
  <si>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</si>
  <si>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</si>
  <si>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</si>
  <si>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</si>
  <si>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</si>
  <si>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</si>
  <si>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</si>
  <si>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</si>
  <si>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</si>
  <si>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</si>
  <si>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</si>
  <si>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</si>
  <si>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</si>
  <si>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</si>
  <si>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</si>
  <si>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</si>
  <si>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</si>
  <si>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</si>
  <si>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</si>
  <si>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</si>
  <si>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</si>
  <si>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</si>
  <si>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</si>
  <si>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</si>
  <si>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</si>
  <si>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</si>
  <si>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</si>
  <si>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</si>
  <si>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</si>
  <si>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</si>
  <si>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</si>
  <si>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</si>
  <si>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</si>
  <si>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</si>
  <si>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</si>
  <si>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</si>
  <si>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</si>
  <si>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</si>
  <si>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</si>
  <si>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</si>
  <si>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</si>
  <si>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</si>
  <si>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</si>
  <si>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</si>
  <si>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</si>
  <si>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</si>
  <si>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</si>
  <si>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</si>
  <si>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</si>
  <si>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</si>
  <si>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</si>
  <si>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</si>
  <si>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</si>
  <si>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</si>
  <si>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</si>
  <si>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</si>
  <si>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</si>
  <si>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</si>
  <si>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</si>
  <si>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</si>
  <si>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</si>
  <si>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</si>
  <si>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</si>
  <si>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</si>
  <si>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</si>
  <si>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</si>
  <si>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</si>
  <si>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</si>
  <si>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</si>
  <si>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</si>
  <si>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</si>
  <si>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</si>
  <si>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</si>
  <si>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</si>
  <si>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</si>
  <si>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</si>
  <si>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</si>
  <si>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</si>
  <si>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</si>
  <si>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</si>
  <si>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</si>
  <si>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</si>
  <si>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</si>
  <si>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</si>
  <si>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</si>
  <si>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</si>
  <si>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</si>
  <si>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</si>
  <si>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</si>
  <si>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</si>
  <si>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</si>
  <si>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</si>
  <si>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</si>
  <si>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</si>
  <si>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</si>
  <si>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</si>
  <si>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</si>
  <si>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</si>
  <si>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</si>
  <si>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</si>
  <si>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</si>
  <si>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</si>
  <si>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</si>
  <si>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</si>
  <si>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</si>
  <si>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</si>
  <si>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</si>
  <si>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</si>
  <si>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</si>
  <si>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</si>
  <si>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</si>
  <si>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</si>
  <si>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</si>
  <si>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</si>
  <si>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</si>
  <si>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</si>
  <si>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</si>
  <si>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</si>
  <si>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</si>
  <si>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</si>
  <si>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</si>
  <si>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</si>
  <si>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</si>
  <si>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</si>
  <si>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</si>
  <si>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</si>
  <si>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</si>
  <si>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</si>
  <si>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</si>
  <si>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</si>
  <si>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</si>
  <si>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</si>
  <si>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</si>
  <si>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</si>
  <si>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</si>
  <si>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</si>
  <si>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</si>
  <si>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</si>
  <si>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</si>
  <si>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</si>
  <si>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</si>
  <si>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</si>
  <si>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</si>
  <si>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</si>
  <si>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</si>
  <si>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</si>
  <si>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</si>
  <si>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</si>
  <si>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</si>
  <si>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</si>
  <si>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</si>
  <si>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</si>
  <si>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</si>
  <si>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</si>
  <si>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</si>
  <si>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</si>
  <si>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</si>
  <si>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</si>
  <si>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</si>
  <si>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</si>
  <si>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</si>
  <si>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</si>
  <si>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</si>
  <si>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</si>
  <si>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</si>
  <si>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</si>
  <si>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</si>
  <si>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</si>
  <si>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</si>
  <si>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</si>
  <si>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</si>
  <si>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</si>
  <si>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</si>
  <si>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</si>
  <si>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</si>
  <si>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</si>
  <si>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</si>
  <si>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</si>
  <si>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</si>
  <si>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</si>
  <si>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</si>
  <si>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</si>
  <si>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</si>
  <si>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</si>
  <si>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</si>
  <si>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</si>
  <si>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</si>
  <si>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</si>
  <si>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</si>
  <si>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</si>
  <si>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</si>
  <si>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</si>
  <si>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</si>
  <si>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</si>
  <si>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</si>
  <si>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</si>
  <si>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</si>
  <si>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</si>
  <si>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</si>
  <si>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</si>
  <si>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</si>
  <si>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</si>
  <si>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</si>
  <si>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</si>
  <si>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</si>
  <si>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</si>
  <si>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</si>
  <si>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</si>
  <si>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</si>
  <si>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</si>
  <si>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</si>
  <si>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</si>
  <si>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</si>
  <si>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</si>
  <si>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</si>
  <si>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</si>
  <si>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</si>
  <si>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</si>
  <si>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</si>
  <si>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</si>
  <si>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</si>
  <si>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</si>
  <si>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</si>
  <si>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</si>
  <si>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</si>
  <si>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</si>
  <si>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</si>
  <si>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</si>
  <si>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</si>
  <si>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</si>
  <si>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</si>
  <si>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</si>
  <si>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</si>
  <si>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</si>
  <si>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</si>
  <si>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</si>
  <si>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</si>
  <si>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</si>
  <si>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</si>
  <si>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</si>
  <si>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</si>
  <si>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</si>
  <si>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</si>
  <si>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</si>
  <si>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</si>
  <si>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</si>
  <si>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</si>
  <si>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</si>
  <si>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</si>
  <si>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</si>
  <si>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</si>
  <si>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</si>
  <si>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</si>
  <si>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</si>
  <si>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</si>
  <si>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</si>
  <si>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</si>
  <si>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</si>
  <si>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</si>
  <si>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</si>
  <si>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</si>
  <si>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</si>
  <si>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</si>
  <si>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</si>
  <si>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</si>
  <si>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</si>
  <si>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</si>
  <si>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</si>
  <si>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</si>
  <si>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</si>
  <si>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</si>
  <si>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</si>
  <si>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</si>
  <si>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</si>
  <si>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</si>
  <si>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</si>
  <si>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</si>
  <si>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</si>
  <si>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</si>
  <si>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</si>
  <si>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</si>
  <si>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</si>
  <si>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</si>
  <si>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</si>
  <si>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</si>
  <si>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</si>
  <si>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</si>
  <si>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</si>
  <si>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</si>
  <si>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</si>
  <si>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</si>
  <si>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</si>
  <si>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</si>
  <si>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</si>
  <si>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</si>
  <si>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</si>
  <si>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</si>
  <si>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</si>
  <si>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</si>
  <si>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</si>
  <si>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</si>
  <si>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</si>
  <si>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</si>
  <si>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</si>
  <si>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</si>
  <si>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</si>
  <si>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</si>
  <si>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</si>
  <si>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</si>
  <si>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</si>
  <si>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</si>
  <si>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</si>
  <si>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</si>
  <si>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</si>
  <si>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</si>
  <si>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</si>
  <si>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</si>
  <si>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</si>
  <si>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</si>
  <si>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</si>
  <si>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</si>
  <si>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</si>
  <si>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</si>
  <si>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</si>
  <si>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</si>
  <si>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</si>
  <si>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</si>
  <si>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</si>
  <si>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</si>
  <si>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</si>
  <si>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</si>
  <si>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</si>
  <si>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</si>
  <si>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</si>
  <si>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</si>
  <si>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</si>
  <si>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</si>
  <si>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</si>
  <si>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</si>
  <si>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</si>
  <si>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</si>
  <si>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</si>
  <si>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</si>
  <si>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</si>
  <si>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</si>
  <si>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</si>
  <si>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</si>
  <si>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</si>
  <si>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</si>
  <si>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</si>
  <si>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</si>
  <si>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</si>
  <si>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</si>
  <si>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</si>
  <si>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</si>
  <si>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</si>
  <si>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</si>
  <si>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</si>
  <si>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</si>
  <si>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</si>
  <si>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</si>
  <si>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</si>
  <si>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</si>
  <si>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</si>
  <si>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</si>
  <si>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</si>
  <si>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</si>
  <si>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</si>
  <si>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</si>
  <si>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</si>
  <si>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</si>
  <si>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</si>
  <si>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</si>
  <si>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</si>
  <si>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</si>
  <si>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</si>
  <si>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</si>
  <si>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</si>
  <si>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</si>
  <si>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</si>
  <si>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</si>
  <si>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</si>
  <si>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</si>
  <si>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</si>
  <si>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</si>
  <si>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</si>
  <si>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</si>
  <si>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</si>
  <si>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</si>
  <si>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</si>
  <si>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</si>
  <si>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</si>
  <si>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</si>
  <si>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</si>
  <si>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</si>
  <si>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</si>
  <si>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</si>
  <si>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</si>
  <si>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</si>
  <si>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</si>
  <si>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</si>
  <si>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</si>
  <si>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</si>
  <si>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</si>
  <si>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</si>
  <si>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</si>
  <si>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</si>
  <si>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</si>
  <si>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</si>
  <si>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</si>
  <si>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</si>
  <si>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</si>
  <si>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</si>
  <si>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</si>
  <si>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</si>
  <si>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</si>
  <si>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</si>
  <si>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</si>
  <si>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</si>
  <si>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</si>
  <si>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</si>
  <si>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</si>
  <si>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</si>
  <si>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</si>
  <si>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</si>
  <si>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</si>
  <si>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</si>
  <si>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</si>
  <si>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</si>
  <si>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</si>
  <si>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</si>
  <si>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</si>
  <si>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</si>
  <si>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</si>
  <si>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</si>
  <si>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</si>
  <si>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</si>
  <si>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</si>
  <si>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</si>
  <si>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</si>
  <si>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</si>
  <si>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</si>
  <si>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</si>
  <si>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</si>
  <si>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</si>
  <si>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</si>
  <si>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</si>
  <si>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</si>
  <si>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</si>
  <si>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</si>
  <si>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</si>
  <si>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</si>
  <si>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</si>
  <si>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</si>
  <si>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</si>
  <si>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</si>
  <si>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</si>
  <si>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</si>
  <si>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</si>
  <si>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</si>
  <si>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</si>
  <si>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</si>
  <si>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</si>
  <si>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</si>
  <si>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</si>
  <si>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</si>
  <si>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</si>
  <si>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</si>
  <si>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</si>
  <si>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</si>
  <si>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</si>
  <si>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</si>
  <si>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</si>
  <si>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</si>
  <si>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</si>
  <si>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</si>
  <si>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</si>
  <si>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</si>
  <si>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</si>
  <si>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</si>
  <si>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</si>
  <si>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</si>
  <si>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</si>
  <si>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</si>
  <si>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</si>
  <si>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</si>
  <si>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</si>
  <si>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</si>
  <si>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</si>
  <si>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</si>
  <si>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</si>
  <si>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</si>
  <si>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</si>
  <si>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</si>
  <si>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</si>
  <si>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</si>
  <si>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</si>
  <si>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</si>
  <si>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</si>
  <si>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</si>
  <si>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</si>
  <si>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</si>
  <si>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</si>
  <si>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</si>
  <si>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</si>
  <si>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</si>
  <si>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</si>
  <si>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</si>
  <si>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</si>
  <si>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</si>
  <si>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</si>
  <si>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</si>
  <si>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</si>
  <si>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</si>
  <si>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</si>
  <si>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</si>
  <si>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</si>
  <si>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</si>
  <si>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</si>
  <si>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</si>
  <si>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</si>
  <si>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</si>
  <si>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</si>
  <si>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</si>
  <si>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</si>
  <si>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</si>
  <si>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</si>
  <si>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</si>
  <si>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</si>
  <si>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</si>
  <si>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</si>
  <si>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</si>
  <si>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</si>
  <si>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</si>
  <si>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</si>
  <si>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</si>
  <si>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</si>
  <si>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</si>
  <si>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</si>
  <si>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</si>
  <si>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</si>
  <si>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</si>
  <si>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</si>
  <si>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</si>
  <si>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</si>
  <si>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</si>
  <si>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</si>
  <si>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</si>
  <si>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</si>
  <si>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</si>
  <si>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</si>
  <si>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</si>
  <si>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</si>
  <si>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</si>
  <si>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</si>
  <si>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</si>
  <si>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</si>
  <si>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</si>
  <si>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</si>
  <si>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</si>
  <si>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</si>
  <si>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</si>
  <si>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</si>
  <si>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</si>
  <si>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</si>
  <si>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</si>
  <si>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</si>
  <si>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</si>
  <si>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</si>
  <si>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</si>
  <si>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</si>
  <si>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</si>
  <si>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</si>
  <si>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</si>
  <si>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</si>
  <si>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</si>
  <si>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</si>
  <si>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</si>
  <si>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</si>
  <si>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</si>
  <si>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</si>
  <si>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</si>
  <si>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</si>
  <si>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</si>
  <si>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</si>
  <si>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</si>
  <si>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13017</t>
  </si>
  <si>
    <t>KASTERLEE</t>
  </si>
  <si>
    <t>vloeibaar gas (MWh)</t>
  </si>
  <si>
    <t>interne verbrandingsmotor</t>
  </si>
  <si>
    <t>WKK interne verbrandinsgmotor (gas)</t>
  </si>
  <si>
    <t>IVEKA</t>
  </si>
  <si>
    <t>IVEKA (via EANDIS)</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</si>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</sst>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FA13BB5-0256-4D90-88E1-BB892694F5A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156096.88558631021</c:v>
                </c:pt>
                <c:pt idx="1">
                  <c:v>52160.856699880569</c:v>
                </c:pt>
                <c:pt idx="2">
                  <c:v>815.63400000000001</c:v>
                </c:pt>
                <c:pt idx="3">
                  <c:v>18538.866185708863</c:v>
                </c:pt>
                <c:pt idx="4">
                  <c:v>22568.778155946558</c:v>
                </c:pt>
                <c:pt idx="5">
                  <c:v>101398.19021221921</c:v>
                </c:pt>
                <c:pt idx="6">
                  <c:v>1407.1730662381885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156096.88558631021</c:v>
                </c:pt>
                <c:pt idx="1">
                  <c:v>52160.856699880569</c:v>
                </c:pt>
                <c:pt idx="2">
                  <c:v>815.63400000000001</c:v>
                </c:pt>
                <c:pt idx="3">
                  <c:v>18538.866185708863</c:v>
                </c:pt>
                <c:pt idx="4">
                  <c:v>22568.778155946558</c:v>
                </c:pt>
                <c:pt idx="5">
                  <c:v>101398.19021221921</c:v>
                </c:pt>
                <c:pt idx="6">
                  <c:v>1407.1730662381885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31679.820538654352</c:v>
                </c:pt>
                <c:pt idx="1">
                  <c:v>10767.798852935668</c:v>
                </c:pt>
                <c:pt idx="2">
                  <c:v>157.89637408009406</c:v>
                </c:pt>
                <c:pt idx="3">
                  <c:v>4746.3412682991711</c:v>
                </c:pt>
                <c:pt idx="4">
                  <c:v>4384.3812887685845</c:v>
                </c:pt>
                <c:pt idx="5">
                  <c:v>25177.281371290097</c:v>
                </c:pt>
                <c:pt idx="6">
                  <c:v>354.52859822535248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31679.820538654352</c:v>
                </c:pt>
                <c:pt idx="1">
                  <c:v>10767.798852935668</c:v>
                </c:pt>
                <c:pt idx="2">
                  <c:v>157.89637408009406</c:v>
                </c:pt>
                <c:pt idx="3">
                  <c:v>4746.3412682991711</c:v>
                </c:pt>
                <c:pt idx="4">
                  <c:v>4384.3812887685845</c:v>
                </c:pt>
                <c:pt idx="5">
                  <c:v>25177.281371290097</c:v>
                </c:pt>
                <c:pt idx="6">
                  <c:v>354.52859822535248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13017</v>
      </c>
      <c r="B6" s="382"/>
      <c r="C6" s="383"/>
    </row>
    <row r="7" spans="1:7" s="380" customFormat="1" ht="15.75" customHeight="1">
      <c r="A7" s="384" t="str">
        <f>txtMunicipality</f>
        <v>KASTERLEE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0.19358728802391031</v>
      </c>
      <c r="C17" s="492">
        <f ca="1">'EF ele_warmte'!B22</f>
        <v>0.16003168944345419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0.19358728802391031</v>
      </c>
      <c r="C29" s="493">
        <f ca="1">'EF ele_warmte'!B22</f>
        <v>0.16003168944345419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7587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3073.09</v>
      </c>
      <c r="C14" s="324"/>
      <c r="D14" s="324"/>
      <c r="E14" s="324"/>
      <c r="F14" s="324"/>
    </row>
    <row r="15" spans="1:6">
      <c r="A15" s="1257" t="s">
        <v>177</v>
      </c>
      <c r="B15" s="1258">
        <v>12886</v>
      </c>
      <c r="C15" s="324"/>
      <c r="D15" s="324"/>
      <c r="E15" s="324"/>
      <c r="F15" s="324"/>
    </row>
    <row r="16" spans="1:6">
      <c r="A16" s="1257" t="s">
        <v>6</v>
      </c>
      <c r="B16" s="1258">
        <v>3077</v>
      </c>
      <c r="C16" s="324"/>
      <c r="D16" s="324"/>
      <c r="E16" s="324"/>
      <c r="F16" s="324"/>
    </row>
    <row r="17" spans="1:6">
      <c r="A17" s="1257" t="s">
        <v>7</v>
      </c>
      <c r="B17" s="1258">
        <v>210</v>
      </c>
      <c r="C17" s="324"/>
      <c r="D17" s="324"/>
      <c r="E17" s="324"/>
      <c r="F17" s="324"/>
    </row>
    <row r="18" spans="1:6">
      <c r="A18" s="1257" t="s">
        <v>8</v>
      </c>
      <c r="B18" s="1258">
        <v>1550</v>
      </c>
      <c r="C18" s="324"/>
      <c r="D18" s="324"/>
      <c r="E18" s="324"/>
      <c r="F18" s="324"/>
    </row>
    <row r="19" spans="1:6">
      <c r="A19" s="1257" t="s">
        <v>9</v>
      </c>
      <c r="B19" s="1258">
        <v>1509</v>
      </c>
      <c r="C19" s="324"/>
      <c r="D19" s="324"/>
      <c r="E19" s="324"/>
      <c r="F19" s="324"/>
    </row>
    <row r="20" spans="1:6">
      <c r="A20" s="1257" t="s">
        <v>10</v>
      </c>
      <c r="B20" s="1258">
        <v>562</v>
      </c>
      <c r="C20" s="324"/>
      <c r="D20" s="324"/>
      <c r="E20" s="324"/>
      <c r="F20" s="324"/>
    </row>
    <row r="21" spans="1:6">
      <c r="A21" s="1257" t="s">
        <v>11</v>
      </c>
      <c r="B21" s="1258">
        <v>11101</v>
      </c>
      <c r="C21" s="324"/>
      <c r="D21" s="324"/>
      <c r="E21" s="324"/>
      <c r="F21" s="324"/>
    </row>
    <row r="22" spans="1:6">
      <c r="A22" s="1257" t="s">
        <v>12</v>
      </c>
      <c r="B22" s="1258">
        <v>28503</v>
      </c>
      <c r="C22" s="324"/>
      <c r="D22" s="324"/>
      <c r="E22" s="324"/>
      <c r="F22" s="324"/>
    </row>
    <row r="23" spans="1:6">
      <c r="A23" s="1257" t="s">
        <v>13</v>
      </c>
      <c r="B23" s="1258">
        <v>554</v>
      </c>
      <c r="C23" s="324"/>
      <c r="D23" s="324"/>
      <c r="E23" s="324"/>
      <c r="F23" s="324"/>
    </row>
    <row r="24" spans="1:6">
      <c r="A24" s="1257" t="s">
        <v>14</v>
      </c>
      <c r="B24" s="1258">
        <v>8</v>
      </c>
      <c r="C24" s="324"/>
      <c r="D24" s="324"/>
      <c r="E24" s="324"/>
      <c r="F24" s="324"/>
    </row>
    <row r="25" spans="1:6">
      <c r="A25" s="1257" t="s">
        <v>15</v>
      </c>
      <c r="B25" s="1258">
        <v>2649</v>
      </c>
      <c r="C25" s="324"/>
      <c r="D25" s="324"/>
      <c r="E25" s="324"/>
      <c r="F25" s="324"/>
    </row>
    <row r="26" spans="1:6">
      <c r="A26" s="1257" t="s">
        <v>16</v>
      </c>
      <c r="B26" s="1258">
        <v>229</v>
      </c>
      <c r="C26" s="324"/>
      <c r="D26" s="324"/>
      <c r="E26" s="324"/>
      <c r="F26" s="324"/>
    </row>
    <row r="27" spans="1:6">
      <c r="A27" s="1257" t="s">
        <v>17</v>
      </c>
      <c r="B27" s="1258">
        <v>739</v>
      </c>
      <c r="C27" s="324"/>
      <c r="D27" s="324"/>
      <c r="E27" s="324"/>
      <c r="F27" s="324"/>
    </row>
    <row r="28" spans="1:6">
      <c r="A28" s="1257" t="s">
        <v>18</v>
      </c>
      <c r="B28" s="1259">
        <v>539257</v>
      </c>
      <c r="C28" s="324"/>
      <c r="D28" s="324"/>
      <c r="E28" s="324"/>
      <c r="F28" s="324"/>
    </row>
    <row r="29" spans="1:6">
      <c r="A29" s="1257" t="s">
        <v>664</v>
      </c>
      <c r="B29" s="1259">
        <v>283</v>
      </c>
      <c r="C29" s="324"/>
      <c r="D29" s="324"/>
      <c r="E29" s="324"/>
      <c r="F29" s="324"/>
    </row>
    <row r="30" spans="1:6">
      <c r="A30" s="1252" t="s">
        <v>665</v>
      </c>
      <c r="B30" s="1260">
        <v>55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79172.639999999999</v>
      </c>
      <c r="E38" s="1258">
        <v>5</v>
      </c>
      <c r="F38" s="1258">
        <v>468464.51500000001</v>
      </c>
    </row>
    <row r="39" spans="1:6">
      <c r="A39" s="1257" t="s">
        <v>29</v>
      </c>
      <c r="B39" s="1257" t="s">
        <v>30</v>
      </c>
      <c r="C39" s="1258">
        <v>4439</v>
      </c>
      <c r="D39" s="1258">
        <v>72628212.459999993</v>
      </c>
      <c r="E39" s="1258">
        <v>7383</v>
      </c>
      <c r="F39" s="1258">
        <v>25463221.100000001</v>
      </c>
    </row>
    <row r="40" spans="1:6">
      <c r="A40" s="1257" t="s">
        <v>29</v>
      </c>
      <c r="B40" s="1257" t="s">
        <v>28</v>
      </c>
      <c r="C40" s="1258">
        <v>0</v>
      </c>
      <c r="D40" s="1258">
        <v>0</v>
      </c>
      <c r="E40" s="1258">
        <v>0</v>
      </c>
      <c r="F40" s="1258">
        <v>0</v>
      </c>
    </row>
    <row r="41" spans="1:6">
      <c r="A41" s="1257" t="s">
        <v>31</v>
      </c>
      <c r="B41" s="1257" t="s">
        <v>32</v>
      </c>
      <c r="C41" s="1258">
        <v>77</v>
      </c>
      <c r="D41" s="1258">
        <v>1706681.55</v>
      </c>
      <c r="E41" s="1258">
        <v>169</v>
      </c>
      <c r="F41" s="1258">
        <v>1639765.2990000001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10</v>
      </c>
      <c r="F44" s="1258">
        <v>137751.98800000001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92623.760999999999</v>
      </c>
    </row>
    <row r="48" spans="1:6">
      <c r="A48" s="1257" t="s">
        <v>31</v>
      </c>
      <c r="B48" s="1257" t="s">
        <v>28</v>
      </c>
      <c r="C48" s="1258">
        <v>23</v>
      </c>
      <c r="D48" s="1258">
        <v>983125.33900000004</v>
      </c>
      <c r="E48" s="1258">
        <v>28</v>
      </c>
      <c r="F48" s="1258">
        <v>407778.217</v>
      </c>
    </row>
    <row r="49" spans="1:6">
      <c r="A49" s="1257" t="s">
        <v>31</v>
      </c>
      <c r="B49" s="1257" t="s">
        <v>39</v>
      </c>
      <c r="C49" s="1258">
        <v>0</v>
      </c>
      <c r="D49" s="1258">
        <v>0</v>
      </c>
      <c r="E49" s="1258">
        <v>0</v>
      </c>
      <c r="F49" s="1258">
        <v>0</v>
      </c>
    </row>
    <row r="50" spans="1:6">
      <c r="A50" s="1257" t="s">
        <v>31</v>
      </c>
      <c r="B50" s="1257" t="s">
        <v>40</v>
      </c>
      <c r="C50" s="1258">
        <v>7</v>
      </c>
      <c r="D50" s="1258">
        <v>1624086.986</v>
      </c>
      <c r="E50" s="1258">
        <v>16</v>
      </c>
      <c r="F50" s="1258">
        <v>13556774.869999999</v>
      </c>
    </row>
    <row r="51" spans="1:6">
      <c r="A51" s="1257" t="s">
        <v>41</v>
      </c>
      <c r="B51" s="1257" t="s">
        <v>42</v>
      </c>
      <c r="C51" s="1258">
        <v>0</v>
      </c>
      <c r="D51" s="1258">
        <v>0</v>
      </c>
      <c r="E51" s="1258">
        <v>134</v>
      </c>
      <c r="F51" s="1258">
        <v>3565880.7239999999</v>
      </c>
    </row>
    <row r="52" spans="1:6">
      <c r="A52" s="1257" t="s">
        <v>41</v>
      </c>
      <c r="B52" s="1257" t="s">
        <v>28</v>
      </c>
      <c r="C52" s="1258">
        <v>6</v>
      </c>
      <c r="D52" s="1258">
        <v>114554.61</v>
      </c>
      <c r="E52" s="1258">
        <v>9</v>
      </c>
      <c r="F52" s="1258">
        <v>212978.573</v>
      </c>
    </row>
    <row r="53" spans="1:6">
      <c r="A53" s="1257" t="s">
        <v>43</v>
      </c>
      <c r="B53" s="1257" t="s">
        <v>44</v>
      </c>
      <c r="C53" s="1258">
        <v>96</v>
      </c>
      <c r="D53" s="1258">
        <v>3149813.91</v>
      </c>
      <c r="E53" s="1258">
        <v>252</v>
      </c>
      <c r="F53" s="1258">
        <v>1034272.362</v>
      </c>
    </row>
    <row r="54" spans="1:6">
      <c r="A54" s="1257" t="s">
        <v>45</v>
      </c>
      <c r="B54" s="1257" t="s">
        <v>46</v>
      </c>
      <c r="C54" s="1258">
        <v>0</v>
      </c>
      <c r="D54" s="1258">
        <v>0</v>
      </c>
      <c r="E54" s="1258">
        <v>1</v>
      </c>
      <c r="F54" s="1258">
        <v>815634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17</v>
      </c>
      <c r="D57" s="1258">
        <v>456912.55200000003</v>
      </c>
      <c r="E57" s="1258">
        <v>90</v>
      </c>
      <c r="F57" s="1258">
        <v>6393848.9670000002</v>
      </c>
    </row>
    <row r="58" spans="1:6">
      <c r="A58" s="1257" t="s">
        <v>48</v>
      </c>
      <c r="B58" s="1257" t="s">
        <v>50</v>
      </c>
      <c r="C58" s="1258">
        <v>29</v>
      </c>
      <c r="D58" s="1258">
        <v>1255752.2690000001</v>
      </c>
      <c r="E58" s="1258">
        <v>54</v>
      </c>
      <c r="F58" s="1258">
        <v>519624.58799999999</v>
      </c>
    </row>
    <row r="59" spans="1:6">
      <c r="A59" s="1257" t="s">
        <v>48</v>
      </c>
      <c r="B59" s="1257" t="s">
        <v>51</v>
      </c>
      <c r="C59" s="1258">
        <v>64</v>
      </c>
      <c r="D59" s="1258">
        <v>1775527.659</v>
      </c>
      <c r="E59" s="1258">
        <v>170</v>
      </c>
      <c r="F59" s="1258">
        <v>4266680.5269999998</v>
      </c>
    </row>
    <row r="60" spans="1:6">
      <c r="A60" s="1257" t="s">
        <v>48</v>
      </c>
      <c r="B60" s="1257" t="s">
        <v>52</v>
      </c>
      <c r="C60" s="1258">
        <v>85</v>
      </c>
      <c r="D60" s="1258">
        <v>8109020.9749999996</v>
      </c>
      <c r="E60" s="1258">
        <v>126</v>
      </c>
      <c r="F60" s="1258">
        <v>4177637.3879999998</v>
      </c>
    </row>
    <row r="61" spans="1:6">
      <c r="A61" s="1257" t="s">
        <v>48</v>
      </c>
      <c r="B61" s="1257" t="s">
        <v>53</v>
      </c>
      <c r="C61" s="1258">
        <v>168</v>
      </c>
      <c r="D61" s="1258">
        <v>5800694.2630000003</v>
      </c>
      <c r="E61" s="1258">
        <v>371</v>
      </c>
      <c r="F61" s="1258">
        <v>3288685.8640000001</v>
      </c>
    </row>
    <row r="62" spans="1:6">
      <c r="A62" s="1257" t="s">
        <v>48</v>
      </c>
      <c r="B62" s="1257" t="s">
        <v>54</v>
      </c>
      <c r="C62" s="1258">
        <v>6</v>
      </c>
      <c r="D62" s="1258">
        <v>583052.924</v>
      </c>
      <c r="E62" s="1258">
        <v>14</v>
      </c>
      <c r="F62" s="1258">
        <v>276749.49099999998</v>
      </c>
    </row>
    <row r="63" spans="1:6">
      <c r="A63" s="1257" t="s">
        <v>48</v>
      </c>
      <c r="B63" s="1257" t="s">
        <v>28</v>
      </c>
      <c r="C63" s="1258">
        <v>102</v>
      </c>
      <c r="D63" s="1258">
        <v>6293763.2560000001</v>
      </c>
      <c r="E63" s="1258">
        <v>114</v>
      </c>
      <c r="F63" s="1258">
        <v>2971122.3509999998</v>
      </c>
    </row>
    <row r="64" spans="1:6">
      <c r="A64" s="1257" t="s">
        <v>55</v>
      </c>
      <c r="B64" s="1257" t="s">
        <v>56</v>
      </c>
      <c r="C64" s="1258">
        <v>0</v>
      </c>
      <c r="D64" s="1258">
        <v>0</v>
      </c>
      <c r="E64" s="1258">
        <v>0</v>
      </c>
      <c r="F64" s="1258">
        <v>0</v>
      </c>
    </row>
    <row r="65" spans="1:6">
      <c r="A65" s="1257" t="s">
        <v>55</v>
      </c>
      <c r="B65" s="1257" t="s">
        <v>28</v>
      </c>
      <c r="C65" s="1258">
        <v>3</v>
      </c>
      <c r="D65" s="1258">
        <v>288539.17200000002</v>
      </c>
      <c r="E65" s="1258">
        <v>1</v>
      </c>
      <c r="F65" s="1258">
        <v>5110.0529999999999</v>
      </c>
    </row>
    <row r="66" spans="1:6">
      <c r="A66" s="1257" t="s">
        <v>55</v>
      </c>
      <c r="B66" s="1257" t="s">
        <v>57</v>
      </c>
      <c r="C66" s="1258">
        <v>0</v>
      </c>
      <c r="D66" s="1258">
        <v>0</v>
      </c>
      <c r="E66" s="1258">
        <v>11</v>
      </c>
      <c r="F66" s="1258">
        <v>643574.38899999997</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29636.991999999998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100414727</v>
      </c>
      <c r="E73" s="442"/>
      <c r="F73" s="324"/>
    </row>
    <row r="74" spans="1:6">
      <c r="A74" s="1257" t="s">
        <v>63</v>
      </c>
      <c r="B74" s="1257" t="s">
        <v>608</v>
      </c>
      <c r="C74" s="1270" t="s">
        <v>610</v>
      </c>
      <c r="D74" s="1258">
        <v>6427465</v>
      </c>
      <c r="E74" s="442"/>
      <c r="F74" s="324"/>
    </row>
    <row r="75" spans="1:6">
      <c r="A75" s="1257" t="s">
        <v>64</v>
      </c>
      <c r="B75" s="1257" t="s">
        <v>607</v>
      </c>
      <c r="C75" s="1270" t="s">
        <v>611</v>
      </c>
      <c r="D75" s="1258">
        <v>20410236</v>
      </c>
      <c r="E75" s="442"/>
      <c r="F75" s="324"/>
    </row>
    <row r="76" spans="1:6">
      <c r="A76" s="1257" t="s">
        <v>64</v>
      </c>
      <c r="B76" s="1257" t="s">
        <v>608</v>
      </c>
      <c r="C76" s="1270" t="s">
        <v>612</v>
      </c>
      <c r="D76" s="1258">
        <v>907682</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385594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6689.1038623321938</v>
      </c>
      <c r="C91" s="324"/>
      <c r="D91" s="324"/>
      <c r="E91" s="324"/>
      <c r="F91" s="324"/>
    </row>
    <row r="92" spans="1:6">
      <c r="A92" s="1252" t="s">
        <v>68</v>
      </c>
      <c r="B92" s="1253">
        <v>1493.3348568121069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2144</v>
      </c>
      <c r="C97" s="324"/>
      <c r="D97" s="324"/>
      <c r="E97" s="324"/>
      <c r="F97" s="324"/>
    </row>
    <row r="98" spans="1:6">
      <c r="A98" s="1257" t="s">
        <v>71</v>
      </c>
      <c r="B98" s="1258">
        <v>12</v>
      </c>
      <c r="C98" s="324"/>
      <c r="D98" s="324"/>
      <c r="E98" s="324"/>
      <c r="F98" s="324"/>
    </row>
    <row r="99" spans="1:6">
      <c r="A99" s="1257" t="s">
        <v>72</v>
      </c>
      <c r="B99" s="1258">
        <v>63</v>
      </c>
      <c r="C99" s="324"/>
      <c r="D99" s="324"/>
      <c r="E99" s="324"/>
      <c r="F99" s="324"/>
    </row>
    <row r="100" spans="1:6">
      <c r="A100" s="1257" t="s">
        <v>73</v>
      </c>
      <c r="B100" s="1258">
        <v>245</v>
      </c>
      <c r="C100" s="324"/>
      <c r="D100" s="324"/>
      <c r="E100" s="324"/>
      <c r="F100" s="324"/>
    </row>
    <row r="101" spans="1:6">
      <c r="A101" s="1257" t="s">
        <v>74</v>
      </c>
      <c r="B101" s="1258">
        <v>193</v>
      </c>
      <c r="C101" s="324"/>
      <c r="D101" s="324"/>
      <c r="E101" s="324"/>
      <c r="F101" s="324"/>
    </row>
    <row r="102" spans="1:6">
      <c r="A102" s="1257" t="s">
        <v>75</v>
      </c>
      <c r="B102" s="1258">
        <v>70</v>
      </c>
      <c r="C102" s="324"/>
      <c r="D102" s="324"/>
      <c r="E102" s="324"/>
      <c r="F102" s="324"/>
    </row>
    <row r="103" spans="1:6">
      <c r="A103" s="1257" t="s">
        <v>76</v>
      </c>
      <c r="B103" s="1258">
        <v>116</v>
      </c>
      <c r="C103" s="324"/>
      <c r="D103" s="324"/>
      <c r="E103" s="324"/>
      <c r="F103" s="324"/>
    </row>
    <row r="104" spans="1:6">
      <c r="A104" s="1257" t="s">
        <v>77</v>
      </c>
      <c r="B104" s="1258">
        <v>3477</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70</v>
      </c>
      <c r="C123" s="1258">
        <v>56</v>
      </c>
      <c r="D123" s="324"/>
      <c r="E123" s="324"/>
      <c r="F123" s="324"/>
    </row>
    <row r="124" spans="1:6">
      <c r="A124" s="1257" t="s">
        <v>88</v>
      </c>
      <c r="B124" s="1258">
        <v>4</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268</v>
      </c>
      <c r="C129" s="324"/>
      <c r="D129" s="324"/>
      <c r="E129" s="324"/>
      <c r="F129" s="324"/>
    </row>
    <row r="130" spans="1:6">
      <c r="A130" s="1257" t="s">
        <v>283</v>
      </c>
      <c r="B130" s="1258">
        <v>7</v>
      </c>
      <c r="C130" s="324"/>
      <c r="D130" s="324"/>
      <c r="E130" s="324"/>
      <c r="F130" s="324"/>
    </row>
    <row r="131" spans="1:6">
      <c r="A131" s="1257" t="s">
        <v>284</v>
      </c>
      <c r="B131" s="1258">
        <v>1</v>
      </c>
      <c r="C131" s="324"/>
      <c r="D131" s="324"/>
      <c r="E131" s="324"/>
      <c r="F131" s="324"/>
    </row>
    <row r="132" spans="1:6">
      <c r="A132" s="1252" t="s">
        <v>285</v>
      </c>
      <c r="B132" s="1253">
        <v>51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77074.766388661359</v>
      </c>
      <c r="C3" s="43" t="s">
        <v>163</v>
      </c>
      <c r="D3" s="43"/>
      <c r="E3" s="153"/>
      <c r="F3" s="43"/>
      <c r="G3" s="43"/>
      <c r="H3" s="43"/>
      <c r="I3" s="43"/>
      <c r="J3" s="43"/>
      <c r="K3" s="96"/>
    </row>
    <row r="4" spans="1:11">
      <c r="A4" s="350" t="s">
        <v>164</v>
      </c>
      <c r="B4" s="49">
        <f>IF(ISERROR('SEAP template'!B78+'SEAP template'!C78),0,'SEAP template'!B78+'SEAP template'!C78)</f>
        <v>9657.0887191442998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21.388235294117646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0.19358728802391031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30.554621848739504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190.92857142857144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0.16003168944345419</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815.63400000000001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815.63400000000001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0.19358728802391031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157.89637408009406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25463.221100000002</v>
      </c>
      <c r="C5" s="17">
        <f>IF(ISERROR('Eigen informatie GS &amp; warmtenet'!B59),0,'Eigen informatie GS &amp; warmtenet'!B59)</f>
        <v>0</v>
      </c>
      <c r="D5" s="30">
        <f>(SUM(HH_hh_gas_kWh,HH_rest_gas_kWh)/1000)*0.902</f>
        <v>65510.647638919996</v>
      </c>
      <c r="E5" s="17">
        <f>B32*B41</f>
        <v>2263.368447283754</v>
      </c>
      <c r="F5" s="17">
        <f>B36*B45</f>
        <v>43556.937167665543</v>
      </c>
      <c r="G5" s="18"/>
      <c r="H5" s="17"/>
      <c r="I5" s="17"/>
      <c r="J5" s="17">
        <f>B35*B44+C35*C44</f>
        <v>222.88548353400495</v>
      </c>
      <c r="K5" s="17"/>
      <c r="L5" s="17"/>
      <c r="M5" s="17"/>
      <c r="N5" s="17">
        <f>B34*B43+C34*C43</f>
        <v>10431.174510032659</v>
      </c>
      <c r="O5" s="17">
        <f>B52*B53*B54</f>
        <v>642.80246308139829</v>
      </c>
      <c r="P5" s="17">
        <f>B60*B61*B62/1000-B60*B61*B62/1000/B63</f>
        <v>1316.7449134606277</v>
      </c>
    </row>
    <row r="6" spans="1:16">
      <c r="A6" s="16" t="s">
        <v>573</v>
      </c>
      <c r="B6" s="738">
        <f>kWh_PV_kleiner_dan_10kW</f>
        <v>6689.1038623321938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32152.324962332197</v>
      </c>
      <c r="C8" s="21">
        <f>C5</f>
        <v>0</v>
      </c>
      <c r="D8" s="21">
        <f>D5</f>
        <v>65510.647638919996</v>
      </c>
      <c r="E8" s="21">
        <f>E5</f>
        <v>2263.368447283754</v>
      </c>
      <c r="F8" s="21">
        <f>F5</f>
        <v>43556.937167665543</v>
      </c>
      <c r="G8" s="21"/>
      <c r="H8" s="21"/>
      <c r="I8" s="21"/>
      <c r="J8" s="21">
        <f>J5</f>
        <v>222.88548353400495</v>
      </c>
      <c r="K8" s="21"/>
      <c r="L8" s="21">
        <f>L5</f>
        <v>0</v>
      </c>
      <c r="M8" s="21">
        <f>M5</f>
        <v>0</v>
      </c>
      <c r="N8" s="21">
        <f>N5</f>
        <v>10431.174510032659</v>
      </c>
      <c r="O8" s="21">
        <f>O5</f>
        <v>642.80246308139829</v>
      </c>
      <c r="P8" s="21">
        <f>P5</f>
        <v>1316.7449134606277</v>
      </c>
    </row>
    <row r="9" spans="1:16">
      <c r="B9" s="19"/>
      <c r="C9" s="19"/>
      <c r="D9" s="255"/>
      <c r="E9" s="19"/>
      <c r="F9" s="19"/>
      <c r="G9" s="19"/>
      <c r="H9" s="19"/>
      <c r="I9" s="19"/>
      <c r="J9" s="19"/>
      <c r="K9" s="19"/>
      <c r="L9" s="19"/>
      <c r="M9" s="19"/>
      <c r="N9" s="19"/>
      <c r="O9" s="19"/>
      <c r="P9" s="19"/>
    </row>
    <row r="10" spans="1:16">
      <c r="A10" s="24" t="s">
        <v>207</v>
      </c>
      <c r="B10" s="25">
        <f ca="1">'EF ele_warmte'!B12</f>
        <v>0.19358728802391031</v>
      </c>
      <c r="C10" s="25">
        <f ca="1">'EF ele_warmte'!B22</f>
        <v>0.16003168944345419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6224.2813931213641</v>
      </c>
      <c r="C12" s="23">
        <f ca="1">C10*C8</f>
        <v>0</v>
      </c>
      <c r="D12" s="23">
        <f>D8*D10</f>
        <v>13233.15082306184</v>
      </c>
      <c r="E12" s="23">
        <f>E10*E8</f>
        <v>513.78463753341214</v>
      </c>
      <c r="F12" s="23">
        <f>F10*F8</f>
        <v>11629.702223766701</v>
      </c>
      <c r="G12" s="23"/>
      <c r="H12" s="23"/>
      <c r="I12" s="23"/>
      <c r="J12" s="23">
        <f>J10*J8</f>
        <v>78.901461171037752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7587</v>
      </c>
      <c r="C26" s="36"/>
      <c r="D26" s="225"/>
    </row>
    <row r="27" spans="1:7" s="15" customFormat="1">
      <c r="A27" s="227" t="s">
        <v>774</v>
      </c>
      <c r="B27" s="37">
        <f>SUM(HH_hh_gas_aantal,HH_rest_gas_aantal)</f>
        <v>4439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4217.05</v>
      </c>
      <c r="C31" s="165" t="s">
        <v>104</v>
      </c>
      <c r="D31" s="230"/>
      <c r="G31" s="15"/>
    </row>
    <row r="32" spans="1:7">
      <c r="A32" s="168" t="s">
        <v>72</v>
      </c>
      <c r="B32" s="165">
        <f>IF((B21*($B$26-($B$27-0.05*$B$27)-$B$60))&lt;0,0,B21*($B$26-($B$27-0.05*$B$27)-$B$60))</f>
        <v>36.580864328147904</v>
      </c>
      <c r="C32" s="165" t="s">
        <v>104</v>
      </c>
      <c r="D32" s="230"/>
      <c r="G32" s="15"/>
    </row>
    <row r="33" spans="1:7">
      <c r="A33" s="168" t="s">
        <v>73</v>
      </c>
      <c r="B33" s="165">
        <f>IF((B22*($B$26-($B$27-0.05*$B$27)-$B$60))&lt;0,0,B22*($B$26-($B$27-0.05*$B$27)-$B$60))</f>
        <v>760.54688886841814</v>
      </c>
      <c r="C33" s="165" t="s">
        <v>104</v>
      </c>
      <c r="D33" s="230"/>
      <c r="G33" s="15"/>
    </row>
    <row r="34" spans="1:7">
      <c r="A34" s="168" t="s">
        <v>74</v>
      </c>
      <c r="B34" s="165">
        <f>IF((B24*($B$26-($B$27-0.05*$B$27)-$B$60))&lt;0,0,B24*($B$26-($B$27-0.05*$B$27)-$B$60))</f>
        <v>321.13644516258182</v>
      </c>
      <c r="C34" s="165">
        <f>B26*C24</f>
        <v>1309.2313675762164</v>
      </c>
      <c r="D34" s="230"/>
      <c r="G34" s="15"/>
    </row>
    <row r="35" spans="1:7">
      <c r="A35" s="168" t="s">
        <v>76</v>
      </c>
      <c r="B35" s="165">
        <f>IF((B19*($B$26-($B$27-0.05*$B$27)-$B$60))&lt;0,0,B19*($B$26-($B$27-0.05*$B$27)-$B$60))</f>
        <v>27.687769757024448</v>
      </c>
      <c r="C35" s="165">
        <f>B35/2</f>
        <v>13.843884878512224</v>
      </c>
      <c r="D35" s="231"/>
      <c r="G35" s="15"/>
    </row>
    <row r="36" spans="1:7">
      <c r="A36" s="168" t="s">
        <v>77</v>
      </c>
      <c r="B36" s="165">
        <f>IF((B18*($B$26-($B$27-0.05*$B$27)-$B$60))&lt;0,0,B18*($B$26-($B$27-0.05*$B$27)-$B$60))</f>
        <v>2098.9980318838275</v>
      </c>
      <c r="C36" s="165" t="s">
        <v>104</v>
      </c>
      <c r="D36" s="231"/>
      <c r="G36" s="15"/>
    </row>
    <row r="37" spans="1:7">
      <c r="A37" s="168" t="s">
        <v>78</v>
      </c>
      <c r="B37" s="165">
        <f>B60</f>
        <v>125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324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125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21894.349175999996</v>
      </c>
      <c r="C5" s="17">
        <f>IF(ISERROR('Eigen informatie GS &amp; warmtenet'!B60),0,'Eigen informatie GS &amp; warmtenet'!B60)</f>
        <v>0</v>
      </c>
      <c r="D5" s="30">
        <f>SUM(D6:D12)</f>
        <v>21895.800955996005</v>
      </c>
      <c r="E5" s="17">
        <f>SUM(E6:E12)</f>
        <v>83.299847651746873</v>
      </c>
      <c r="F5" s="17">
        <f>SUM(F6:F12)</f>
        <v>6898.0889437827727</v>
      </c>
      <c r="G5" s="18"/>
      <c r="H5" s="17"/>
      <c r="I5" s="17"/>
      <c r="J5" s="17">
        <f>SUM(J6:J12)</f>
        <v>6.9241354097291485E-2</v>
      </c>
      <c r="K5" s="17"/>
      <c r="L5" s="17"/>
      <c r="M5" s="17"/>
      <c r="N5" s="17">
        <f>SUM(N6:N12)</f>
        <v>2537.8033751582084</v>
      </c>
      <c r="O5" s="17">
        <f>B38*B39*B40</f>
        <v>34.280825360888088</v>
      </c>
      <c r="P5" s="17">
        <f>B46*B47*B48/1000-B46*B47*B48/1000/B49</f>
        <v>52.539138306495019</v>
      </c>
      <c r="R5" s="32"/>
    </row>
    <row r="6" spans="1:18">
      <c r="A6" s="32" t="s">
        <v>53</v>
      </c>
      <c r="B6" s="37">
        <f>B26</f>
        <v>3288.685864</v>
      </c>
      <c r="C6" s="33"/>
      <c r="D6" s="37">
        <f>IF(ISERROR(TER_kantoor_gas_kWh/1000),0,TER_kantoor_gas_kWh/1000)*0.902</f>
        <v>5232.2262252260007</v>
      </c>
      <c r="E6" s="33">
        <f>$C$26*'E Balans VL '!I12/100/3.6*1000000</f>
        <v>0.85877017806134048</v>
      </c>
      <c r="F6" s="33">
        <f>$C$26*('E Balans VL '!L12+'E Balans VL '!N12)/100/3.6*1000000</f>
        <v>328.59299130542792</v>
      </c>
      <c r="G6" s="34"/>
      <c r="H6" s="33"/>
      <c r="I6" s="33"/>
      <c r="J6" s="33">
        <f>$C$26*('E Balans VL '!D12+'E Balans VL '!E12)/100/3.6*1000000</f>
        <v>0</v>
      </c>
      <c r="K6" s="33"/>
      <c r="L6" s="33"/>
      <c r="M6" s="33"/>
      <c r="N6" s="33">
        <f>$C$26*'E Balans VL '!Y12/100/3.6*1000000</f>
        <v>2.3316611255004722</v>
      </c>
      <c r="O6" s="33"/>
      <c r="P6" s="33"/>
      <c r="R6" s="32"/>
    </row>
    <row r="7" spans="1:18">
      <c r="A7" s="32" t="s">
        <v>52</v>
      </c>
      <c r="B7" s="37">
        <f t="shared" ref="B7:B12" si="0">B27</f>
        <v>4177.6373880000001</v>
      </c>
      <c r="C7" s="33"/>
      <c r="D7" s="37">
        <f>IF(ISERROR(TER_horeca_gas_kWh/1000),0,TER_horeca_gas_kWh/1000)*0.902</f>
        <v>7314.3369194500001</v>
      </c>
      <c r="E7" s="33">
        <f>$C$27*'E Balans VL '!I9/100/3.6*1000000</f>
        <v>0</v>
      </c>
      <c r="F7" s="33">
        <f>$C$27*('E Balans VL '!L9+'E Balans VL '!N9)/100/3.6*1000000</f>
        <v>343.09461988102953</v>
      </c>
      <c r="G7" s="34"/>
      <c r="H7" s="33"/>
      <c r="I7" s="33"/>
      <c r="J7" s="33">
        <f>$C$27*('E Balans VL '!D9+'E Balans VL '!E9)/100/3.6*1000000</f>
        <v>0</v>
      </c>
      <c r="K7" s="33"/>
      <c r="L7" s="33"/>
      <c r="M7" s="33"/>
      <c r="N7" s="33">
        <f>$C$27*'E Balans VL '!Y9/100/3.6*1000000</f>
        <v>52.793106082263279</v>
      </c>
      <c r="O7" s="33"/>
      <c r="P7" s="33"/>
      <c r="R7" s="32"/>
    </row>
    <row r="8" spans="1:18">
      <c r="A8" s="6" t="s">
        <v>51</v>
      </c>
      <c r="B8" s="37">
        <f t="shared" si="0"/>
        <v>4266.6805269999995</v>
      </c>
      <c r="C8" s="33"/>
      <c r="D8" s="37">
        <f>IF(ISERROR(TER_handel_gas_kWh/1000),0,TER_handel_gas_kWh/1000)*0.902</f>
        <v>1601.5259484180001</v>
      </c>
      <c r="E8" s="33">
        <f>$C$28*'E Balans VL '!I13/100/3.6*1000000</f>
        <v>15.681170554560476</v>
      </c>
      <c r="F8" s="33">
        <f>$C$28*('E Balans VL '!L13+'E Balans VL '!N13)/100/3.6*1000000</f>
        <v>407.5398859630821</v>
      </c>
      <c r="G8" s="34"/>
      <c r="H8" s="33"/>
      <c r="I8" s="33"/>
      <c r="J8" s="33">
        <f>$C$28*('E Balans VL '!D13+'E Balans VL '!E13)/100/3.6*1000000</f>
        <v>0</v>
      </c>
      <c r="K8" s="33"/>
      <c r="L8" s="33"/>
      <c r="M8" s="33"/>
      <c r="N8" s="33">
        <f>$C$28*'E Balans VL '!Y13/100/3.6*1000000</f>
        <v>1.6882252281265631</v>
      </c>
      <c r="O8" s="33"/>
      <c r="P8" s="33"/>
      <c r="R8" s="32"/>
    </row>
    <row r="9" spans="1:18">
      <c r="A9" s="32" t="s">
        <v>50</v>
      </c>
      <c r="B9" s="37">
        <f t="shared" si="0"/>
        <v>519.62458800000002</v>
      </c>
      <c r="C9" s="33"/>
      <c r="D9" s="37">
        <f>IF(ISERROR(TER_gezond_gas_kWh/1000),0,TER_gezond_gas_kWh/1000)*0.902</f>
        <v>1132.6885466380002</v>
      </c>
      <c r="E9" s="33">
        <f>$C$29*'E Balans VL '!I10/100/3.6*1000000</f>
        <v>0</v>
      </c>
      <c r="F9" s="33">
        <f>$C$29*('E Balans VL '!L10+'E Balans VL '!N10)/100/3.6*1000000</f>
        <v>35.103060802108025</v>
      </c>
      <c r="G9" s="34"/>
      <c r="H9" s="33"/>
      <c r="I9" s="33"/>
      <c r="J9" s="33">
        <f>$C$29*('E Balans VL '!D10+'E Balans VL '!E10)/100/3.6*1000000</f>
        <v>0</v>
      </c>
      <c r="K9" s="33"/>
      <c r="L9" s="33"/>
      <c r="M9" s="33"/>
      <c r="N9" s="33">
        <f>$C$29*'E Balans VL '!Y10/100/3.6*1000000</f>
        <v>4.0430669902894545</v>
      </c>
      <c r="O9" s="33"/>
      <c r="P9" s="33"/>
      <c r="R9" s="32"/>
    </row>
    <row r="10" spans="1:18">
      <c r="A10" s="32" t="s">
        <v>49</v>
      </c>
      <c r="B10" s="37">
        <f t="shared" si="0"/>
        <v>6393.8489669999999</v>
      </c>
      <c r="C10" s="33"/>
      <c r="D10" s="37">
        <f>IF(ISERROR(TER_ander_gas_kWh/1000),0,TER_ander_gas_kWh/1000)*0.902</f>
        <v>412.13512190400002</v>
      </c>
      <c r="E10" s="33">
        <f>$C$30*'E Balans VL '!I14/100/3.6*1000000</f>
        <v>57.978177490033822</v>
      </c>
      <c r="F10" s="33">
        <f>$C$30*('E Balans VL '!L14+'E Balans VL '!N14)/100/3.6*1000000</f>
        <v>5053.9991823194914</v>
      </c>
      <c r="G10" s="34"/>
      <c r="H10" s="33"/>
      <c r="I10" s="33"/>
      <c r="J10" s="33">
        <f>$C$30*('E Balans VL '!D14+'E Balans VL '!E14)/100/3.6*1000000</f>
        <v>6.3283270225773888E-2</v>
      </c>
      <c r="K10" s="33"/>
      <c r="L10" s="33"/>
      <c r="M10" s="33"/>
      <c r="N10" s="33">
        <f>$C$30*'E Balans VL '!Y14/100/3.6*1000000</f>
        <v>2256.7027508631763</v>
      </c>
      <c r="O10" s="33"/>
      <c r="P10" s="33"/>
      <c r="R10" s="32"/>
    </row>
    <row r="11" spans="1:18">
      <c r="A11" s="32" t="s">
        <v>54</v>
      </c>
      <c r="B11" s="37">
        <f t="shared" si="0"/>
        <v>276.74949099999998</v>
      </c>
      <c r="C11" s="33"/>
      <c r="D11" s="37">
        <f>IF(ISERROR(TER_onderwijs_gas_kWh/1000),0,TER_onderwijs_gas_kWh/1000)*0.902</f>
        <v>525.91373744800001</v>
      </c>
      <c r="E11" s="33">
        <f>$C$31*'E Balans VL '!I11/100/3.6*1000000</f>
        <v>0</v>
      </c>
      <c r="F11" s="33">
        <f>$C$31*('E Balans VL '!L11+'E Balans VL '!N11)/100/3.6*1000000</f>
        <v>32.936910396246859</v>
      </c>
      <c r="G11" s="34"/>
      <c r="H11" s="33"/>
      <c r="I11" s="33"/>
      <c r="J11" s="33">
        <f>$C$31*('E Balans VL '!D11+'E Balans VL '!E11)/100/3.6*1000000</f>
        <v>0</v>
      </c>
      <c r="K11" s="33"/>
      <c r="L11" s="33"/>
      <c r="M11" s="33"/>
      <c r="N11" s="33">
        <f>$C$31*'E Balans VL '!Y11/100/3.6*1000000</f>
        <v>0.61548411523823332</v>
      </c>
      <c r="O11" s="33"/>
      <c r="P11" s="33"/>
      <c r="R11" s="32"/>
    </row>
    <row r="12" spans="1:18">
      <c r="A12" s="32" t="s">
        <v>248</v>
      </c>
      <c r="B12" s="37">
        <f t="shared" si="0"/>
        <v>2971.122351</v>
      </c>
      <c r="C12" s="33"/>
      <c r="D12" s="37">
        <f>IF(ISERROR(TER_rest_gas_kWh/1000),0,TER_rest_gas_kWh/1000)*0.902</f>
        <v>5676.9744569120003</v>
      </c>
      <c r="E12" s="33">
        <f>$C$32*'E Balans VL '!I8/100/3.6*1000000</f>
        <v>8.7817294290912447</v>
      </c>
      <c r="F12" s="33">
        <f>$C$32*('E Balans VL '!L8+'E Balans VL '!N8)/100/3.6*1000000</f>
        <v>696.8222931153872</v>
      </c>
      <c r="G12" s="34"/>
      <c r="H12" s="33"/>
      <c r="I12" s="33"/>
      <c r="J12" s="33">
        <f>$C$32*('E Balans VL '!D8+'E Balans VL '!E8)/100/3.6*1000000</f>
        <v>5.958083871517598E-3</v>
      </c>
      <c r="K12" s="33"/>
      <c r="L12" s="33"/>
      <c r="M12" s="33"/>
      <c r="N12" s="33">
        <f>$C$32*'E Balans VL '!Y8/100/3.6*1000000</f>
        <v>219.62908075361392</v>
      </c>
      <c r="O12" s="33"/>
      <c r="P12" s="33"/>
      <c r="R12" s="32"/>
    </row>
    <row r="13" spans="1:18">
      <c r="A13" s="16" t="s">
        <v>464</v>
      </c>
      <c r="B13" s="244">
        <f ca="1">'lokale energieproductie'!N39+'lokale energieproductie'!N32</f>
        <v>1431</v>
      </c>
      <c r="C13" s="244">
        <f ca="1">'lokale energieproductie'!O39+'lokale energieproductie'!O32</f>
        <v>128.57142857142858</v>
      </c>
      <c r="D13" s="302">
        <f ca="1">('lokale energieproductie'!P32+'lokale energieproductie'!P39)*(-1)</f>
        <v>-257.14285714285717</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-3831.4285714285716</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23325.349175999996</v>
      </c>
      <c r="C16" s="21">
        <f t="shared" ca="1" si="1"/>
        <v>128.57142857142858</v>
      </c>
      <c r="D16" s="21">
        <f t="shared" ca="1" si="1"/>
        <v>21638.658098853146</v>
      </c>
      <c r="E16" s="21">
        <f t="shared" si="1"/>
        <v>83.299847651746873</v>
      </c>
      <c r="F16" s="21">
        <f t="shared" ca="1" si="1"/>
        <v>6898.0889437827727</v>
      </c>
      <c r="G16" s="21">
        <f t="shared" si="1"/>
        <v>0</v>
      </c>
      <c r="H16" s="21">
        <f t="shared" si="1"/>
        <v>0</v>
      </c>
      <c r="I16" s="21">
        <f t="shared" si="1"/>
        <v>0</v>
      </c>
      <c r="J16" s="21">
        <f t="shared" si="1"/>
        <v>6.9241354097291485E-2</v>
      </c>
      <c r="K16" s="21">
        <f t="shared" si="1"/>
        <v>0</v>
      </c>
      <c r="L16" s="21">
        <f t="shared" ca="1" si="1"/>
        <v>0</v>
      </c>
      <c r="M16" s="21">
        <f t="shared" si="1"/>
        <v>0</v>
      </c>
      <c r="N16" s="21">
        <f t="shared" ca="1" si="1"/>
        <v>0</v>
      </c>
      <c r="O16" s="21">
        <f>O5</f>
        <v>34.280825360888088</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0.19358728802391031</v>
      </c>
      <c r="C18" s="25">
        <f ca="1">'EF ele_warmte'!B22</f>
        <v>0.16003168944345419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4515.4910891925902</v>
      </c>
      <c r="C20" s="23">
        <f t="shared" ref="C20:P20" ca="1" si="2">C16*C18</f>
        <v>20.575502928444113</v>
      </c>
      <c r="D20" s="23">
        <f t="shared" ca="1" si="2"/>
        <v>4371.0089359683361</v>
      </c>
      <c r="E20" s="23">
        <f t="shared" si="2"/>
        <v>18.90906541694654</v>
      </c>
      <c r="F20" s="23">
        <f t="shared" ca="1" si="2"/>
        <v>1841.7897479900005</v>
      </c>
      <c r="G20" s="23">
        <f t="shared" si="2"/>
        <v>0</v>
      </c>
      <c r="H20" s="23">
        <f t="shared" si="2"/>
        <v>0</v>
      </c>
      <c r="I20" s="23">
        <f t="shared" si="2"/>
        <v>0</v>
      </c>
      <c r="J20" s="23">
        <f t="shared" si="2"/>
        <v>2.4511439350441186E-2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3288.685864</v>
      </c>
      <c r="C26" s="39">
        <f>IF(ISERROR(B26*3.6/1000000/'E Balans VL '!Z12*100),0,B26*3.6/1000000/'E Balans VL '!Z12*100)</f>
        <v>9.2034585609913025E-2</v>
      </c>
      <c r="D26" s="234" t="s">
        <v>667</v>
      </c>
      <c r="F26" s="6"/>
    </row>
    <row r="27" spans="1:18">
      <c r="A27" s="228" t="s">
        <v>52</v>
      </c>
      <c r="B27" s="33">
        <f>IF(ISERROR(TER_horeca_ele_kWh/1000),0,TER_horeca_ele_kWh/1000)</f>
        <v>4177.6373880000001</v>
      </c>
      <c r="C27" s="39">
        <f>IF(ISERROR(B27*3.6/1000000/'E Balans VL '!Z9*100),0,B27*3.6/1000000/'E Balans VL '!Z9*100)</f>
        <v>0.31136950247920936</v>
      </c>
      <c r="D27" s="234" t="s">
        <v>667</v>
      </c>
      <c r="F27" s="6"/>
    </row>
    <row r="28" spans="1:18">
      <c r="A28" s="168" t="s">
        <v>51</v>
      </c>
      <c r="B28" s="33">
        <f>IF(ISERROR(TER_handel_ele_kWh/1000),0,TER_handel_ele_kWh/1000)</f>
        <v>4266.6805269999995</v>
      </c>
      <c r="C28" s="39">
        <f>IF(ISERROR(B28*3.6/1000000/'E Balans VL '!Z13*100),0,B28*3.6/1000000/'E Balans VL '!Z13*100)</f>
        <v>0.12361703065218406</v>
      </c>
      <c r="D28" s="234" t="s">
        <v>667</v>
      </c>
      <c r="F28" s="6"/>
    </row>
    <row r="29" spans="1:18">
      <c r="A29" s="228" t="s">
        <v>50</v>
      </c>
      <c r="B29" s="33">
        <f>IF(ISERROR(TER_gezond_ele_kWh/1000),0,TER_gezond_ele_kWh/1000)</f>
        <v>519.62458800000002</v>
      </c>
      <c r="C29" s="39">
        <f>IF(ISERROR(B29*3.6/1000000/'E Balans VL '!Z10*100),0,B29*3.6/1000000/'E Balans VL '!Z10*100)</f>
        <v>5.2404759377360104E-2</v>
      </c>
      <c r="D29" s="234" t="s">
        <v>667</v>
      </c>
      <c r="F29" s="6"/>
    </row>
    <row r="30" spans="1:18">
      <c r="A30" s="228" t="s">
        <v>49</v>
      </c>
      <c r="B30" s="33">
        <f>IF(ISERROR(TER_ander_ele_kWh/1000),0,TER_ander_ele_kWh/1000)</f>
        <v>6393.8489669999999</v>
      </c>
      <c r="C30" s="39">
        <f>IF(ISERROR(B30*3.6/1000000/'E Balans VL '!Z14*100),0,B30*3.6/1000000/'E Balans VL '!Z14*100)</f>
        <v>0.25918062891101934</v>
      </c>
      <c r="D30" s="234" t="s">
        <v>667</v>
      </c>
      <c r="F30" s="6"/>
    </row>
    <row r="31" spans="1:18">
      <c r="A31" s="228" t="s">
        <v>54</v>
      </c>
      <c r="B31" s="33">
        <f>IF(ISERROR(TER_onderwijs_ele_kWh/1000),0,TER_onderwijs_ele_kWh/1000)</f>
        <v>276.74949099999998</v>
      </c>
      <c r="C31" s="39">
        <f>IF(ISERROR(B31*3.6/1000000/'E Balans VL '!Z11*100),0,B31*3.6/1000000/'E Balans VL '!Z11*100)</f>
        <v>7.8884874699034602E-2</v>
      </c>
      <c r="D31" s="234" t="s">
        <v>667</v>
      </c>
    </row>
    <row r="32" spans="1:18">
      <c r="A32" s="228" t="s">
        <v>248</v>
      </c>
      <c r="B32" s="33">
        <f>IF(ISERROR(TER_rest_ele_kWh/1000),0,TER_rest_ele_kWh/1000)</f>
        <v>2971.122351</v>
      </c>
      <c r="C32" s="39">
        <f>IF(ISERROR(B32*3.6/1000000/'E Balans VL '!Z8*100),0,B32*3.6/1000000/'E Balans VL '!Z8*100)</f>
        <v>2.4401708688809275E-2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7</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15834.694135</v>
      </c>
      <c r="C5" s="17">
        <f>IF(ISERROR('Eigen informatie GS &amp; warmtenet'!B61),0,'Eigen informatie GS &amp; warmtenet'!B61)</f>
        <v>0</v>
      </c>
      <c r="D5" s="30">
        <f>SUM(D6:D15)</f>
        <v>3891.13227525</v>
      </c>
      <c r="E5" s="17">
        <f>SUM(E6:E15)</f>
        <v>47.967232368990459</v>
      </c>
      <c r="F5" s="17">
        <f>SUM(F6:F15)</f>
        <v>1953.133748579982</v>
      </c>
      <c r="G5" s="18"/>
      <c r="H5" s="17"/>
      <c r="I5" s="17"/>
      <c r="J5" s="17">
        <f>SUM(J6:J15)</f>
        <v>1.7000064031094151</v>
      </c>
      <c r="K5" s="17"/>
      <c r="L5" s="17"/>
      <c r="M5" s="17"/>
      <c r="N5" s="17">
        <f>SUM(N6:N15)</f>
        <v>840.15075834447487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137.75198800000001</v>
      </c>
      <c r="C8" s="33"/>
      <c r="D8" s="37">
        <f>IF( ISERROR(IND_metaal_Gas_kWH/1000),0,IND_metaal_Gas_kWH/1000)*0.902</f>
        <v>0</v>
      </c>
      <c r="E8" s="33">
        <f>C30*'E Balans VL '!I18/100/3.6*1000000</f>
        <v>0.9885411582759519</v>
      </c>
      <c r="F8" s="33">
        <f>C30*'E Balans VL '!L18/100/3.6*1000000+C30*'E Balans VL '!N18/100/3.6*1000000</f>
        <v>9.168673703724588</v>
      </c>
      <c r="G8" s="34"/>
      <c r="H8" s="33"/>
      <c r="I8" s="33"/>
      <c r="J8" s="40">
        <f>C30*'E Balans VL '!D18/100/3.6*1000000+C30*'E Balans VL '!E18/100/3.6*1000000</f>
        <v>0.13279880686327922</v>
      </c>
      <c r="K8" s="33"/>
      <c r="L8" s="33"/>
      <c r="M8" s="33"/>
      <c r="N8" s="33">
        <f>C30*'E Balans VL '!Y18/100/3.6*1000000</f>
        <v>1.6692369948700487</v>
      </c>
      <c r="O8" s="33"/>
      <c r="P8" s="33"/>
      <c r="R8" s="32"/>
    </row>
    <row r="9" spans="1:18">
      <c r="A9" s="6" t="s">
        <v>32</v>
      </c>
      <c r="B9" s="37">
        <f t="shared" si="0"/>
        <v>1639.7652990000001</v>
      </c>
      <c r="C9" s="33"/>
      <c r="D9" s="37">
        <f>IF( ISERROR(IND_andere_gas_kWh/1000),0,IND_andere_gas_kWh/1000)*0.902</f>
        <v>1539.4267581000001</v>
      </c>
      <c r="E9" s="33">
        <f>C31*'E Balans VL '!I19/100/3.6*1000000</f>
        <v>4.3112322555854181</v>
      </c>
      <c r="F9" s="33">
        <f>C31*'E Balans VL '!L19/100/3.6*1000000+C31*'E Balans VL '!N19/100/3.6*1000000</f>
        <v>1082.9086600753078</v>
      </c>
      <c r="G9" s="34"/>
      <c r="H9" s="33"/>
      <c r="I9" s="33"/>
      <c r="J9" s="40">
        <f>C31*'E Balans VL '!D19/100/3.6*1000000+C31*'E Balans VL '!E19/100/3.6*1000000</f>
        <v>0</v>
      </c>
      <c r="K9" s="33"/>
      <c r="L9" s="33"/>
      <c r="M9" s="33"/>
      <c r="N9" s="33">
        <f>C31*'E Balans VL '!Y19/100/3.6*1000000</f>
        <v>87.544460190817901</v>
      </c>
      <c r="O9" s="33"/>
      <c r="P9" s="33"/>
      <c r="R9" s="32"/>
    </row>
    <row r="10" spans="1:18">
      <c r="A10" s="6" t="s">
        <v>40</v>
      </c>
      <c r="B10" s="37">
        <f t="shared" si="0"/>
        <v>13556.774869999999</v>
      </c>
      <c r="C10" s="33"/>
      <c r="D10" s="37">
        <f>IF( ISERROR(IND_voed_gas_kWh/1000),0,IND_voed_gas_kWh/1000)*0.902</f>
        <v>1464.9264613719999</v>
      </c>
      <c r="E10" s="33">
        <f>C32*'E Balans VL '!I20/100/3.6*1000000</f>
        <v>22.886935073380048</v>
      </c>
      <c r="F10" s="33">
        <f>C32*'E Balans VL '!L20/100/3.6*1000000+C32*'E Balans VL '!N20/100/3.6*1000000</f>
        <v>795.7235180376839</v>
      </c>
      <c r="G10" s="34"/>
      <c r="H10" s="33"/>
      <c r="I10" s="33"/>
      <c r="J10" s="40">
        <f>C32*'E Balans VL '!D20/100/3.6*1000000+C32*'E Balans VL '!E20/100/3.6*1000000</f>
        <v>0</v>
      </c>
      <c r="K10" s="33"/>
      <c r="L10" s="33"/>
      <c r="M10" s="33"/>
      <c r="N10" s="33">
        <f>C32*'E Balans VL '!Y20/100/3.6*1000000</f>
        <v>738.09852644617877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92.623761000000002</v>
      </c>
      <c r="C13" s="33"/>
      <c r="D13" s="37">
        <f>IF( ISERROR(IND_papier_gas_kWh/1000),0,IND_papier_gas_kWh/1000)*0.902</f>
        <v>0</v>
      </c>
      <c r="E13" s="33">
        <f>C35*'E Balans VL '!I23/100/3.6*1000000</f>
        <v>0.32770376280626495</v>
      </c>
      <c r="F13" s="33">
        <f>C35*'E Balans VL '!L23/100/3.6*1000000+C35*'E Balans VL '!N23/100/3.6*1000000</f>
        <v>0.85869353794471415</v>
      </c>
      <c r="G13" s="34"/>
      <c r="H13" s="33"/>
      <c r="I13" s="33"/>
      <c r="J13" s="40">
        <f>C35*'E Balans VL '!D23/100/3.6*1000000+C35*'E Balans VL '!E23/100/3.6*1000000</f>
        <v>0</v>
      </c>
      <c r="K13" s="33"/>
      <c r="L13" s="33"/>
      <c r="M13" s="33"/>
      <c r="N13" s="33">
        <f>C35*'E Balans VL '!Y23/100/3.6*1000000</f>
        <v>-2.0176903177462258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407.77821699999998</v>
      </c>
      <c r="C15" s="33"/>
      <c r="D15" s="37">
        <f>IF( ISERROR(IND_rest_gas_kWh/1000),0,IND_rest_gas_kWh/1000)*0.902</f>
        <v>886.77905577800004</v>
      </c>
      <c r="E15" s="33">
        <f>C37*'E Balans VL '!I15/100/3.6*1000000</f>
        <v>19.452820118942775</v>
      </c>
      <c r="F15" s="33">
        <f>C37*'E Balans VL '!L15/100/3.6*1000000+C37*'E Balans VL '!N15/100/3.6*1000000</f>
        <v>64.474203225321077</v>
      </c>
      <c r="G15" s="34"/>
      <c r="H15" s="33"/>
      <c r="I15" s="33"/>
      <c r="J15" s="40">
        <f>C37*'E Balans VL '!D15/100/3.6*1000000+C37*'E Balans VL '!E15/100/3.6*1000000</f>
        <v>1.5672075962461358</v>
      </c>
      <c r="K15" s="33"/>
      <c r="L15" s="33"/>
      <c r="M15" s="33"/>
      <c r="N15" s="33">
        <f>C37*'E Balans VL '!Y15/100/3.6*1000000</f>
        <v>14.856225030354375</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15834.694135</v>
      </c>
      <c r="C18" s="21">
        <f>C5+C16</f>
        <v>0</v>
      </c>
      <c r="D18" s="21">
        <f>MAX((D5+D16),0)</f>
        <v>3891.13227525</v>
      </c>
      <c r="E18" s="21">
        <f>MAX((E5+E16),0)</f>
        <v>47.967232368990459</v>
      </c>
      <c r="F18" s="21">
        <f>MAX((F5+F16),0)</f>
        <v>1953.133748579982</v>
      </c>
      <c r="G18" s="21"/>
      <c r="H18" s="21"/>
      <c r="I18" s="21"/>
      <c r="J18" s="21">
        <f>MAX((J5+J16),0)</f>
        <v>1.7000064031094151</v>
      </c>
      <c r="K18" s="21"/>
      <c r="L18" s="21">
        <f>MAX((L5+L16),0)</f>
        <v>0</v>
      </c>
      <c r="M18" s="21"/>
      <c r="N18" s="21">
        <f>MAX((N5+N16),0)</f>
        <v>840.15075834447487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0.19358728802391031</v>
      </c>
      <c r="C20" s="25">
        <f ca="1">'EF ele_warmte'!B22</f>
        <v>0.16003168944345419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3065.3954942827681</v>
      </c>
      <c r="C22" s="23">
        <f ca="1">C18*C20</f>
        <v>0</v>
      </c>
      <c r="D22" s="23">
        <f>D18*D20</f>
        <v>786.00871960050006</v>
      </c>
      <c r="E22" s="23">
        <f>E18*E20</f>
        <v>10.888561747760834</v>
      </c>
      <c r="F22" s="23">
        <f>F18*F20</f>
        <v>521.48671087085518</v>
      </c>
      <c r="G22" s="23"/>
      <c r="H22" s="23"/>
      <c r="I22" s="23"/>
      <c r="J22" s="23">
        <f>J18*J20</f>
        <v>0.60180226670073289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137.75198800000001</v>
      </c>
      <c r="C30" s="39">
        <f>IF(ISERROR(B30*3.6/1000000/'E Balans VL '!Z18*100),0,B30*3.6/1000000/'E Balans VL '!Z18*100)</f>
        <v>7.6220159225133784E-3</v>
      </c>
      <c r="D30" s="234" t="s">
        <v>667</v>
      </c>
    </row>
    <row r="31" spans="1:18">
      <c r="A31" s="6" t="s">
        <v>32</v>
      </c>
      <c r="B31" s="37">
        <f>IF( ISERROR(IND_ander_ele_kWh/1000),0,IND_ander_ele_kWh/1000)</f>
        <v>1639.7652990000001</v>
      </c>
      <c r="C31" s="39">
        <f>IF(ISERROR(B31*3.6/1000000/'E Balans VL '!Z19*100),0,B31*3.6/1000000/'E Balans VL '!Z19*100)</f>
        <v>7.1531685912855053E-2</v>
      </c>
      <c r="D31" s="234" t="s">
        <v>667</v>
      </c>
    </row>
    <row r="32" spans="1:18">
      <c r="A32" s="168" t="s">
        <v>40</v>
      </c>
      <c r="B32" s="37">
        <f>IF( ISERROR(IND_voed_ele_kWh/1000),0,IND_voed_ele_kWh/1000)</f>
        <v>13556.774869999999</v>
      </c>
      <c r="C32" s="39">
        <f>IF(ISERROR(B32*3.6/1000000/'E Balans VL '!Z20*100),0,B32*3.6/1000000/'E Balans VL '!Z20*100)</f>
        <v>0.4255375456900824</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92.623761000000002</v>
      </c>
      <c r="C35" s="39">
        <f>IF(ISERROR(B35*3.6/1000000/'E Balans VL '!Z22*100),0,B35*3.6/1000000/'E Balans VL '!Z22*100)</f>
        <v>4.1545584278058087E-2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407.77821699999998</v>
      </c>
      <c r="C37" s="39">
        <f>IF(ISERROR(B37*3.6/1000000/'E Balans VL '!Z15*100),0,B37*3.6/1000000/'E Balans VL '!Z15*100)</f>
        <v>3.3186695707665467E-3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3778.859297</v>
      </c>
      <c r="C5" s="17">
        <f>'Eigen informatie GS &amp; warmtenet'!B62</f>
        <v>0</v>
      </c>
      <c r="D5" s="30">
        <f>IF(ISERROR(SUM(LB_lb_gas_kWh,LB_rest_gas_kWh)/1000),0,SUM(LB_lb_gas_kWh,LB_rest_gas_kWh)/1000)*0.902</f>
        <v>103.32825822</v>
      </c>
      <c r="E5" s="17">
        <f>B17*'E Balans VL '!I25/3.6*1000000/100</f>
        <v>153.52163793667995</v>
      </c>
      <c r="F5" s="17">
        <f>B17*('E Balans VL '!L25/3.6*1000000+'E Balans VL '!N25/3.6*1000000)/100</f>
        <v>13367.147592131081</v>
      </c>
      <c r="G5" s="18"/>
      <c r="H5" s="17"/>
      <c r="I5" s="17"/>
      <c r="J5" s="17">
        <f>('E Balans VL '!D25+'E Balans VL '!E25)/3.6*1000000*landbouw!B17/100</f>
        <v>1073.6522575639567</v>
      </c>
      <c r="K5" s="17"/>
      <c r="L5" s="17">
        <f>L6*(-1)</f>
        <v>0</v>
      </c>
      <c r="M5" s="17"/>
      <c r="N5" s="17">
        <f>N6*(-1)</f>
        <v>124.71428571428569</v>
      </c>
      <c r="O5" s="17"/>
      <c r="P5" s="17"/>
      <c r="R5" s="32"/>
    </row>
    <row r="6" spans="1:18">
      <c r="A6" s="16" t="s">
        <v>464</v>
      </c>
      <c r="B6" s="17" t="s">
        <v>204</v>
      </c>
      <c r="C6" s="17">
        <f>'lokale energieproductie'!O40+'lokale energieproductie'!O33</f>
        <v>62.357142857142847</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3778.859297</v>
      </c>
      <c r="C8" s="21">
        <f>C5+C6</f>
        <v>62.357142857142847</v>
      </c>
      <c r="D8" s="21">
        <f>MAX((D5+D6),0)</f>
        <v>103.32825822</v>
      </c>
      <c r="E8" s="21">
        <f>MAX((E5+E6),0)</f>
        <v>153.52163793667995</v>
      </c>
      <c r="F8" s="21">
        <f>MAX((F5+F6),0)</f>
        <v>13367.147592131081</v>
      </c>
      <c r="G8" s="21"/>
      <c r="H8" s="21"/>
      <c r="I8" s="21"/>
      <c r="J8" s="21">
        <f>MAX((J5+J6),0)</f>
        <v>1073.6522575639567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0.19358728802391031</v>
      </c>
      <c r="C10" s="31">
        <f ca="1">'EF ele_warmte'!B22</f>
        <v>0.16003168944345419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731.5391231301702</v>
      </c>
      <c r="C12" s="23">
        <f ca="1">C8*C10</f>
        <v>9.9791189202953916</v>
      </c>
      <c r="D12" s="23">
        <f>D8*D10</f>
        <v>20.872308160439999</v>
      </c>
      <c r="E12" s="23">
        <f>E8*E10</f>
        <v>34.849411811626354</v>
      </c>
      <c r="F12" s="23">
        <f>F8*F10</f>
        <v>3569.0284070989987</v>
      </c>
      <c r="G12" s="23"/>
      <c r="H12" s="23"/>
      <c r="I12" s="23"/>
      <c r="J12" s="23">
        <f>J8*J10</f>
        <v>380.07289917764064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0.56175452392846059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688.67102182665326</v>
      </c>
      <c r="C26" s="244">
        <f>B26*'GWP N2O_CH4'!B5</f>
        <v>14462.091458359719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370.85805297246867</v>
      </c>
      <c r="C27" s="244">
        <f>B27*'GWP N2O_CH4'!B5</f>
        <v>7788.0191124218418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19.719522877887918</v>
      </c>
      <c r="C28" s="244">
        <f>B28*'GWP N2O_CH4'!B4</f>
        <v>6113.0520921452544</v>
      </c>
      <c r="D28" s="50"/>
    </row>
    <row r="29" spans="1:4">
      <c r="A29" s="41" t="s">
        <v>265</v>
      </c>
      <c r="B29" s="244">
        <f>B34*'ha_N2O bodem landbouw'!B4</f>
        <v>20.749069238109463</v>
      </c>
      <c r="C29" s="244">
        <f>B29*'GWP N2O_CH4'!B4</f>
        <v>6432.2114638139337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4.5498973053256188E-3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4.1575317468565634E-4</v>
      </c>
      <c r="C5" s="429" t="s">
        <v>204</v>
      </c>
      <c r="D5" s="414">
        <f>SUM(D6:D11)</f>
        <v>7.4336607865719986E-4</v>
      </c>
      <c r="E5" s="414">
        <f>SUM(E6:E11)</f>
        <v>6.3620186171385389E-4</v>
      </c>
      <c r="F5" s="427" t="s">
        <v>204</v>
      </c>
      <c r="G5" s="414">
        <f>SUM(G6:G11)</f>
        <v>0.27165805225641426</v>
      </c>
      <c r="H5" s="414">
        <f>SUM(H6:H11)</f>
        <v>7.1206629253450671E-2</v>
      </c>
      <c r="I5" s="429" t="s">
        <v>204</v>
      </c>
      <c r="J5" s="429" t="s">
        <v>204</v>
      </c>
      <c r="K5" s="429" t="s">
        <v>204</v>
      </c>
      <c r="L5" s="429" t="s">
        <v>204</v>
      </c>
      <c r="M5" s="414">
        <f>SUM(M6:M11)</f>
        <v>2.0373482139067502E-2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3.2577853999850455E-4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5.5270051912286854E-4</v>
      </c>
      <c r="E6" s="843">
        <f>vkm_GW_PW*SUMIFS(TableVerdeelsleutelVkm[LPG],TableVerdeelsleutelVkm[Voertuigtype],"Lichte voertuigen")*SUMIFS(TableECFTransport[EnergieConsumptieFactor (PJ per km)],TableECFTransport[Index],CONCATENATE($A6,"_LPG_LPG"))</f>
        <v>4.7853329360347227E-4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0.15286359813502548</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5.3179333958880873E-2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1.2332377654660239E-2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1.5979751248026065E-6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6.0990043933603133E-2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9.7202776505474543E-7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3.5156195097186564E-3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8.8150994660676267E-5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1.9066555953433129E-4</v>
      </c>
      <c r="E8" s="417">
        <f>vkm_NGW_PW*SUMIFS(TableVerdeelsleutelVkm[LPG],TableVerdeelsleutelVkm[Voertuigtype],"Lichte voertuigen")*SUMIFS(TableECFTransport[EnergieConsumptieFactor (PJ per km)],TableECFTransport[Index],CONCATENATE($A8,"_LPG_LPG"))</f>
        <v>1.5766856811038165E-4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4.6731771122309293E-2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1.8026157579543487E-2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3.8872309274937348E-3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2.2566490167291142E-7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1.1072639065476319E-2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1.6568726125289663E-7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6.3825404719487409E-4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115.48699296823787</v>
      </c>
      <c r="C14" s="21"/>
      <c r="D14" s="21">
        <f t="shared" ref="D14:M14" si="0">((D5)*10^9/3600)+D12</f>
        <v>206.49057740477775</v>
      </c>
      <c r="E14" s="21">
        <f t="shared" si="0"/>
        <v>176.72273936495941</v>
      </c>
      <c r="F14" s="21"/>
      <c r="G14" s="21">
        <f t="shared" si="0"/>
        <v>75460.570071226175</v>
      </c>
      <c r="H14" s="21">
        <f t="shared" si="0"/>
        <v>19779.619237069634</v>
      </c>
      <c r="I14" s="21"/>
      <c r="J14" s="21"/>
      <c r="K14" s="21"/>
      <c r="L14" s="21"/>
      <c r="M14" s="21">
        <f t="shared" si="0"/>
        <v>5659.3005941854171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0.19358728802391031</v>
      </c>
      <c r="C16" s="56">
        <f ca="1">'EF ele_warmte'!B22</f>
        <v>0.16003168944345419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22.356813770757569</v>
      </c>
      <c r="C18" s="23"/>
      <c r="D18" s="23">
        <f t="shared" ref="D18:M18" si="1">D14*D16</f>
        <v>41.711096635765109</v>
      </c>
      <c r="E18" s="23">
        <f t="shared" si="1"/>
        <v>40.116061835845784</v>
      </c>
      <c r="F18" s="23"/>
      <c r="G18" s="23">
        <f t="shared" si="1"/>
        <v>20147.972209017389</v>
      </c>
      <c r="H18" s="23">
        <f t="shared" si="1"/>
        <v>4925.1251900303387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6.532366809932193E-5</v>
      </c>
      <c r="C50" s="313">
        <f t="shared" ref="C50:P50" si="2">SUM(C51:C52)</f>
        <v>0</v>
      </c>
      <c r="D50" s="313">
        <f t="shared" si="2"/>
        <v>0</v>
      </c>
      <c r="E50" s="313">
        <f t="shared" si="2"/>
        <v>0</v>
      </c>
      <c r="F50" s="313">
        <f t="shared" si="2"/>
        <v>0</v>
      </c>
      <c r="G50" s="313">
        <f t="shared" si="2"/>
        <v>4.732798209214034E-3</v>
      </c>
      <c r="H50" s="313">
        <f t="shared" si="2"/>
        <v>0</v>
      </c>
      <c r="I50" s="313">
        <f t="shared" si="2"/>
        <v>0</v>
      </c>
      <c r="J50" s="313">
        <f t="shared" si="2"/>
        <v>0</v>
      </c>
      <c r="K50" s="313">
        <f t="shared" si="2"/>
        <v>0</v>
      </c>
      <c r="L50" s="313">
        <f t="shared" si="2"/>
        <v>0</v>
      </c>
      <c r="M50" s="313">
        <f t="shared" si="2"/>
        <v>2.6770116114412297E-4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6.532366809932193E-5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4.732798209214034E-3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2.6770116114412297E-4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18.145463360922758</v>
      </c>
      <c r="C54" s="21">
        <f t="shared" ref="C54:P54" si="3">(C50)*10^9/3600</f>
        <v>0</v>
      </c>
      <c r="D54" s="21">
        <f t="shared" si="3"/>
        <v>0</v>
      </c>
      <c r="E54" s="21">
        <f t="shared" si="3"/>
        <v>0</v>
      </c>
      <c r="F54" s="21">
        <f t="shared" si="3"/>
        <v>0</v>
      </c>
      <c r="G54" s="21">
        <f t="shared" si="3"/>
        <v>1314.6661692261205</v>
      </c>
      <c r="H54" s="21">
        <f t="shared" si="3"/>
        <v>0</v>
      </c>
      <c r="I54" s="21">
        <f t="shared" si="3"/>
        <v>0</v>
      </c>
      <c r="J54" s="21">
        <f t="shared" si="3"/>
        <v>0</v>
      </c>
      <c r="K54" s="21">
        <f t="shared" si="3"/>
        <v>0</v>
      </c>
      <c r="L54" s="21">
        <f t="shared" si="3"/>
        <v>0</v>
      </c>
      <c r="M54" s="21">
        <f t="shared" si="3"/>
        <v>74.361433651145262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0.19358728802391031</v>
      </c>
      <c r="C56" s="56">
        <f ca="1">'EF ele_warmte'!B22</f>
        <v>0.16003168944345419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3.5127310419782658</v>
      </c>
      <c r="C58" s="23">
        <f t="shared" ref="C58:P58" ca="1" si="4">C54*C56</f>
        <v>0</v>
      </c>
      <c r="D58" s="23">
        <f t="shared" si="4"/>
        <v>0</v>
      </c>
      <c r="E58" s="23">
        <f t="shared" si="4"/>
        <v>0</v>
      </c>
      <c r="F58" s="23">
        <f t="shared" si="4"/>
        <v>0</v>
      </c>
      <c r="G58" s="23">
        <f t="shared" si="4"/>
        <v>351.01586718337421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8182.4387191443002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133.64999999999998</v>
      </c>
      <c r="C8" s="539">
        <f>B49</f>
        <v>105.88235294117646</v>
      </c>
      <c r="D8" s="540"/>
      <c r="E8" s="540">
        <f>E49</f>
        <v>0</v>
      </c>
      <c r="F8" s="541"/>
      <c r="G8" s="542"/>
      <c r="H8" s="540">
        <f>I49</f>
        <v>0</v>
      </c>
      <c r="I8" s="540">
        <f>G49+F49</f>
        <v>0</v>
      </c>
      <c r="J8" s="540">
        <f>H49+D49+C49</f>
        <v>51.352941176470573</v>
      </c>
      <c r="K8" s="540"/>
      <c r="L8" s="540"/>
      <c r="M8" s="540"/>
      <c r="N8" s="543"/>
      <c r="O8" s="544">
        <f>C8*$C$12+D8*$D$12+E8*$E$12+F8*$F$12+G8*$G$12+H8*$H$12+I8*$I$12+J8*$J$12</f>
        <v>21.388235294117646</v>
      </c>
      <c r="P8" s="1230"/>
      <c r="Q8" s="1231"/>
      <c r="S8" s="534"/>
      <c r="T8" s="1227"/>
      <c r="U8" s="1227"/>
    </row>
    <row r="9" spans="1:21" s="525" customFormat="1" ht="17.45" customHeight="1" thickBot="1">
      <c r="A9" s="545" t="s">
        <v>236</v>
      </c>
      <c r="B9" s="546">
        <f>N37+'Eigen informatie GS &amp; warmtenet'!B12</f>
        <v>1341</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9657.0887191442998</v>
      </c>
      <c r="C10" s="554">
        <f t="shared" ref="C10:L10" si="0">SUM(C8:C9)</f>
        <v>105.88235294117646</v>
      </c>
      <c r="D10" s="554">
        <f t="shared" si="0"/>
        <v>0</v>
      </c>
      <c r="E10" s="554">
        <f t="shared" si="0"/>
        <v>0</v>
      </c>
      <c r="F10" s="554">
        <f t="shared" si="0"/>
        <v>0</v>
      </c>
      <c r="G10" s="554">
        <f t="shared" si="0"/>
        <v>0</v>
      </c>
      <c r="H10" s="554">
        <f t="shared" si="0"/>
        <v>0</v>
      </c>
      <c r="I10" s="554">
        <f t="shared" si="0"/>
        <v>0</v>
      </c>
      <c r="J10" s="554">
        <f t="shared" si="0"/>
        <v>3882.7815126050423</v>
      </c>
      <c r="K10" s="554">
        <f t="shared" si="0"/>
        <v>0</v>
      </c>
      <c r="L10" s="554">
        <f t="shared" si="0"/>
        <v>0</v>
      </c>
      <c r="M10" s="923"/>
      <c r="N10" s="923"/>
      <c r="O10" s="555">
        <f>SUM(O4:O9)</f>
        <v>21.388235294117646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190.92857142857144</v>
      </c>
      <c r="C17" s="570">
        <f>B50</f>
        <v>151.2605042016807</v>
      </c>
      <c r="D17" s="571"/>
      <c r="E17" s="571">
        <f>E50</f>
        <v>0</v>
      </c>
      <c r="F17" s="572"/>
      <c r="G17" s="573"/>
      <c r="H17" s="570">
        <f>I50</f>
        <v>0</v>
      </c>
      <c r="I17" s="571">
        <f>G50+F50</f>
        <v>0</v>
      </c>
      <c r="J17" s="571">
        <f>H50+D50+C50</f>
        <v>73.361344537815114</v>
      </c>
      <c r="K17" s="571"/>
      <c r="L17" s="571"/>
      <c r="M17" s="571"/>
      <c r="N17" s="924"/>
      <c r="O17" s="574">
        <f>C17*$C$22+E17*$E$22+H17*$H$22+I17*$I$22+J17*$J$22+D17*$D$22+F17*$F$22+G17*$G$22+K17*$K$22+L17*$L$22</f>
        <v>30.554621848739504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190.92857142857144</v>
      </c>
      <c r="C20" s="553">
        <f>SUM(C17:C19)</f>
        <v>151.2605042016807</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30.554621848739504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13017</v>
      </c>
      <c r="C28" s="745">
        <v>2460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84" customFormat="1" ht="51" hidden="1">
      <c r="A29" s="583"/>
      <c r="B29" s="745">
        <v>13017</v>
      </c>
      <c r="C29" s="745">
        <v>2460</v>
      </c>
      <c r="D29" s="631"/>
      <c r="E29" s="630"/>
      <c r="F29" s="630"/>
      <c r="G29" s="630" t="s">
        <v>883</v>
      </c>
      <c r="H29" s="630" t="s">
        <v>884</v>
      </c>
      <c r="I29" s="630"/>
      <c r="J29" s="744"/>
      <c r="K29" s="744"/>
      <c r="L29" s="630" t="s">
        <v>886</v>
      </c>
      <c r="M29" s="630">
        <v>20</v>
      </c>
      <c r="N29" s="630">
        <v>90</v>
      </c>
      <c r="O29" s="630">
        <v>128.57142857142858</v>
      </c>
      <c r="P29" s="630">
        <v>257.14285714285717</v>
      </c>
      <c r="Q29" s="630">
        <v>0</v>
      </c>
      <c r="R29" s="630">
        <v>0</v>
      </c>
      <c r="S29" s="630">
        <v>0</v>
      </c>
      <c r="T29" s="630">
        <v>0</v>
      </c>
      <c r="U29" s="630">
        <v>0</v>
      </c>
      <c r="V29" s="630">
        <v>0</v>
      </c>
      <c r="W29" s="630">
        <v>0</v>
      </c>
      <c r="X29" s="630"/>
      <c r="Y29" s="630">
        <v>1500</v>
      </c>
      <c r="Z29" s="630" t="s">
        <v>50</v>
      </c>
      <c r="AA29" s="632" t="s">
        <v>149</v>
      </c>
    </row>
    <row r="30" spans="1:27" s="564" customFormat="1" hidden="1">
      <c r="A30" s="586" t="s">
        <v>268</v>
      </c>
      <c r="B30" s="587"/>
      <c r="C30" s="587"/>
      <c r="D30" s="587"/>
      <c r="E30" s="587"/>
      <c r="F30" s="587"/>
      <c r="G30" s="587"/>
      <c r="H30" s="587"/>
      <c r="I30" s="587"/>
      <c r="J30" s="587"/>
      <c r="K30" s="587"/>
      <c r="L30" s="588"/>
      <c r="M30" s="588">
        <f>SUM(M28:M29)</f>
        <v>29.7</v>
      </c>
      <c r="N30" s="588">
        <f>SUM(N28:N29)</f>
        <v>133.64999999999998</v>
      </c>
      <c r="O30" s="588">
        <f>SUM(O28:O29)</f>
        <v>190.92857142857144</v>
      </c>
      <c r="P30" s="588">
        <f>SUM(P28:P29)</f>
        <v>257.14285714285717</v>
      </c>
      <c r="Q30" s="588">
        <f>SUM(Q28:Q29)</f>
        <v>124.71428571428569</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20</v>
      </c>
      <c r="N32" s="588">
        <f ca="1">SUMIF($AA$28:AE29,"tertiair",N28:N29)</f>
        <v>90</v>
      </c>
      <c r="O32" s="588">
        <f ca="1">SUMIF($AA$28:AF29,"tertiair",O28:O29)</f>
        <v>128.57142857142858</v>
      </c>
      <c r="P32" s="588">
        <f ca="1">SUMIF($AA$28:AG29,"tertiair",P28:P29)</f>
        <v>257.14285714285717</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9.6999999999999993</v>
      </c>
      <c r="N33" s="593">
        <f>SUMIF($AA$28:$AA$29,"landbouw",N28:N29)</f>
        <v>43.649999999999991</v>
      </c>
      <c r="O33" s="593">
        <f>SUMIF($AA$28:$AA$29,"landbouw",O28:O29)</f>
        <v>62.357142857142847</v>
      </c>
      <c r="P33" s="593">
        <f>SUMIF($AA$28:$AA$29,"landbouw",P28:P29)</f>
        <v>0</v>
      </c>
      <c r="Q33" s="593">
        <f>SUMIF($AA$28:$AA$29,"landbouw",Q28:Q29)</f>
        <v>124.71428571428569</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63.75" hidden="1">
      <c r="A36" s="585"/>
      <c r="B36" s="745">
        <v>13017</v>
      </c>
      <c r="C36" s="745">
        <v>2460</v>
      </c>
      <c r="D36" s="633"/>
      <c r="E36" s="633"/>
      <c r="F36" s="633"/>
      <c r="G36" s="633" t="s">
        <v>887</v>
      </c>
      <c r="H36" s="633" t="s">
        <v>888</v>
      </c>
      <c r="I36" s="633"/>
      <c r="J36" s="744"/>
      <c r="K36" s="744"/>
      <c r="L36" s="633" t="s">
        <v>889</v>
      </c>
      <c r="M36" s="633">
        <v>298</v>
      </c>
      <c r="N36" s="633">
        <v>1341</v>
      </c>
      <c r="O36" s="633">
        <v>0</v>
      </c>
      <c r="P36" s="633">
        <v>0</v>
      </c>
      <c r="Q36" s="633">
        <v>3831.4285714285716</v>
      </c>
      <c r="R36" s="633">
        <v>0</v>
      </c>
      <c r="S36" s="633">
        <v>0</v>
      </c>
      <c r="T36" s="633">
        <v>0</v>
      </c>
      <c r="U36" s="633">
        <v>0</v>
      </c>
      <c r="V36" s="633">
        <v>0</v>
      </c>
      <c r="W36" s="633">
        <v>0</v>
      </c>
      <c r="X36" s="633"/>
      <c r="Y36" s="633">
        <v>1600</v>
      </c>
      <c r="Z36" s="633" t="s">
        <v>49</v>
      </c>
      <c r="AA36" s="634" t="s">
        <v>149</v>
      </c>
    </row>
    <row r="37" spans="1:28" s="564" customFormat="1" hidden="1">
      <c r="A37" s="586" t="s">
        <v>268</v>
      </c>
      <c r="B37" s="587"/>
      <c r="C37" s="587"/>
      <c r="D37" s="587"/>
      <c r="E37" s="587"/>
      <c r="F37" s="587"/>
      <c r="G37" s="587"/>
      <c r="H37" s="587"/>
      <c r="I37" s="587"/>
      <c r="J37" s="587"/>
      <c r="K37" s="587"/>
      <c r="L37" s="588"/>
      <c r="M37" s="588">
        <f>SUM(M36:M36)</f>
        <v>298</v>
      </c>
      <c r="N37" s="588">
        <f>SUM(N36:N36)</f>
        <v>1341</v>
      </c>
      <c r="O37" s="588">
        <f>SUM(O36:O36)</f>
        <v>0</v>
      </c>
      <c r="P37" s="588">
        <f>SUM(P36:P36)</f>
        <v>0</v>
      </c>
      <c r="Q37" s="588">
        <f>SUM(Q36:Q36)</f>
        <v>3831.4285714285716</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298</v>
      </c>
      <c r="N39" s="588">
        <f>SUMIF($AA$36:$AA$37,"tertiair",N36:N37)</f>
        <v>1341</v>
      </c>
      <c r="O39" s="588">
        <f>SUMIF($AA$36:$AA$37,"tertiair",O36:O37)</f>
        <v>0</v>
      </c>
      <c r="P39" s="588">
        <f>SUMIF($AA$36:$AA$37,"tertiair",P36:P37)</f>
        <v>0</v>
      </c>
      <c r="Q39" s="588">
        <f>SUMIF($AA$36:$AA$37,"tertiair",Q36:Q37)</f>
        <v>3831.4285714285716</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0.41176470588235287</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105.88235294117646</v>
      </c>
      <c r="C49" s="622">
        <f t="shared" si="2"/>
        <v>51.352941176470573</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151.2605042016807</v>
      </c>
      <c r="C50" s="625">
        <f t="shared" si="3"/>
        <v>73.361344537815114</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24140.983175999994</v>
      </c>
      <c r="D10" s="641">
        <f ca="1">tertiair!C16</f>
        <v>128.57142857142858</v>
      </c>
      <c r="E10" s="641">
        <f ca="1">tertiair!D16</f>
        <v>21638.658098853146</v>
      </c>
      <c r="F10" s="641">
        <f>tertiair!E16</f>
        <v>83.299847651746873</v>
      </c>
      <c r="G10" s="641">
        <f ca="1">tertiair!F16</f>
        <v>6898.0889437827727</v>
      </c>
      <c r="H10" s="641">
        <f>tertiair!G16</f>
        <v>0</v>
      </c>
      <c r="I10" s="641">
        <f>tertiair!H16</f>
        <v>0</v>
      </c>
      <c r="J10" s="641">
        <f>tertiair!I16</f>
        <v>0</v>
      </c>
      <c r="K10" s="641">
        <f>tertiair!J16</f>
        <v>6.9241354097291485E-2</v>
      </c>
      <c r="L10" s="641">
        <f>tertiair!K16</f>
        <v>0</v>
      </c>
      <c r="M10" s="641">
        <f ca="1">tertiair!L16</f>
        <v>0</v>
      </c>
      <c r="N10" s="641">
        <f>tertiair!M16</f>
        <v>0</v>
      </c>
      <c r="O10" s="641">
        <f ca="1">tertiair!N16</f>
        <v>0</v>
      </c>
      <c r="P10" s="641">
        <f>tertiair!O16</f>
        <v>34.280825360888088</v>
      </c>
      <c r="Q10" s="642">
        <f>tertiair!P16</f>
        <v>52.539138306495019</v>
      </c>
      <c r="R10" s="644">
        <f ca="1">SUM(C10:Q10)</f>
        <v>52976.49069988056</v>
      </c>
      <c r="S10" s="67"/>
    </row>
    <row r="11" spans="1:19" s="440" customFormat="1">
      <c r="A11" s="761" t="s">
        <v>213</v>
      </c>
      <c r="B11" s="766"/>
      <c r="C11" s="641">
        <f>huishoudens!B8</f>
        <v>32152.324962332197</v>
      </c>
      <c r="D11" s="641">
        <f>huishoudens!C8</f>
        <v>0</v>
      </c>
      <c r="E11" s="641">
        <f>huishoudens!D8</f>
        <v>65510.647638919996</v>
      </c>
      <c r="F11" s="641">
        <f>huishoudens!E8</f>
        <v>2263.368447283754</v>
      </c>
      <c r="G11" s="641">
        <f>huishoudens!F8</f>
        <v>43556.937167665543</v>
      </c>
      <c r="H11" s="641">
        <f>huishoudens!G8</f>
        <v>0</v>
      </c>
      <c r="I11" s="641">
        <f>huishoudens!H8</f>
        <v>0</v>
      </c>
      <c r="J11" s="641">
        <f>huishoudens!I8</f>
        <v>0</v>
      </c>
      <c r="K11" s="641">
        <f>huishoudens!J8</f>
        <v>222.88548353400495</v>
      </c>
      <c r="L11" s="641">
        <f>huishoudens!K8</f>
        <v>0</v>
      </c>
      <c r="M11" s="641">
        <f>huishoudens!L8</f>
        <v>0</v>
      </c>
      <c r="N11" s="641">
        <f>huishoudens!M8</f>
        <v>0</v>
      </c>
      <c r="O11" s="641">
        <f>huishoudens!N8</f>
        <v>10431.174510032659</v>
      </c>
      <c r="P11" s="641">
        <f>huishoudens!O8</f>
        <v>642.80246308139829</v>
      </c>
      <c r="Q11" s="642">
        <f>huishoudens!P8</f>
        <v>1316.7449134606277</v>
      </c>
      <c r="R11" s="644">
        <f>SUM(C11:Q11)</f>
        <v>156096.88558631021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15834.694135</v>
      </c>
      <c r="D13" s="641">
        <f>industrie!C18</f>
        <v>0</v>
      </c>
      <c r="E13" s="641">
        <f>industrie!D18</f>
        <v>3891.13227525</v>
      </c>
      <c r="F13" s="641">
        <f>industrie!E18</f>
        <v>47.967232368990459</v>
      </c>
      <c r="G13" s="641">
        <f>industrie!F18</f>
        <v>1953.133748579982</v>
      </c>
      <c r="H13" s="641">
        <f>industrie!G18</f>
        <v>0</v>
      </c>
      <c r="I13" s="641">
        <f>industrie!H18</f>
        <v>0</v>
      </c>
      <c r="J13" s="641">
        <f>industrie!I18</f>
        <v>0</v>
      </c>
      <c r="K13" s="641">
        <f>industrie!J18</f>
        <v>1.7000064031094151</v>
      </c>
      <c r="L13" s="641">
        <f>industrie!K18</f>
        <v>0</v>
      </c>
      <c r="M13" s="641">
        <f>industrie!L18</f>
        <v>0</v>
      </c>
      <c r="N13" s="641">
        <f>industrie!M18</f>
        <v>0</v>
      </c>
      <c r="O13" s="641">
        <f>industrie!N18</f>
        <v>840.15075834447487</v>
      </c>
      <c r="P13" s="641">
        <f>industrie!O18</f>
        <v>0</v>
      </c>
      <c r="Q13" s="642">
        <f>industrie!P18</f>
        <v>0</v>
      </c>
      <c r="R13" s="644">
        <f>SUM(C13:Q13)</f>
        <v>22568.778155946558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72128.002273332197</v>
      </c>
      <c r="D16" s="677">
        <f t="shared" ref="D16:R16" ca="1" si="0">SUM(D9:D15)</f>
        <v>128.57142857142858</v>
      </c>
      <c r="E16" s="677">
        <f t="shared" ca="1" si="0"/>
        <v>91040.438013023144</v>
      </c>
      <c r="F16" s="677">
        <f t="shared" si="0"/>
        <v>2394.6355273044915</v>
      </c>
      <c r="G16" s="677">
        <f t="shared" ca="1" si="0"/>
        <v>52408.159860028296</v>
      </c>
      <c r="H16" s="677">
        <f t="shared" si="0"/>
        <v>0</v>
      </c>
      <c r="I16" s="677">
        <f t="shared" si="0"/>
        <v>0</v>
      </c>
      <c r="J16" s="677">
        <f t="shared" si="0"/>
        <v>0</v>
      </c>
      <c r="K16" s="677">
        <f t="shared" si="0"/>
        <v>224.65473129121168</v>
      </c>
      <c r="L16" s="677">
        <f t="shared" si="0"/>
        <v>0</v>
      </c>
      <c r="M16" s="677">
        <f t="shared" ca="1" si="0"/>
        <v>0</v>
      </c>
      <c r="N16" s="677">
        <f t="shared" si="0"/>
        <v>0</v>
      </c>
      <c r="O16" s="677">
        <f t="shared" ca="1" si="0"/>
        <v>11271.325268377133</v>
      </c>
      <c r="P16" s="677">
        <f t="shared" si="0"/>
        <v>677.0832884422864</v>
      </c>
      <c r="Q16" s="677">
        <f t="shared" si="0"/>
        <v>1369.2840517671227</v>
      </c>
      <c r="R16" s="677">
        <f t="shared" ca="1" si="0"/>
        <v>231642.15444213731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18.145463360922758</v>
      </c>
      <c r="D19" s="641">
        <f>transport!C54</f>
        <v>0</v>
      </c>
      <c r="E19" s="641">
        <f>transport!D54</f>
        <v>0</v>
      </c>
      <c r="F19" s="641">
        <f>transport!E54</f>
        <v>0</v>
      </c>
      <c r="G19" s="641">
        <f>transport!F54</f>
        <v>0</v>
      </c>
      <c r="H19" s="641">
        <f>transport!G54</f>
        <v>1314.6661692261205</v>
      </c>
      <c r="I19" s="641">
        <f>transport!H54</f>
        <v>0</v>
      </c>
      <c r="J19" s="641">
        <f>transport!I54</f>
        <v>0</v>
      </c>
      <c r="K19" s="641">
        <f>transport!J54</f>
        <v>0</v>
      </c>
      <c r="L19" s="641">
        <f>transport!K54</f>
        <v>0</v>
      </c>
      <c r="M19" s="641">
        <f>transport!L54</f>
        <v>0</v>
      </c>
      <c r="N19" s="641">
        <f>transport!M54</f>
        <v>74.361433651145262</v>
      </c>
      <c r="O19" s="641">
        <f>transport!N54</f>
        <v>0</v>
      </c>
      <c r="P19" s="641">
        <f>transport!O54</f>
        <v>0</v>
      </c>
      <c r="Q19" s="642">
        <f>transport!P54</f>
        <v>0</v>
      </c>
      <c r="R19" s="644">
        <f>SUM(C19:Q19)</f>
        <v>1407.1730662381885</v>
      </c>
      <c r="S19" s="67"/>
    </row>
    <row r="20" spans="1:19" s="440" customFormat="1">
      <c r="A20" s="761" t="s">
        <v>295</v>
      </c>
      <c r="B20" s="766"/>
      <c r="C20" s="641">
        <f>transport!B14</f>
        <v>115.48699296823787</v>
      </c>
      <c r="D20" s="641">
        <f>transport!C14</f>
        <v>0</v>
      </c>
      <c r="E20" s="641">
        <f>transport!D14</f>
        <v>206.49057740477775</v>
      </c>
      <c r="F20" s="641">
        <f>transport!E14</f>
        <v>176.72273936495941</v>
      </c>
      <c r="G20" s="641">
        <f>transport!F14</f>
        <v>0</v>
      </c>
      <c r="H20" s="641">
        <f>transport!G14</f>
        <v>75460.570071226175</v>
      </c>
      <c r="I20" s="641">
        <f>transport!H14</f>
        <v>19779.619237069634</v>
      </c>
      <c r="J20" s="641">
        <f>transport!I14</f>
        <v>0</v>
      </c>
      <c r="K20" s="641">
        <f>transport!J14</f>
        <v>0</v>
      </c>
      <c r="L20" s="641">
        <f>transport!K14</f>
        <v>0</v>
      </c>
      <c r="M20" s="641">
        <f>transport!L14</f>
        <v>0</v>
      </c>
      <c r="N20" s="641">
        <f>transport!M14</f>
        <v>5659.3005941854171</v>
      </c>
      <c r="O20" s="641">
        <f>transport!N14</f>
        <v>0</v>
      </c>
      <c r="P20" s="641">
        <f>transport!O14</f>
        <v>0</v>
      </c>
      <c r="Q20" s="642">
        <f>transport!P14</f>
        <v>0</v>
      </c>
      <c r="R20" s="644">
        <f>SUM(C20:Q20)</f>
        <v>101398.19021221921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133.63245632916062</v>
      </c>
      <c r="D22" s="764">
        <f t="shared" ref="D22:R22" si="1">SUM(D18:D21)</f>
        <v>0</v>
      </c>
      <c r="E22" s="764">
        <f t="shared" si="1"/>
        <v>206.49057740477775</v>
      </c>
      <c r="F22" s="764">
        <f t="shared" si="1"/>
        <v>176.72273936495941</v>
      </c>
      <c r="G22" s="764">
        <f t="shared" si="1"/>
        <v>0</v>
      </c>
      <c r="H22" s="764">
        <f t="shared" si="1"/>
        <v>76775.236240452301</v>
      </c>
      <c r="I22" s="764">
        <f t="shared" si="1"/>
        <v>19779.619237069634</v>
      </c>
      <c r="J22" s="764">
        <f t="shared" si="1"/>
        <v>0</v>
      </c>
      <c r="K22" s="764">
        <f t="shared" si="1"/>
        <v>0</v>
      </c>
      <c r="L22" s="764">
        <f t="shared" si="1"/>
        <v>0</v>
      </c>
      <c r="M22" s="764">
        <f t="shared" si="1"/>
        <v>0</v>
      </c>
      <c r="N22" s="764">
        <f t="shared" si="1"/>
        <v>5733.6620278365626</v>
      </c>
      <c r="O22" s="764">
        <f t="shared" si="1"/>
        <v>0</v>
      </c>
      <c r="P22" s="764">
        <f t="shared" si="1"/>
        <v>0</v>
      </c>
      <c r="Q22" s="764">
        <f t="shared" si="1"/>
        <v>0</v>
      </c>
      <c r="R22" s="764">
        <f t="shared" si="1"/>
        <v>102805.3632784574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3778.859297</v>
      </c>
      <c r="D24" s="641">
        <f>+landbouw!C8</f>
        <v>62.357142857142847</v>
      </c>
      <c r="E24" s="641">
        <f>+landbouw!D8</f>
        <v>103.32825822</v>
      </c>
      <c r="F24" s="641">
        <f>+landbouw!E8</f>
        <v>153.52163793667995</v>
      </c>
      <c r="G24" s="641">
        <f>+landbouw!F8</f>
        <v>13367.147592131081</v>
      </c>
      <c r="H24" s="641">
        <f>+landbouw!G8</f>
        <v>0</v>
      </c>
      <c r="I24" s="641">
        <f>+landbouw!H8</f>
        <v>0</v>
      </c>
      <c r="J24" s="641">
        <f>+landbouw!I8</f>
        <v>0</v>
      </c>
      <c r="K24" s="641">
        <f>+landbouw!J8</f>
        <v>1073.6522575639567</v>
      </c>
      <c r="L24" s="641">
        <f>+landbouw!K8</f>
        <v>0</v>
      </c>
      <c r="M24" s="641">
        <f>+landbouw!L8</f>
        <v>0</v>
      </c>
      <c r="N24" s="641">
        <f>+landbouw!M8</f>
        <v>0</v>
      </c>
      <c r="O24" s="641">
        <f>+landbouw!N8</f>
        <v>0</v>
      </c>
      <c r="P24" s="641">
        <f>+landbouw!O8</f>
        <v>0</v>
      </c>
      <c r="Q24" s="642">
        <f>+landbouw!P8</f>
        <v>0</v>
      </c>
      <c r="R24" s="644">
        <f>SUM(C24:Q24)</f>
        <v>18538.866185708863</v>
      </c>
      <c r="S24" s="67"/>
    </row>
    <row r="25" spans="1:19" s="440" customFormat="1" ht="15" thickBot="1">
      <c r="A25" s="783" t="s">
        <v>683</v>
      </c>
      <c r="B25" s="901"/>
      <c r="C25" s="902">
        <f>IF(Onbekend_ele_kWh="---",0,Onbekend_ele_kWh)/1000+IF(REST_rest_ele_kWh="---",0,REST_rest_ele_kWh)/1000</f>
        <v>1034.2723619999999</v>
      </c>
      <c r="D25" s="902"/>
      <c r="E25" s="902">
        <f>IF(onbekend_gas_kWh="---",0,onbekend_gas_kWh)/1000+IF(REST_rest_gas_kWh="---",0,REST_rest_gas_kWh)/1000</f>
        <v>3149.8139100000003</v>
      </c>
      <c r="F25" s="902"/>
      <c r="G25" s="902"/>
      <c r="H25" s="902"/>
      <c r="I25" s="902"/>
      <c r="J25" s="902"/>
      <c r="K25" s="902"/>
      <c r="L25" s="902"/>
      <c r="M25" s="902"/>
      <c r="N25" s="902"/>
      <c r="O25" s="902"/>
      <c r="P25" s="902"/>
      <c r="Q25" s="903"/>
      <c r="R25" s="644">
        <f>SUM(C25:Q25)</f>
        <v>4184.0862720000005</v>
      </c>
      <c r="S25" s="67"/>
    </row>
    <row r="26" spans="1:19" s="440" customFormat="1" ht="15.75" thickBot="1">
      <c r="A26" s="649" t="s">
        <v>684</v>
      </c>
      <c r="B26" s="769"/>
      <c r="C26" s="764">
        <f>SUM(C24:C25)</f>
        <v>4813.1316589999997</v>
      </c>
      <c r="D26" s="764">
        <f t="shared" ref="D26:R26" si="2">SUM(D24:D25)</f>
        <v>62.357142857142847</v>
      </c>
      <c r="E26" s="764">
        <f t="shared" si="2"/>
        <v>3253.1421682200003</v>
      </c>
      <c r="F26" s="764">
        <f t="shared" si="2"/>
        <v>153.52163793667995</v>
      </c>
      <c r="G26" s="764">
        <f t="shared" si="2"/>
        <v>13367.147592131081</v>
      </c>
      <c r="H26" s="764">
        <f t="shared" si="2"/>
        <v>0</v>
      </c>
      <c r="I26" s="764">
        <f t="shared" si="2"/>
        <v>0</v>
      </c>
      <c r="J26" s="764">
        <f t="shared" si="2"/>
        <v>0</v>
      </c>
      <c r="K26" s="764">
        <f t="shared" si="2"/>
        <v>1073.6522575639567</v>
      </c>
      <c r="L26" s="764">
        <f t="shared" si="2"/>
        <v>0</v>
      </c>
      <c r="M26" s="764">
        <f t="shared" si="2"/>
        <v>0</v>
      </c>
      <c r="N26" s="764">
        <f t="shared" si="2"/>
        <v>0</v>
      </c>
      <c r="O26" s="764">
        <f t="shared" si="2"/>
        <v>0</v>
      </c>
      <c r="P26" s="764">
        <f t="shared" si="2"/>
        <v>0</v>
      </c>
      <c r="Q26" s="764">
        <f t="shared" si="2"/>
        <v>0</v>
      </c>
      <c r="R26" s="764">
        <f t="shared" si="2"/>
        <v>22722.952457708863</v>
      </c>
      <c r="S26" s="67"/>
    </row>
    <row r="27" spans="1:19" s="440" customFormat="1" ht="17.25" thickTop="1" thickBot="1">
      <c r="A27" s="650" t="s">
        <v>109</v>
      </c>
      <c r="B27" s="756"/>
      <c r="C27" s="651">
        <f ca="1">C22+C16+C26</f>
        <v>77074.766388661359</v>
      </c>
      <c r="D27" s="651">
        <f t="shared" ref="D27:R27" ca="1" si="3">D22+D16+D26</f>
        <v>190.92857142857144</v>
      </c>
      <c r="E27" s="651">
        <f t="shared" ca="1" si="3"/>
        <v>94500.070758647926</v>
      </c>
      <c r="F27" s="651">
        <f t="shared" si="3"/>
        <v>2724.8799046061308</v>
      </c>
      <c r="G27" s="651">
        <f t="shared" ca="1" si="3"/>
        <v>65775.307452159381</v>
      </c>
      <c r="H27" s="651">
        <f t="shared" si="3"/>
        <v>76775.236240452301</v>
      </c>
      <c r="I27" s="651">
        <f t="shared" si="3"/>
        <v>19779.619237069634</v>
      </c>
      <c r="J27" s="651">
        <f t="shared" si="3"/>
        <v>0</v>
      </c>
      <c r="K27" s="651">
        <f t="shared" si="3"/>
        <v>1298.3069888551684</v>
      </c>
      <c r="L27" s="651">
        <f t="shared" si="3"/>
        <v>0</v>
      </c>
      <c r="M27" s="651">
        <f t="shared" ca="1" si="3"/>
        <v>0</v>
      </c>
      <c r="N27" s="651">
        <f t="shared" si="3"/>
        <v>5733.6620278365626</v>
      </c>
      <c r="O27" s="651">
        <f t="shared" ca="1" si="3"/>
        <v>11271.325268377133</v>
      </c>
      <c r="P27" s="651">
        <f t="shared" si="3"/>
        <v>677.0832884422864</v>
      </c>
      <c r="Q27" s="651">
        <f t="shared" si="3"/>
        <v>1369.2840517671227</v>
      </c>
      <c r="R27" s="651">
        <f t="shared" ca="1" si="3"/>
        <v>357170.4701783036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4673.3874632726838</v>
      </c>
      <c r="D40" s="641">
        <f ca="1">tertiair!C20</f>
        <v>20.575502928444113</v>
      </c>
      <c r="E40" s="641">
        <f ca="1">tertiair!D20</f>
        <v>4371.0089359683361</v>
      </c>
      <c r="F40" s="641">
        <f>tertiair!E20</f>
        <v>18.90906541694654</v>
      </c>
      <c r="G40" s="641">
        <f ca="1">tertiair!F20</f>
        <v>1841.7897479900005</v>
      </c>
      <c r="H40" s="641">
        <f>tertiair!G20</f>
        <v>0</v>
      </c>
      <c r="I40" s="641">
        <f>tertiair!H20</f>
        <v>0</v>
      </c>
      <c r="J40" s="641">
        <f>tertiair!I20</f>
        <v>0</v>
      </c>
      <c r="K40" s="641">
        <f>tertiair!J20</f>
        <v>2.4511439350441186E-2</v>
      </c>
      <c r="L40" s="641">
        <f>tertiair!K20</f>
        <v>0</v>
      </c>
      <c r="M40" s="641">
        <f ca="1">tertiair!L20</f>
        <v>0</v>
      </c>
      <c r="N40" s="641">
        <f>tertiair!M20</f>
        <v>0</v>
      </c>
      <c r="O40" s="641">
        <f ca="1">tertiair!N20</f>
        <v>0</v>
      </c>
      <c r="P40" s="641">
        <f>tertiair!O20</f>
        <v>0</v>
      </c>
      <c r="Q40" s="724">
        <f>tertiair!P20</f>
        <v>0</v>
      </c>
      <c r="R40" s="802">
        <f t="shared" ca="1" si="4"/>
        <v>10925.695227015762</v>
      </c>
    </row>
    <row r="41" spans="1:18">
      <c r="A41" s="774" t="s">
        <v>213</v>
      </c>
      <c r="B41" s="781"/>
      <c r="C41" s="641">
        <f ca="1">huishoudens!B12</f>
        <v>6224.2813931213641</v>
      </c>
      <c r="D41" s="641">
        <f ca="1">huishoudens!C12</f>
        <v>0</v>
      </c>
      <c r="E41" s="641">
        <f>huishoudens!D12</f>
        <v>13233.15082306184</v>
      </c>
      <c r="F41" s="641">
        <f>huishoudens!E12</f>
        <v>513.78463753341214</v>
      </c>
      <c r="G41" s="641">
        <f>huishoudens!F12</f>
        <v>11629.702223766701</v>
      </c>
      <c r="H41" s="641">
        <f>huishoudens!G12</f>
        <v>0</v>
      </c>
      <c r="I41" s="641">
        <f>huishoudens!H12</f>
        <v>0</v>
      </c>
      <c r="J41" s="641">
        <f>huishoudens!I12</f>
        <v>0</v>
      </c>
      <c r="K41" s="641">
        <f>huishoudens!J12</f>
        <v>78.901461171037752</v>
      </c>
      <c r="L41" s="641">
        <f>huishoudens!K12</f>
        <v>0</v>
      </c>
      <c r="M41" s="641">
        <f>huishoudens!L12</f>
        <v>0</v>
      </c>
      <c r="N41" s="641">
        <f>huishoudens!M12</f>
        <v>0</v>
      </c>
      <c r="O41" s="641">
        <f>huishoudens!N12</f>
        <v>0</v>
      </c>
      <c r="P41" s="641">
        <f>huishoudens!O12</f>
        <v>0</v>
      </c>
      <c r="Q41" s="724">
        <f>huishoudens!P12</f>
        <v>0</v>
      </c>
      <c r="R41" s="802">
        <f t="shared" ca="1" si="4"/>
        <v>31679.820538654352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3065.3954942827681</v>
      </c>
      <c r="D43" s="641">
        <f ca="1">industrie!C22</f>
        <v>0</v>
      </c>
      <c r="E43" s="641">
        <f>industrie!D22</f>
        <v>786.00871960050006</v>
      </c>
      <c r="F43" s="641">
        <f>industrie!E22</f>
        <v>10.888561747760834</v>
      </c>
      <c r="G43" s="641">
        <f>industrie!F22</f>
        <v>521.48671087085518</v>
      </c>
      <c r="H43" s="641">
        <f>industrie!G22</f>
        <v>0</v>
      </c>
      <c r="I43" s="641">
        <f>industrie!H22</f>
        <v>0</v>
      </c>
      <c r="J43" s="641">
        <f>industrie!I22</f>
        <v>0</v>
      </c>
      <c r="K43" s="641">
        <f>industrie!J22</f>
        <v>0.60180226670073289</v>
      </c>
      <c r="L43" s="641">
        <f>industrie!K22</f>
        <v>0</v>
      </c>
      <c r="M43" s="641">
        <f>industrie!L22</f>
        <v>0</v>
      </c>
      <c r="N43" s="641">
        <f>industrie!M22</f>
        <v>0</v>
      </c>
      <c r="O43" s="641">
        <f>industrie!N22</f>
        <v>0</v>
      </c>
      <c r="P43" s="641">
        <f>industrie!O22</f>
        <v>0</v>
      </c>
      <c r="Q43" s="724">
        <f>industrie!P22</f>
        <v>0</v>
      </c>
      <c r="R43" s="801">
        <f t="shared" ca="1" si="4"/>
        <v>4384.3812887685845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13963.064350676816</v>
      </c>
      <c r="D46" s="677">
        <f t="shared" ref="D46:Q46" ca="1" si="5">SUM(D39:D45)</f>
        <v>20.575502928444113</v>
      </c>
      <c r="E46" s="677">
        <f t="shared" ca="1" si="5"/>
        <v>18390.168478630676</v>
      </c>
      <c r="F46" s="677">
        <f t="shared" si="5"/>
        <v>543.5822646981195</v>
      </c>
      <c r="G46" s="677">
        <f t="shared" ca="1" si="5"/>
        <v>13992.978682627556</v>
      </c>
      <c r="H46" s="677">
        <f t="shared" si="5"/>
        <v>0</v>
      </c>
      <c r="I46" s="677">
        <f t="shared" si="5"/>
        <v>0</v>
      </c>
      <c r="J46" s="677">
        <f t="shared" si="5"/>
        <v>0</v>
      </c>
      <c r="K46" s="677">
        <f t="shared" si="5"/>
        <v>79.52777487708893</v>
      </c>
      <c r="L46" s="677">
        <f t="shared" si="5"/>
        <v>0</v>
      </c>
      <c r="M46" s="677">
        <f t="shared" ca="1" si="5"/>
        <v>0</v>
      </c>
      <c r="N46" s="677">
        <f t="shared" si="5"/>
        <v>0</v>
      </c>
      <c r="O46" s="677">
        <f t="shared" ca="1" si="5"/>
        <v>0</v>
      </c>
      <c r="P46" s="677">
        <f t="shared" si="5"/>
        <v>0</v>
      </c>
      <c r="Q46" s="677">
        <f t="shared" si="5"/>
        <v>0</v>
      </c>
      <c r="R46" s="677">
        <f ca="1">SUM(R39:R45)</f>
        <v>46989.897054438698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3.5127310419782658</v>
      </c>
      <c r="D49" s="641">
        <f ca="1">transport!C58</f>
        <v>0</v>
      </c>
      <c r="E49" s="641">
        <f>transport!D58</f>
        <v>0</v>
      </c>
      <c r="F49" s="641">
        <f>transport!E58</f>
        <v>0</v>
      </c>
      <c r="G49" s="641">
        <f>transport!F58</f>
        <v>0</v>
      </c>
      <c r="H49" s="641">
        <f>transport!G58</f>
        <v>351.01586718337421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354.52859822535248</v>
      </c>
    </row>
    <row r="50" spans="1:18">
      <c r="A50" s="777" t="s">
        <v>295</v>
      </c>
      <c r="B50" s="787"/>
      <c r="C50" s="647">
        <f ca="1">transport!B18</f>
        <v>22.356813770757569</v>
      </c>
      <c r="D50" s="647">
        <f>transport!C18</f>
        <v>0</v>
      </c>
      <c r="E50" s="647">
        <f>transport!D18</f>
        <v>41.711096635765109</v>
      </c>
      <c r="F50" s="647">
        <f>transport!E18</f>
        <v>40.116061835845784</v>
      </c>
      <c r="G50" s="647">
        <f>transport!F18</f>
        <v>0</v>
      </c>
      <c r="H50" s="647">
        <f>transport!G18</f>
        <v>20147.972209017389</v>
      </c>
      <c r="I50" s="647">
        <f>transport!H18</f>
        <v>4925.1251900303387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25177.281371290097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25.869544812735835</v>
      </c>
      <c r="D52" s="677">
        <f t="shared" ref="D52:Q52" ca="1" si="6">SUM(D48:D51)</f>
        <v>0</v>
      </c>
      <c r="E52" s="677">
        <f t="shared" si="6"/>
        <v>41.711096635765109</v>
      </c>
      <c r="F52" s="677">
        <f t="shared" si="6"/>
        <v>40.116061835845784</v>
      </c>
      <c r="G52" s="677">
        <f t="shared" si="6"/>
        <v>0</v>
      </c>
      <c r="H52" s="677">
        <f t="shared" si="6"/>
        <v>20498.988076200763</v>
      </c>
      <c r="I52" s="677">
        <f t="shared" si="6"/>
        <v>4925.1251900303387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25531.809969515449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731.5391231301702</v>
      </c>
      <c r="D54" s="647">
        <f ca="1">+landbouw!C12</f>
        <v>9.9791189202953916</v>
      </c>
      <c r="E54" s="647">
        <f>+landbouw!D12</f>
        <v>20.872308160439999</v>
      </c>
      <c r="F54" s="647">
        <f>+landbouw!E12</f>
        <v>34.849411811626354</v>
      </c>
      <c r="G54" s="647">
        <f>+landbouw!F12</f>
        <v>3569.0284070989987</v>
      </c>
      <c r="H54" s="647">
        <f>+landbouw!G12</f>
        <v>0</v>
      </c>
      <c r="I54" s="647">
        <f>+landbouw!H12</f>
        <v>0</v>
      </c>
      <c r="J54" s="647">
        <f>+landbouw!I12</f>
        <v>0</v>
      </c>
      <c r="K54" s="647">
        <f>+landbouw!J12</f>
        <v>380.07289917764064</v>
      </c>
      <c r="L54" s="647">
        <f>+landbouw!K12</f>
        <v>0</v>
      </c>
      <c r="M54" s="647">
        <f>+landbouw!L12</f>
        <v>0</v>
      </c>
      <c r="N54" s="647">
        <f>+landbouw!M12</f>
        <v>0</v>
      </c>
      <c r="O54" s="647">
        <f>+landbouw!N12</f>
        <v>0</v>
      </c>
      <c r="P54" s="647">
        <f>+landbouw!O12</f>
        <v>0</v>
      </c>
      <c r="Q54" s="648">
        <f>+landbouw!P12</f>
        <v>0</v>
      </c>
      <c r="R54" s="676">
        <f ca="1">SUM(C54:Q54)</f>
        <v>4746.3412682991711</v>
      </c>
    </row>
    <row r="55" spans="1:18" ht="15" thickBot="1">
      <c r="A55" s="777" t="s">
        <v>683</v>
      </c>
      <c r="B55" s="787"/>
      <c r="C55" s="647">
        <f ca="1">C25*'EF ele_warmte'!B12</f>
        <v>200.22198163766402</v>
      </c>
      <c r="D55" s="647"/>
      <c r="E55" s="647">
        <f>E25*EF_CO2_aardgas</f>
        <v>636.26240982000013</v>
      </c>
      <c r="F55" s="647"/>
      <c r="G55" s="647"/>
      <c r="H55" s="647"/>
      <c r="I55" s="647"/>
      <c r="J55" s="647"/>
      <c r="K55" s="647"/>
      <c r="L55" s="647"/>
      <c r="M55" s="647"/>
      <c r="N55" s="647"/>
      <c r="O55" s="647"/>
      <c r="P55" s="647"/>
      <c r="Q55" s="648"/>
      <c r="R55" s="676">
        <f ca="1">SUM(C55:Q55)</f>
        <v>836.48439145766417</v>
      </c>
    </row>
    <row r="56" spans="1:18" ht="15.75" thickBot="1">
      <c r="A56" s="775" t="s">
        <v>684</v>
      </c>
      <c r="B56" s="788"/>
      <c r="C56" s="677">
        <f ca="1">SUM(C54:C55)</f>
        <v>931.76110476783424</v>
      </c>
      <c r="D56" s="677">
        <f t="shared" ref="D56:Q56" ca="1" si="7">SUM(D54:D55)</f>
        <v>9.9791189202953916</v>
      </c>
      <c r="E56" s="677">
        <f t="shared" si="7"/>
        <v>657.13471798044009</v>
      </c>
      <c r="F56" s="677">
        <f t="shared" si="7"/>
        <v>34.849411811626354</v>
      </c>
      <c r="G56" s="677">
        <f t="shared" si="7"/>
        <v>3569.0284070989987</v>
      </c>
      <c r="H56" s="677">
        <f t="shared" si="7"/>
        <v>0</v>
      </c>
      <c r="I56" s="677">
        <f t="shared" si="7"/>
        <v>0</v>
      </c>
      <c r="J56" s="677">
        <f t="shared" si="7"/>
        <v>0</v>
      </c>
      <c r="K56" s="677">
        <f t="shared" si="7"/>
        <v>380.07289917764064</v>
      </c>
      <c r="L56" s="677">
        <f t="shared" si="7"/>
        <v>0</v>
      </c>
      <c r="M56" s="677">
        <f t="shared" si="7"/>
        <v>0</v>
      </c>
      <c r="N56" s="677">
        <f t="shared" si="7"/>
        <v>0</v>
      </c>
      <c r="O56" s="677">
        <f t="shared" si="7"/>
        <v>0</v>
      </c>
      <c r="P56" s="677">
        <f t="shared" si="7"/>
        <v>0</v>
      </c>
      <c r="Q56" s="678">
        <f t="shared" si="7"/>
        <v>0</v>
      </c>
      <c r="R56" s="679">
        <f ca="1">SUM(R54:R55)</f>
        <v>5582.8256597568352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14920.695000257387</v>
      </c>
      <c r="D61" s="685">
        <f t="shared" ref="D61:Q61" ca="1" si="8">D46+D52+D56</f>
        <v>30.554621848739504</v>
      </c>
      <c r="E61" s="685">
        <f t="shared" ca="1" si="8"/>
        <v>19089.014293246881</v>
      </c>
      <c r="F61" s="685">
        <f t="shared" si="8"/>
        <v>618.54773834559171</v>
      </c>
      <c r="G61" s="685">
        <f t="shared" ca="1" si="8"/>
        <v>17562.007089726554</v>
      </c>
      <c r="H61" s="685">
        <f t="shared" si="8"/>
        <v>20498.988076200763</v>
      </c>
      <c r="I61" s="685">
        <f t="shared" si="8"/>
        <v>4925.1251900303387</v>
      </c>
      <c r="J61" s="685">
        <f t="shared" si="8"/>
        <v>0</v>
      </c>
      <c r="K61" s="685">
        <f t="shared" si="8"/>
        <v>459.60067405472955</v>
      </c>
      <c r="L61" s="685">
        <f t="shared" si="8"/>
        <v>0</v>
      </c>
      <c r="M61" s="685">
        <f t="shared" ca="1" si="8"/>
        <v>0</v>
      </c>
      <c r="N61" s="685">
        <f t="shared" si="8"/>
        <v>0</v>
      </c>
      <c r="O61" s="685">
        <f t="shared" ca="1" si="8"/>
        <v>0</v>
      </c>
      <c r="P61" s="685">
        <f t="shared" si="8"/>
        <v>0</v>
      </c>
      <c r="Q61" s="685">
        <f t="shared" si="8"/>
        <v>0</v>
      </c>
      <c r="R61" s="685">
        <f ca="1">R46+R52+R56</f>
        <v>78104.53268371099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0.19358728802391029</v>
      </c>
      <c r="D63" s="731">
        <f t="shared" ca="1" si="9"/>
        <v>0.16003168944345419</v>
      </c>
      <c r="E63" s="927">
        <f t="shared" ca="1" si="9"/>
        <v>0.20199999999999999</v>
      </c>
      <c r="F63" s="731">
        <f t="shared" si="9"/>
        <v>0.22700000000000001</v>
      </c>
      <c r="G63" s="731">
        <f t="shared" ca="1" si="9"/>
        <v>0.26700000000000002</v>
      </c>
      <c r="H63" s="731">
        <f t="shared" si="9"/>
        <v>0.26699999999999996</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8182.4387191443002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43.649999999999984</v>
      </c>
      <c r="C76" s="698">
        <f>'lokale energieproductie'!B8*IFERROR(SUM(D76:H76)/SUM(D76:O76),0)</f>
        <v>89.999999999999986</v>
      </c>
      <c r="D76" s="910">
        <f>'lokale energieproductie'!C8</f>
        <v>105.88235294117646</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51.352941176470573</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21.388235294117646</v>
      </c>
      <c r="R76" s="804">
        <v>0</v>
      </c>
    </row>
    <row r="77" spans="1:18" ht="15.75" thickBot="1">
      <c r="A77" s="701" t="s">
        <v>741</v>
      </c>
      <c r="B77" s="698">
        <f>'lokale energieproductie'!B9*IFERROR(SUM(I77:O77)/SUM(D77:O77),0)</f>
        <v>1341</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3831.4285714285716</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9567.0887191442998</v>
      </c>
      <c r="C78" s="703">
        <f>SUM(C72:C77)</f>
        <v>89.999999999999986</v>
      </c>
      <c r="D78" s="704">
        <f t="shared" ref="D78:H78" si="10">SUM(D76:D77)</f>
        <v>105.88235294117646</v>
      </c>
      <c r="E78" s="704">
        <f t="shared" si="10"/>
        <v>0</v>
      </c>
      <c r="F78" s="704">
        <f t="shared" si="10"/>
        <v>0</v>
      </c>
      <c r="G78" s="704">
        <f t="shared" si="10"/>
        <v>0</v>
      </c>
      <c r="H78" s="704">
        <f t="shared" si="10"/>
        <v>0</v>
      </c>
      <c r="I78" s="704">
        <f>SUM(I76:I77)</f>
        <v>0</v>
      </c>
      <c r="J78" s="704">
        <f>SUM(J76:J77)</f>
        <v>3882.7815126050423</v>
      </c>
      <c r="K78" s="704">
        <f t="shared" ref="K78:L78" si="11">SUM(K76:K77)</f>
        <v>0</v>
      </c>
      <c r="L78" s="704">
        <f t="shared" si="11"/>
        <v>0</v>
      </c>
      <c r="M78" s="704">
        <f>SUM(M76:M77)</f>
        <v>0</v>
      </c>
      <c r="N78" s="704">
        <f>SUM(N76:N77)</f>
        <v>0</v>
      </c>
      <c r="O78" s="812">
        <f>SUM(O76:O77)</f>
        <v>0</v>
      </c>
      <c r="P78" s="705">
        <v>0</v>
      </c>
      <c r="Q78" s="705">
        <f>SUM(Q76:Q77)</f>
        <v>21.388235294117646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128.57142857142858</v>
      </c>
      <c r="D87" s="727">
        <f>'lokale energieproductie'!C17</f>
        <v>151.2605042016807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30.554621848739504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128.57142857142858</v>
      </c>
      <c r="D90" s="703">
        <f t="shared" ref="D90:H90" si="12">SUM(D87:D89)</f>
        <v>151.2605042016807</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30.554621848739504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32152.324962332197</v>
      </c>
      <c r="C4" s="444">
        <f>huishoudens!C8</f>
        <v>0</v>
      </c>
      <c r="D4" s="444">
        <f>huishoudens!D8</f>
        <v>65510.647638919996</v>
      </c>
      <c r="E4" s="444">
        <f>huishoudens!E8</f>
        <v>2263.368447283754</v>
      </c>
      <c r="F4" s="444">
        <f>huishoudens!F8</f>
        <v>43556.937167665543</v>
      </c>
      <c r="G4" s="444">
        <f>huishoudens!G8</f>
        <v>0</v>
      </c>
      <c r="H4" s="444">
        <f>huishoudens!H8</f>
        <v>0</v>
      </c>
      <c r="I4" s="444">
        <f>huishoudens!I8</f>
        <v>0</v>
      </c>
      <c r="J4" s="444">
        <f>huishoudens!J8</f>
        <v>222.88548353400495</v>
      </c>
      <c r="K4" s="444">
        <f>huishoudens!K8</f>
        <v>0</v>
      </c>
      <c r="L4" s="444">
        <f>huishoudens!L8</f>
        <v>0</v>
      </c>
      <c r="M4" s="444">
        <f>huishoudens!M8</f>
        <v>0</v>
      </c>
      <c r="N4" s="444">
        <f>huishoudens!N8</f>
        <v>10431.174510032659</v>
      </c>
      <c r="O4" s="444">
        <f>huishoudens!O8</f>
        <v>642.80246308139829</v>
      </c>
      <c r="P4" s="445">
        <f>huishoudens!P8</f>
        <v>1316.7449134606277</v>
      </c>
      <c r="Q4" s="446">
        <f>SUM(B4:P4)</f>
        <v>156096.88558631021</v>
      </c>
    </row>
    <row r="5" spans="1:17">
      <c r="A5" s="443" t="s">
        <v>149</v>
      </c>
      <c r="B5" s="444">
        <f ca="1">tertiair!B16</f>
        <v>23325.349175999996</v>
      </c>
      <c r="C5" s="444">
        <f ca="1">tertiair!C16</f>
        <v>128.57142857142858</v>
      </c>
      <c r="D5" s="444">
        <f ca="1">tertiair!D16</f>
        <v>21638.658098853146</v>
      </c>
      <c r="E5" s="444">
        <f>tertiair!E16</f>
        <v>83.299847651746873</v>
      </c>
      <c r="F5" s="444">
        <f ca="1">tertiair!F16</f>
        <v>6898.0889437827727</v>
      </c>
      <c r="G5" s="444">
        <f>tertiair!G16</f>
        <v>0</v>
      </c>
      <c r="H5" s="444">
        <f>tertiair!H16</f>
        <v>0</v>
      </c>
      <c r="I5" s="444">
        <f>tertiair!I16</f>
        <v>0</v>
      </c>
      <c r="J5" s="444">
        <f>tertiair!J16</f>
        <v>6.9241354097291485E-2</v>
      </c>
      <c r="K5" s="444">
        <f>tertiair!K16</f>
        <v>0</v>
      </c>
      <c r="L5" s="444">
        <f ca="1">tertiair!L16</f>
        <v>0</v>
      </c>
      <c r="M5" s="444">
        <f>tertiair!M16</f>
        <v>0</v>
      </c>
      <c r="N5" s="444">
        <f ca="1">tertiair!N16</f>
        <v>0</v>
      </c>
      <c r="O5" s="444">
        <f>tertiair!O16</f>
        <v>34.280825360888088</v>
      </c>
      <c r="P5" s="445">
        <f>tertiair!P16</f>
        <v>52.539138306495019</v>
      </c>
      <c r="Q5" s="443">
        <f t="shared" ref="Q5:Q14" ca="1" si="0">SUM(B5:P5)</f>
        <v>52160.856699880569</v>
      </c>
    </row>
    <row r="6" spans="1:17">
      <c r="A6" s="443" t="s">
        <v>187</v>
      </c>
      <c r="B6" s="444">
        <f>'openbare verlichting'!B8</f>
        <v>815.63400000000001</v>
      </c>
      <c r="C6" s="444"/>
      <c r="D6" s="444"/>
      <c r="E6" s="444"/>
      <c r="F6" s="444"/>
      <c r="G6" s="444"/>
      <c r="H6" s="444"/>
      <c r="I6" s="444"/>
      <c r="J6" s="444"/>
      <c r="K6" s="444"/>
      <c r="L6" s="444"/>
      <c r="M6" s="444"/>
      <c r="N6" s="444"/>
      <c r="O6" s="444"/>
      <c r="P6" s="445"/>
      <c r="Q6" s="443">
        <f t="shared" si="0"/>
        <v>815.63400000000001</v>
      </c>
    </row>
    <row r="7" spans="1:17">
      <c r="A7" s="443" t="s">
        <v>105</v>
      </c>
      <c r="B7" s="444">
        <f>landbouw!B8</f>
        <v>3778.859297</v>
      </c>
      <c r="C7" s="444">
        <f>landbouw!C8</f>
        <v>62.357142857142847</v>
      </c>
      <c r="D7" s="444">
        <f>landbouw!D8</f>
        <v>103.32825822</v>
      </c>
      <c r="E7" s="444">
        <f>landbouw!E8</f>
        <v>153.52163793667995</v>
      </c>
      <c r="F7" s="444">
        <f>landbouw!F8</f>
        <v>13367.147592131081</v>
      </c>
      <c r="G7" s="444">
        <f>landbouw!G8</f>
        <v>0</v>
      </c>
      <c r="H7" s="444">
        <f>landbouw!H8</f>
        <v>0</v>
      </c>
      <c r="I7" s="444">
        <f>landbouw!I8</f>
        <v>0</v>
      </c>
      <c r="J7" s="444">
        <f>landbouw!J8</f>
        <v>1073.6522575639567</v>
      </c>
      <c r="K7" s="444">
        <f>landbouw!K8</f>
        <v>0</v>
      </c>
      <c r="L7" s="444">
        <f>landbouw!L8</f>
        <v>0</v>
      </c>
      <c r="M7" s="444">
        <f>landbouw!M8</f>
        <v>0</v>
      </c>
      <c r="N7" s="444">
        <f>landbouw!N8</f>
        <v>0</v>
      </c>
      <c r="O7" s="444">
        <f>landbouw!O8</f>
        <v>0</v>
      </c>
      <c r="P7" s="445">
        <f>landbouw!P8</f>
        <v>0</v>
      </c>
      <c r="Q7" s="443">
        <f t="shared" si="0"/>
        <v>18538.866185708863</v>
      </c>
    </row>
    <row r="8" spans="1:17">
      <c r="A8" s="443" t="s">
        <v>587</v>
      </c>
      <c r="B8" s="444">
        <f>industrie!B18</f>
        <v>15834.694135</v>
      </c>
      <c r="C8" s="444">
        <f>industrie!C18</f>
        <v>0</v>
      </c>
      <c r="D8" s="444">
        <f>industrie!D18</f>
        <v>3891.13227525</v>
      </c>
      <c r="E8" s="444">
        <f>industrie!E18</f>
        <v>47.967232368990459</v>
      </c>
      <c r="F8" s="444">
        <f>industrie!F18</f>
        <v>1953.133748579982</v>
      </c>
      <c r="G8" s="444">
        <f>industrie!G18</f>
        <v>0</v>
      </c>
      <c r="H8" s="444">
        <f>industrie!H18</f>
        <v>0</v>
      </c>
      <c r="I8" s="444">
        <f>industrie!I18</f>
        <v>0</v>
      </c>
      <c r="J8" s="444">
        <f>industrie!J18</f>
        <v>1.7000064031094151</v>
      </c>
      <c r="K8" s="444">
        <f>industrie!K18</f>
        <v>0</v>
      </c>
      <c r="L8" s="444">
        <f>industrie!L18</f>
        <v>0</v>
      </c>
      <c r="M8" s="444">
        <f>industrie!M18</f>
        <v>0</v>
      </c>
      <c r="N8" s="444">
        <f>industrie!N18</f>
        <v>840.15075834447487</v>
      </c>
      <c r="O8" s="444">
        <f>industrie!O18</f>
        <v>0</v>
      </c>
      <c r="P8" s="445">
        <f>industrie!P18</f>
        <v>0</v>
      </c>
      <c r="Q8" s="443">
        <f t="shared" si="0"/>
        <v>22568.778155946558</v>
      </c>
    </row>
    <row r="9" spans="1:17" s="449" customFormat="1">
      <c r="A9" s="447" t="s">
        <v>536</v>
      </c>
      <c r="B9" s="448">
        <f>transport!B14</f>
        <v>115.48699296823787</v>
      </c>
      <c r="C9" s="448">
        <f>transport!C14</f>
        <v>0</v>
      </c>
      <c r="D9" s="448">
        <f>transport!D14</f>
        <v>206.49057740477775</v>
      </c>
      <c r="E9" s="448">
        <f>transport!E14</f>
        <v>176.72273936495941</v>
      </c>
      <c r="F9" s="448">
        <f>transport!F14</f>
        <v>0</v>
      </c>
      <c r="G9" s="448">
        <f>transport!G14</f>
        <v>75460.570071226175</v>
      </c>
      <c r="H9" s="448">
        <f>transport!H14</f>
        <v>19779.619237069634</v>
      </c>
      <c r="I9" s="448">
        <f>transport!I14</f>
        <v>0</v>
      </c>
      <c r="J9" s="448">
        <f>transport!J14</f>
        <v>0</v>
      </c>
      <c r="K9" s="448">
        <f>transport!K14</f>
        <v>0</v>
      </c>
      <c r="L9" s="448">
        <f>transport!L14</f>
        <v>0</v>
      </c>
      <c r="M9" s="448">
        <f>transport!M14</f>
        <v>5659.3005941854171</v>
      </c>
      <c r="N9" s="448">
        <f>transport!N14</f>
        <v>0</v>
      </c>
      <c r="O9" s="448">
        <f>transport!O14</f>
        <v>0</v>
      </c>
      <c r="P9" s="448">
        <f>transport!P14</f>
        <v>0</v>
      </c>
      <c r="Q9" s="447">
        <f>SUM(B9:P9)</f>
        <v>101398.19021221921</v>
      </c>
    </row>
    <row r="10" spans="1:17">
      <c r="A10" s="443" t="s">
        <v>526</v>
      </c>
      <c r="B10" s="444">
        <f>transport!B54</f>
        <v>18.145463360922758</v>
      </c>
      <c r="C10" s="444">
        <f>transport!C54</f>
        <v>0</v>
      </c>
      <c r="D10" s="444">
        <f>transport!D54</f>
        <v>0</v>
      </c>
      <c r="E10" s="444">
        <f>transport!E54</f>
        <v>0</v>
      </c>
      <c r="F10" s="444">
        <f>transport!F54</f>
        <v>0</v>
      </c>
      <c r="G10" s="444">
        <f>transport!G54</f>
        <v>1314.6661692261205</v>
      </c>
      <c r="H10" s="444">
        <f>transport!H54</f>
        <v>0</v>
      </c>
      <c r="I10" s="444">
        <f>transport!I54</f>
        <v>0</v>
      </c>
      <c r="J10" s="444">
        <f>transport!J54</f>
        <v>0</v>
      </c>
      <c r="K10" s="444">
        <f>transport!K54</f>
        <v>0</v>
      </c>
      <c r="L10" s="444">
        <f>transport!L54</f>
        <v>0</v>
      </c>
      <c r="M10" s="444">
        <f>transport!M54</f>
        <v>74.361433651145262</v>
      </c>
      <c r="N10" s="444">
        <f>transport!N54</f>
        <v>0</v>
      </c>
      <c r="O10" s="444">
        <f>transport!O54</f>
        <v>0</v>
      </c>
      <c r="P10" s="445">
        <f>transport!P54</f>
        <v>0</v>
      </c>
      <c r="Q10" s="443">
        <f t="shared" si="0"/>
        <v>1407.1730662381885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1034.2723619999999</v>
      </c>
      <c r="C14" s="451"/>
      <c r="D14" s="451">
        <f>'SEAP template'!E25</f>
        <v>3149.8139100000003</v>
      </c>
      <c r="E14" s="451"/>
      <c r="F14" s="451"/>
      <c r="G14" s="451"/>
      <c r="H14" s="451"/>
      <c r="I14" s="451"/>
      <c r="J14" s="451"/>
      <c r="K14" s="451"/>
      <c r="L14" s="451"/>
      <c r="M14" s="451"/>
      <c r="N14" s="451"/>
      <c r="O14" s="451"/>
      <c r="P14" s="452"/>
      <c r="Q14" s="443">
        <f t="shared" si="0"/>
        <v>4184.0862720000005</v>
      </c>
    </row>
    <row r="15" spans="1:17" s="455" customFormat="1">
      <c r="A15" s="453" t="s">
        <v>530</v>
      </c>
      <c r="B15" s="454">
        <f ca="1">SUM(B4:B14)</f>
        <v>77074.766388661359</v>
      </c>
      <c r="C15" s="454">
        <f t="shared" ref="C15:Q15" ca="1" si="1">SUM(C4:C14)</f>
        <v>190.92857142857144</v>
      </c>
      <c r="D15" s="454">
        <f t="shared" ca="1" si="1"/>
        <v>94500.070758647926</v>
      </c>
      <c r="E15" s="454">
        <f t="shared" si="1"/>
        <v>2724.8799046061308</v>
      </c>
      <c r="F15" s="454">
        <f t="shared" ca="1" si="1"/>
        <v>65775.307452159381</v>
      </c>
      <c r="G15" s="454">
        <f t="shared" si="1"/>
        <v>76775.236240452301</v>
      </c>
      <c r="H15" s="454">
        <f t="shared" si="1"/>
        <v>19779.619237069634</v>
      </c>
      <c r="I15" s="454">
        <f t="shared" si="1"/>
        <v>0</v>
      </c>
      <c r="J15" s="454">
        <f t="shared" si="1"/>
        <v>1298.3069888551684</v>
      </c>
      <c r="K15" s="454">
        <f t="shared" si="1"/>
        <v>0</v>
      </c>
      <c r="L15" s="454">
        <f t="shared" ca="1" si="1"/>
        <v>0</v>
      </c>
      <c r="M15" s="454">
        <f t="shared" si="1"/>
        <v>5733.6620278365626</v>
      </c>
      <c r="N15" s="454">
        <f t="shared" ca="1" si="1"/>
        <v>11271.325268377133</v>
      </c>
      <c r="O15" s="454">
        <f t="shared" si="1"/>
        <v>677.0832884422864</v>
      </c>
      <c r="P15" s="454">
        <f t="shared" si="1"/>
        <v>1369.2840517671227</v>
      </c>
      <c r="Q15" s="454">
        <f t="shared" ca="1" si="1"/>
        <v>357170.47017830354</v>
      </c>
    </row>
    <row r="17" spans="1:17">
      <c r="A17" s="456" t="s">
        <v>531</v>
      </c>
      <c r="B17" s="736">
        <f ca="1">huishoudens!B10</f>
        <v>0.19358728802391031</v>
      </c>
      <c r="C17" s="736">
        <f ca="1">huishoudens!C10</f>
        <v>0.16003168944345419</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6224.2813931213641</v>
      </c>
      <c r="C22" s="444">
        <f t="shared" ref="C22:C32" ca="1" si="3">C4*$C$17</f>
        <v>0</v>
      </c>
      <c r="D22" s="444">
        <f t="shared" ref="D22:D32" si="4">D4*$D$17</f>
        <v>13233.15082306184</v>
      </c>
      <c r="E22" s="444">
        <f t="shared" ref="E22:E32" si="5">E4*$E$17</f>
        <v>513.78463753341214</v>
      </c>
      <c r="F22" s="444">
        <f t="shared" ref="F22:F32" si="6">F4*$F$17</f>
        <v>11629.702223766701</v>
      </c>
      <c r="G22" s="444">
        <f t="shared" ref="G22:G32" si="7">G4*$G$17</f>
        <v>0</v>
      </c>
      <c r="H22" s="444">
        <f t="shared" ref="H22:H32" si="8">H4*$H$17</f>
        <v>0</v>
      </c>
      <c r="I22" s="444">
        <f t="shared" ref="I22:I32" si="9">I4*$I$17</f>
        <v>0</v>
      </c>
      <c r="J22" s="444">
        <f t="shared" ref="J22:J32" si="10">J4*$J$17</f>
        <v>78.901461171037752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31679.820538654352</v>
      </c>
    </row>
    <row r="23" spans="1:17">
      <c r="A23" s="443" t="s">
        <v>149</v>
      </c>
      <c r="B23" s="444">
        <f t="shared" ca="1" si="2"/>
        <v>4515.4910891925902</v>
      </c>
      <c r="C23" s="444">
        <f t="shared" ca="1" si="3"/>
        <v>20.575502928444113</v>
      </c>
      <c r="D23" s="444">
        <f t="shared" ca="1" si="4"/>
        <v>4371.0089359683361</v>
      </c>
      <c r="E23" s="444">
        <f t="shared" si="5"/>
        <v>18.90906541694654</v>
      </c>
      <c r="F23" s="444">
        <f t="shared" ca="1" si="6"/>
        <v>1841.7897479900005</v>
      </c>
      <c r="G23" s="444">
        <f t="shared" si="7"/>
        <v>0</v>
      </c>
      <c r="H23" s="444">
        <f t="shared" si="8"/>
        <v>0</v>
      </c>
      <c r="I23" s="444">
        <f t="shared" si="9"/>
        <v>0</v>
      </c>
      <c r="J23" s="444">
        <f t="shared" si="10"/>
        <v>2.4511439350441186E-2</v>
      </c>
      <c r="K23" s="444">
        <f t="shared" si="11"/>
        <v>0</v>
      </c>
      <c r="L23" s="444">
        <f t="shared" ca="1" si="12"/>
        <v>0</v>
      </c>
      <c r="M23" s="444">
        <f t="shared" si="13"/>
        <v>0</v>
      </c>
      <c r="N23" s="444">
        <f t="shared" ca="1" si="14"/>
        <v>0</v>
      </c>
      <c r="O23" s="444">
        <f t="shared" si="15"/>
        <v>0</v>
      </c>
      <c r="P23" s="445">
        <f t="shared" si="16"/>
        <v>0</v>
      </c>
      <c r="Q23" s="443">
        <f t="shared" ref="Q23:Q31" ca="1" si="17">SUM(B23:P23)</f>
        <v>10767.798852935668</v>
      </c>
    </row>
    <row r="24" spans="1:17">
      <c r="A24" s="443" t="s">
        <v>187</v>
      </c>
      <c r="B24" s="444">
        <f t="shared" ca="1" si="2"/>
        <v>157.89637408009406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157.89637408009406</v>
      </c>
    </row>
    <row r="25" spans="1:17">
      <c r="A25" s="443" t="s">
        <v>105</v>
      </c>
      <c r="B25" s="444">
        <f t="shared" ca="1" si="2"/>
        <v>731.5391231301702</v>
      </c>
      <c r="C25" s="444">
        <f t="shared" ca="1" si="3"/>
        <v>9.9791189202953916</v>
      </c>
      <c r="D25" s="444">
        <f t="shared" si="4"/>
        <v>20.872308160439999</v>
      </c>
      <c r="E25" s="444">
        <f t="shared" si="5"/>
        <v>34.849411811626354</v>
      </c>
      <c r="F25" s="444">
        <f t="shared" si="6"/>
        <v>3569.0284070989987</v>
      </c>
      <c r="G25" s="444">
        <f t="shared" si="7"/>
        <v>0</v>
      </c>
      <c r="H25" s="444">
        <f t="shared" si="8"/>
        <v>0</v>
      </c>
      <c r="I25" s="444">
        <f t="shared" si="9"/>
        <v>0</v>
      </c>
      <c r="J25" s="444">
        <f t="shared" si="10"/>
        <v>380.07289917764064</v>
      </c>
      <c r="K25" s="444">
        <f t="shared" si="11"/>
        <v>0</v>
      </c>
      <c r="L25" s="444">
        <f t="shared" si="12"/>
        <v>0</v>
      </c>
      <c r="M25" s="444">
        <f t="shared" si="13"/>
        <v>0</v>
      </c>
      <c r="N25" s="444">
        <f t="shared" si="14"/>
        <v>0</v>
      </c>
      <c r="O25" s="444">
        <f t="shared" si="15"/>
        <v>0</v>
      </c>
      <c r="P25" s="445">
        <f t="shared" si="16"/>
        <v>0</v>
      </c>
      <c r="Q25" s="443">
        <f t="shared" ca="1" si="17"/>
        <v>4746.3412682991711</v>
      </c>
    </row>
    <row r="26" spans="1:17">
      <c r="A26" s="443" t="s">
        <v>587</v>
      </c>
      <c r="B26" s="444">
        <f t="shared" ca="1" si="2"/>
        <v>3065.3954942827681</v>
      </c>
      <c r="C26" s="444">
        <f t="shared" ca="1" si="3"/>
        <v>0</v>
      </c>
      <c r="D26" s="444">
        <f t="shared" si="4"/>
        <v>786.00871960050006</v>
      </c>
      <c r="E26" s="444">
        <f t="shared" si="5"/>
        <v>10.888561747760834</v>
      </c>
      <c r="F26" s="444">
        <f t="shared" si="6"/>
        <v>521.48671087085518</v>
      </c>
      <c r="G26" s="444">
        <f t="shared" si="7"/>
        <v>0</v>
      </c>
      <c r="H26" s="444">
        <f t="shared" si="8"/>
        <v>0</v>
      </c>
      <c r="I26" s="444">
        <f t="shared" si="9"/>
        <v>0</v>
      </c>
      <c r="J26" s="444">
        <f t="shared" si="10"/>
        <v>0.60180226670073289</v>
      </c>
      <c r="K26" s="444">
        <f t="shared" si="11"/>
        <v>0</v>
      </c>
      <c r="L26" s="444">
        <f t="shared" si="12"/>
        <v>0</v>
      </c>
      <c r="M26" s="444">
        <f t="shared" si="13"/>
        <v>0</v>
      </c>
      <c r="N26" s="444">
        <f t="shared" si="14"/>
        <v>0</v>
      </c>
      <c r="O26" s="444">
        <f t="shared" si="15"/>
        <v>0</v>
      </c>
      <c r="P26" s="445">
        <f t="shared" si="16"/>
        <v>0</v>
      </c>
      <c r="Q26" s="443">
        <f t="shared" ca="1" si="17"/>
        <v>4384.3812887685845</v>
      </c>
    </row>
    <row r="27" spans="1:17" s="449" customFormat="1">
      <c r="A27" s="447" t="s">
        <v>536</v>
      </c>
      <c r="B27" s="730">
        <f t="shared" ca="1" si="2"/>
        <v>22.356813770757569</v>
      </c>
      <c r="C27" s="448">
        <f t="shared" ca="1" si="3"/>
        <v>0</v>
      </c>
      <c r="D27" s="448">
        <f t="shared" si="4"/>
        <v>41.711096635765109</v>
      </c>
      <c r="E27" s="448">
        <f t="shared" si="5"/>
        <v>40.116061835845784</v>
      </c>
      <c r="F27" s="448">
        <f t="shared" si="6"/>
        <v>0</v>
      </c>
      <c r="G27" s="448">
        <f t="shared" si="7"/>
        <v>20147.972209017389</v>
      </c>
      <c r="H27" s="448">
        <f t="shared" si="8"/>
        <v>4925.1251900303387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25177.281371290097</v>
      </c>
    </row>
    <row r="28" spans="1:17" ht="16.5" customHeight="1">
      <c r="A28" s="443" t="s">
        <v>526</v>
      </c>
      <c r="B28" s="444">
        <f t="shared" ca="1" si="2"/>
        <v>3.5127310419782658</v>
      </c>
      <c r="C28" s="444">
        <f t="shared" ca="1" si="3"/>
        <v>0</v>
      </c>
      <c r="D28" s="444">
        <f t="shared" si="4"/>
        <v>0</v>
      </c>
      <c r="E28" s="444">
        <f t="shared" si="5"/>
        <v>0</v>
      </c>
      <c r="F28" s="444">
        <f t="shared" si="6"/>
        <v>0</v>
      </c>
      <c r="G28" s="444">
        <f t="shared" si="7"/>
        <v>351.01586718337421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354.52859822535248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200.22198163766402</v>
      </c>
      <c r="C32" s="444">
        <f t="shared" ca="1" si="3"/>
        <v>0</v>
      </c>
      <c r="D32" s="444">
        <f t="shared" si="4"/>
        <v>636.26240982000013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836.48439145766417</v>
      </c>
    </row>
    <row r="33" spans="1:17" s="455" customFormat="1">
      <c r="A33" s="453" t="s">
        <v>530</v>
      </c>
      <c r="B33" s="454">
        <f ca="1">SUM(B22:B32)</f>
        <v>14920.695000257385</v>
      </c>
      <c r="C33" s="454">
        <f t="shared" ref="C33:Q33" ca="1" si="19">SUM(C22:C32)</f>
        <v>30.554621848739504</v>
      </c>
      <c r="D33" s="454">
        <f t="shared" ca="1" si="19"/>
        <v>19089.014293246881</v>
      </c>
      <c r="E33" s="454">
        <f t="shared" si="19"/>
        <v>618.54773834559171</v>
      </c>
      <c r="F33" s="454">
        <f t="shared" ca="1" si="19"/>
        <v>17562.007089726558</v>
      </c>
      <c r="G33" s="454">
        <f t="shared" si="19"/>
        <v>20498.988076200763</v>
      </c>
      <c r="H33" s="454">
        <f t="shared" si="19"/>
        <v>4925.1251900303387</v>
      </c>
      <c r="I33" s="454">
        <f t="shared" si="19"/>
        <v>0</v>
      </c>
      <c r="J33" s="454">
        <f t="shared" si="19"/>
        <v>459.60067405472961</v>
      </c>
      <c r="K33" s="454">
        <f t="shared" si="19"/>
        <v>0</v>
      </c>
      <c r="L33" s="454">
        <f t="shared" ca="1" si="19"/>
        <v>0</v>
      </c>
      <c r="M33" s="454">
        <f t="shared" si="19"/>
        <v>0</v>
      </c>
      <c r="N33" s="454">
        <f t="shared" ca="1" si="19"/>
        <v>0</v>
      </c>
      <c r="O33" s="454">
        <f t="shared" si="19"/>
        <v>0</v>
      </c>
      <c r="P33" s="454">
        <f t="shared" si="19"/>
        <v>0</v>
      </c>
      <c r="Q33" s="454">
        <f t="shared" ca="1" si="19"/>
        <v>78104.53268371099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8182.4387191443002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43.649999999999984</v>
      </c>
      <c r="C8" s="979">
        <f>'SEAP template'!C76</f>
        <v>89.999999999999986</v>
      </c>
      <c r="D8" s="979">
        <f>'SEAP template'!D76</f>
        <v>105.88235294117646</v>
      </c>
      <c r="E8" s="979">
        <f>'SEAP template'!E76</f>
        <v>0</v>
      </c>
      <c r="F8" s="979">
        <f>'SEAP template'!F76</f>
        <v>0</v>
      </c>
      <c r="G8" s="979">
        <f>'SEAP template'!G76</f>
        <v>0</v>
      </c>
      <c r="H8" s="979">
        <f>'SEAP template'!H76</f>
        <v>0</v>
      </c>
      <c r="I8" s="979">
        <f>'SEAP template'!I76</f>
        <v>0</v>
      </c>
      <c r="J8" s="979">
        <f>'SEAP template'!J76</f>
        <v>51.352941176470573</v>
      </c>
      <c r="K8" s="979">
        <f>'SEAP template'!K76</f>
        <v>0</v>
      </c>
      <c r="L8" s="979">
        <f>'SEAP template'!L76</f>
        <v>0</v>
      </c>
      <c r="M8" s="979">
        <f>'SEAP template'!M76</f>
        <v>0</v>
      </c>
      <c r="N8" s="979">
        <f>'SEAP template'!N76</f>
        <v>0</v>
      </c>
      <c r="O8" s="979">
        <f>'SEAP template'!O76</f>
        <v>0</v>
      </c>
      <c r="P8" s="980">
        <f>'SEAP template'!Q76</f>
        <v>21.388235294117646</v>
      </c>
    </row>
    <row r="9" spans="1:16">
      <c r="A9" s="985" t="s">
        <v>742</v>
      </c>
      <c r="B9" s="979">
        <f>'SEAP template'!B77</f>
        <v>1341</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3831.4285714285716</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9567.0887191442998</v>
      </c>
      <c r="C10" s="981">
        <f>SUM(C4:C9)</f>
        <v>89.999999999999986</v>
      </c>
      <c r="D10" s="981">
        <f t="shared" ref="D10:H10" si="0">SUM(D8:D9)</f>
        <v>105.88235294117646</v>
      </c>
      <c r="E10" s="981">
        <f t="shared" si="0"/>
        <v>0</v>
      </c>
      <c r="F10" s="981">
        <f t="shared" si="0"/>
        <v>0</v>
      </c>
      <c r="G10" s="981">
        <f t="shared" si="0"/>
        <v>0</v>
      </c>
      <c r="H10" s="981">
        <f t="shared" si="0"/>
        <v>0</v>
      </c>
      <c r="I10" s="981">
        <f>SUM(I8:I9)</f>
        <v>0</v>
      </c>
      <c r="J10" s="981">
        <f>SUM(J8:J9)</f>
        <v>3882.7815126050423</v>
      </c>
      <c r="K10" s="981">
        <f t="shared" ref="K10:L10" si="1">SUM(K8:K9)</f>
        <v>0</v>
      </c>
      <c r="L10" s="981">
        <f t="shared" si="1"/>
        <v>0</v>
      </c>
      <c r="M10" s="981">
        <f>SUM(M8:M9)</f>
        <v>0</v>
      </c>
      <c r="N10" s="981">
        <f>SUM(N8:N9)</f>
        <v>0</v>
      </c>
      <c r="O10" s="981">
        <f>SUM(O8:O9)</f>
        <v>0</v>
      </c>
      <c r="P10" s="981">
        <f>SUM(P8:P9)</f>
        <v>21.388235294117646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0.19358728802391031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128.57142857142858</v>
      </c>
      <c r="D17" s="980">
        <f>'SEAP template'!D87</f>
        <v>151.2605042016807</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30.554621848739504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128.57142857142858</v>
      </c>
      <c r="D20" s="981">
        <f t="shared" ref="D20:H20" si="2">SUM(D17:D19)</f>
        <v>151.2605042016807</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30.554621848739504</v>
      </c>
    </row>
    <row r="21" spans="1:16">
      <c r="B21" s="840"/>
    </row>
    <row r="22" spans="1:16">
      <c r="A22" s="456" t="s">
        <v>754</v>
      </c>
      <c r="B22" s="736" t="s">
        <v>752</v>
      </c>
      <c r="C22" s="736">
        <f ca="1">'EF ele_warmte'!B22</f>
        <v>0.16003168944345419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0.19358728802391031</v>
      </c>
      <c r="C17" s="492">
        <f ca="1">'EF ele_warmte'!B22</f>
        <v>0.16003168944345419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2022-07-26T10:08:05Z</dcterms:modified>
</cp:coreProperties>
</file>