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7\"/>
    </mc:Choice>
  </mc:AlternateContent>
  <xr:revisionPtr revIDLastSave="0" documentId="8_{F77EED68-3FB8-49DE-954E-E5CC5FB02919}"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5" i="5" l="1"/>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E78" i="22"/>
  <c r="E42" i="22"/>
  <c r="AC25" i="5"/>
  <c r="AB25" i="5"/>
  <c r="AA25" i="5"/>
  <c r="Y25" i="5"/>
  <c r="X25" i="5"/>
  <c r="W25" i="5"/>
  <c r="V25" i="5"/>
  <c r="T25" i="5"/>
  <c r="U25" i="5"/>
  <c r="S25" i="5"/>
  <c r="R25" i="5"/>
  <c r="H25" i="5"/>
  <c r="I25" i="5"/>
  <c r="J25" i="5"/>
  <c r="K25" i="5"/>
  <c r="L25" i="5"/>
  <c r="M25" i="5"/>
  <c r="N25" i="5"/>
  <c r="O25" i="5"/>
  <c r="P25" i="5"/>
  <c r="Q25" i="5"/>
  <c r="G25" i="5"/>
  <c r="F25" i="5"/>
  <c r="D25" i="5"/>
  <c r="E25" i="5"/>
  <c r="C25" i="5"/>
  <c r="P5" i="59"/>
  <c r="P6" i="59"/>
  <c r="P7" i="59"/>
  <c r="P4" i="59"/>
  <c r="M34" i="18"/>
  <c r="E25" i="14"/>
  <c r="E55" i="14"/>
  <c r="C25" i="14"/>
  <c r="D6" i="16"/>
  <c r="B14" i="48"/>
  <c r="R25" i="14"/>
  <c r="D14" i="48"/>
  <c r="D5" i="17"/>
  <c r="B5" i="17"/>
  <c r="Q14" i="48"/>
  <c r="N18" i="18"/>
  <c r="L88" i="14"/>
  <c r="L18" i="59"/>
  <c r="M18" i="18"/>
  <c r="K88" i="14"/>
  <c r="K18" i="59"/>
  <c r="K89" i="14"/>
  <c r="K19" i="59"/>
  <c r="L89" i="14"/>
  <c r="L19" i="59"/>
  <c r="L87" i="14"/>
  <c r="L17" i="59"/>
  <c r="K87" i="14"/>
  <c r="K17" i="59"/>
  <c r="K77" i="14"/>
  <c r="K9" i="59"/>
  <c r="L77" i="14"/>
  <c r="L9" i="59"/>
  <c r="L76" i="14"/>
  <c r="K76" i="14"/>
  <c r="K8" i="59"/>
  <c r="B75" i="14"/>
  <c r="B7" i="59"/>
  <c r="K10" i="59"/>
  <c r="K20" i="59"/>
  <c r="L78" i="14"/>
  <c r="L8" i="59"/>
  <c r="L10" i="59"/>
  <c r="L20" i="59"/>
  <c r="K78" i="14"/>
  <c r="L90" i="14"/>
  <c r="K90" i="14"/>
  <c r="D5" i="13"/>
  <c r="B26" i="17"/>
  <c r="H14" i="15"/>
  <c r="H16" i="15"/>
  <c r="G14" i="15"/>
  <c r="G16" i="15"/>
  <c r="B6" i="6"/>
  <c r="A31" i="23"/>
  <c r="A32" i="23"/>
  <c r="A33" i="23"/>
  <c r="A6" i="23"/>
  <c r="A5" i="23"/>
  <c r="A2" i="23"/>
  <c r="A3" i="23"/>
  <c r="A4" i="23"/>
  <c r="A7" i="23"/>
  <c r="B51" i="22"/>
  <c r="A8" i="23"/>
  <c r="A9" i="23"/>
  <c r="A10" i="23"/>
  <c r="A11" i="23"/>
  <c r="A12" i="23"/>
  <c r="A13" i="23"/>
  <c r="A14" i="23"/>
  <c r="A15" i="23"/>
  <c r="A16" i="23"/>
  <c r="A17" i="23"/>
  <c r="A18" i="23"/>
  <c r="A19" i="23"/>
  <c r="A20" i="23"/>
  <c r="A21" i="23"/>
  <c r="A22" i="23"/>
  <c r="A23" i="23"/>
  <c r="A24" i="23"/>
  <c r="A25" i="23"/>
  <c r="A26" i="23"/>
  <c r="A27" i="23"/>
  <c r="A28" i="23"/>
  <c r="A29" i="23"/>
  <c r="A30" i="23"/>
  <c r="D6" i="22"/>
  <c r="D8" i="22"/>
  <c r="D10"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35" i="19"/>
  <c r="B24" i="19"/>
  <c r="B27"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6" i="13"/>
  <c r="B17" i="17"/>
  <c r="B34" i="17"/>
  <c r="B6" i="16"/>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c r="M77" i="14"/>
  <c r="M9" i="59"/>
  <c r="V40" i="18"/>
  <c r="U40" i="18"/>
  <c r="T40" i="18"/>
  <c r="I9" i="18"/>
  <c r="I77" i="14"/>
  <c r="I9" i="59"/>
  <c r="S40" i="18"/>
  <c r="E9" i="18"/>
  <c r="F77" i="14"/>
  <c r="F9" i="59"/>
  <c r="R40" i="18"/>
  <c r="Q40" i="18"/>
  <c r="P40" i="18"/>
  <c r="O40" i="18"/>
  <c r="N40" i="18"/>
  <c r="B9" i="18"/>
  <c r="M40" i="18"/>
  <c r="W36" i="18"/>
  <c r="V36" i="18"/>
  <c r="U36" i="18"/>
  <c r="T36" i="18"/>
  <c r="L6" i="17"/>
  <c r="L5" i="17"/>
  <c r="S36" i="18"/>
  <c r="F6" i="17"/>
  <c r="R36" i="18"/>
  <c r="Q36" i="18"/>
  <c r="P36" i="18"/>
  <c r="O36" i="18"/>
  <c r="N36" i="18"/>
  <c r="M36" i="18"/>
  <c r="W35" i="18"/>
  <c r="V35" i="18"/>
  <c r="U35" i="18"/>
  <c r="T35" i="18"/>
  <c r="S35" i="18"/>
  <c r="R35" i="18"/>
  <c r="Q35" i="18"/>
  <c r="P35" i="18"/>
  <c r="O35" i="18"/>
  <c r="C13" i="15"/>
  <c r="N35" i="18"/>
  <c r="B13" i="15"/>
  <c r="M35" i="18"/>
  <c r="W34" i="18"/>
  <c r="V34" i="18"/>
  <c r="U34" i="18"/>
  <c r="T34" i="18"/>
  <c r="S34" i="18"/>
  <c r="F16" i="16"/>
  <c r="R34" i="18"/>
  <c r="Q34" i="18"/>
  <c r="P34" i="18"/>
  <c r="O34" i="18"/>
  <c r="N34" i="18"/>
  <c r="W33" i="18"/>
  <c r="V33" i="18"/>
  <c r="U33" i="18"/>
  <c r="T33" i="18"/>
  <c r="S33" i="18"/>
  <c r="R33" i="18"/>
  <c r="Q33" i="18"/>
  <c r="P33" i="18"/>
  <c r="O33" i="18"/>
  <c r="B17" i="18"/>
  <c r="N33" i="18"/>
  <c r="B8" i="18"/>
  <c r="M33" i="18"/>
  <c r="K22" i="18"/>
  <c r="J22" i="18"/>
  <c r="I22" i="18"/>
  <c r="H22" i="18"/>
  <c r="G22" i="18"/>
  <c r="F22" i="18"/>
  <c r="E22" i="18"/>
  <c r="D22" i="18"/>
  <c r="C22" i="18"/>
  <c r="L19" i="18"/>
  <c r="O89" i="14"/>
  <c r="O19" i="59"/>
  <c r="K19" i="18"/>
  <c r="N89" i="14"/>
  <c r="N19" i="59"/>
  <c r="J19" i="18"/>
  <c r="J89" i="14"/>
  <c r="J19" i="59"/>
  <c r="I19" i="18"/>
  <c r="I89" i="14"/>
  <c r="I19" i="59"/>
  <c r="H19" i="18"/>
  <c r="M89" i="14"/>
  <c r="M19" i="59"/>
  <c r="G19" i="18"/>
  <c r="H89" i="14"/>
  <c r="H19" i="59"/>
  <c r="F19" i="18"/>
  <c r="G89" i="14"/>
  <c r="G19" i="59"/>
  <c r="E19" i="18"/>
  <c r="F89" i="14"/>
  <c r="F19" i="59"/>
  <c r="D19" i="18"/>
  <c r="E89" i="14"/>
  <c r="E19" i="59"/>
  <c r="C19" i="18"/>
  <c r="B19" i="18"/>
  <c r="L18" i="18"/>
  <c r="O88" i="14"/>
  <c r="O18" i="59"/>
  <c r="K18" i="18"/>
  <c r="N88" i="14"/>
  <c r="N18" i="59"/>
  <c r="J18" i="18"/>
  <c r="J88" i="14"/>
  <c r="J18" i="59"/>
  <c r="I18" i="18"/>
  <c r="I88" i="14"/>
  <c r="I18" i="59"/>
  <c r="H18" i="18"/>
  <c r="M88" i="14"/>
  <c r="M18" i="59"/>
  <c r="G18" i="18"/>
  <c r="F18" i="18"/>
  <c r="G88" i="14"/>
  <c r="G18" i="59"/>
  <c r="E18" i="18"/>
  <c r="D18" i="18"/>
  <c r="E88" i="14"/>
  <c r="E18" i="59"/>
  <c r="C18" i="18"/>
  <c r="B18" i="18"/>
  <c r="K12" i="18"/>
  <c r="J12" i="18"/>
  <c r="I12" i="18"/>
  <c r="H12" i="18"/>
  <c r="G12" i="18"/>
  <c r="F12" i="18"/>
  <c r="E12" i="18"/>
  <c r="D12" i="18"/>
  <c r="C12" i="18"/>
  <c r="L9" i="18"/>
  <c r="K9" i="18"/>
  <c r="G9" i="18"/>
  <c r="G10" i="18"/>
  <c r="F9" i="18"/>
  <c r="F10" i="18"/>
  <c r="D9" i="18"/>
  <c r="D10" i="18"/>
  <c r="C9" i="18"/>
  <c r="D77" i="14"/>
  <c r="D9" i="59"/>
  <c r="B6" i="18"/>
  <c r="B5" i="18"/>
  <c r="B4" i="18"/>
  <c r="B72" i="14"/>
  <c r="B4" i="59"/>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C6" i="17"/>
  <c r="F5" i="17"/>
  <c r="C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H10" i="14"/>
  <c r="D12" i="15"/>
  <c r="D11" i="15"/>
  <c r="D10" i="15"/>
  <c r="D9" i="15"/>
  <c r="D8" i="15"/>
  <c r="D7" i="15"/>
  <c r="D6" i="15"/>
  <c r="P5" i="15"/>
  <c r="P16" i="15"/>
  <c r="C5" i="15"/>
  <c r="B60" i="13"/>
  <c r="B54" i="13"/>
  <c r="O5" i="13"/>
  <c r="O8" i="13"/>
  <c r="O4" i="48"/>
  <c r="B27" i="13"/>
  <c r="B31"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G20" i="59"/>
  <c r="E87" i="14"/>
  <c r="E17" i="59"/>
  <c r="O76" i="14"/>
  <c r="O8" i="59"/>
  <c r="N76" i="14"/>
  <c r="N8" i="59"/>
  <c r="H76" i="14"/>
  <c r="H8" i="59"/>
  <c r="G76" i="14"/>
  <c r="G8" i="59"/>
  <c r="E76" i="14"/>
  <c r="E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c r="D16" i="16"/>
  <c r="B32" i="13"/>
  <c r="E5" i="13"/>
  <c r="B36" i="13"/>
  <c r="F5" i="13"/>
  <c r="B35" i="13"/>
  <c r="C35" i="13"/>
  <c r="J5" i="13"/>
  <c r="B34" i="13"/>
  <c r="C34" i="13"/>
  <c r="N5" i="13"/>
  <c r="B33" i="13"/>
  <c r="P5" i="13"/>
  <c r="P8" i="13"/>
  <c r="Q11" i="14"/>
  <c r="B37" i="13"/>
  <c r="J30" i="48"/>
  <c r="J32" i="48"/>
  <c r="D6" i="17"/>
  <c r="D8" i="17"/>
  <c r="D12" i="17"/>
  <c r="E54" i="14"/>
  <c r="F30" i="48"/>
  <c r="F32" i="48"/>
  <c r="N30" i="48"/>
  <c r="N32" i="48"/>
  <c r="N20" i="59"/>
  <c r="E20" i="59"/>
  <c r="O20" i="59"/>
  <c r="D89" i="14"/>
  <c r="D19" i="59"/>
  <c r="O19" i="18"/>
  <c r="K10" i="18"/>
  <c r="N77" i="14"/>
  <c r="L10" i="18"/>
  <c r="O77" i="14"/>
  <c r="H16" i="14"/>
  <c r="B8" i="9"/>
  <c r="C16" i="15"/>
  <c r="L16" i="16"/>
  <c r="L18" i="16"/>
  <c r="M13" i="14"/>
  <c r="I14" i="15"/>
  <c r="I16" i="15"/>
  <c r="J10" i="14"/>
  <c r="B13" i="16"/>
  <c r="C35" i="16"/>
  <c r="E9" i="14"/>
  <c r="D14" i="15"/>
  <c r="P18" i="16"/>
  <c r="P22" i="16"/>
  <c r="Q43" i="14"/>
  <c r="N6" i="17"/>
  <c r="N5" i="17"/>
  <c r="J8" i="17"/>
  <c r="J12" i="17"/>
  <c r="K54" i="14"/>
  <c r="K56" i="14"/>
  <c r="N16" i="16"/>
  <c r="F8" i="17"/>
  <c r="G24" i="14"/>
  <c r="G26" i="14"/>
  <c r="N13" i="15"/>
  <c r="L13" i="15"/>
  <c r="L16" i="15"/>
  <c r="F13" i="15"/>
  <c r="D13" i="15"/>
  <c r="B67" i="22"/>
  <c r="M11" i="22"/>
  <c r="G10" i="22"/>
  <c r="M9" i="22"/>
  <c r="G8" i="22"/>
  <c r="M7" i="22"/>
  <c r="G6" i="22"/>
  <c r="G11" i="22"/>
  <c r="M8" i="22"/>
  <c r="G7" i="22"/>
  <c r="M10" i="22"/>
  <c r="G9" i="22"/>
  <c r="M6" i="22"/>
  <c r="B12" i="48"/>
  <c r="Q12" i="48"/>
  <c r="O9" i="14"/>
  <c r="B7" i="15"/>
  <c r="O5" i="16"/>
  <c r="B11" i="15"/>
  <c r="B11" i="16"/>
  <c r="J9" i="14"/>
  <c r="J16" i="14"/>
  <c r="B49" i="18"/>
  <c r="B53" i="18"/>
  <c r="B16" i="16"/>
  <c r="K9" i="14"/>
  <c r="H77" i="14"/>
  <c r="J11" i="48"/>
  <c r="J29" i="48"/>
  <c r="M9" i="14"/>
  <c r="L11" i="48"/>
  <c r="O19" i="14"/>
  <c r="O22" i="14"/>
  <c r="N10" i="48"/>
  <c r="N28" i="48"/>
  <c r="J19" i="14"/>
  <c r="J22" i="14"/>
  <c r="I10" i="48"/>
  <c r="I28" i="48"/>
  <c r="J19" i="19"/>
  <c r="K39" i="14"/>
  <c r="N19" i="19"/>
  <c r="O39" i="14"/>
  <c r="C49" i="18"/>
  <c r="I52" i="18"/>
  <c r="H8" i="18"/>
  <c r="M76" i="14"/>
  <c r="M8" i="59"/>
  <c r="M10" i="59"/>
  <c r="J9" i="18"/>
  <c r="J77" i="14"/>
  <c r="J9" i="59"/>
  <c r="C16" i="16"/>
  <c r="C18" i="16"/>
  <c r="C8" i="48"/>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B6" i="48"/>
  <c r="Q6" i="48"/>
  <c r="L12" i="13"/>
  <c r="M41" i="14"/>
  <c r="E8" i="16"/>
  <c r="F18" i="14"/>
  <c r="E13" i="48"/>
  <c r="E31" i="48"/>
  <c r="K20" i="15"/>
  <c r="L40" i="14"/>
  <c r="L9" i="14"/>
  <c r="K11" i="48"/>
  <c r="K29" i="48"/>
  <c r="D11" i="48"/>
  <c r="D29" i="48"/>
  <c r="F19" i="19"/>
  <c r="G39" i="14"/>
  <c r="L19" i="19"/>
  <c r="M39" i="14"/>
  <c r="M12" i="13"/>
  <c r="N41" i="14"/>
  <c r="C78" i="22"/>
  <c r="M51" i="22"/>
  <c r="M27" i="20"/>
  <c r="M12" i="22"/>
  <c r="H27" i="20"/>
  <c r="J7" i="15"/>
  <c r="J11" i="15"/>
  <c r="N7"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c r="M20" i="15"/>
  <c r="N40" i="14"/>
  <c r="N10" i="14"/>
  <c r="N16" i="14"/>
  <c r="G20" i="15"/>
  <c r="H40" i="14"/>
  <c r="H46" i="14"/>
  <c r="H20" i="15"/>
  <c r="I40" i="14"/>
  <c r="I46" i="14"/>
  <c r="I10" i="14"/>
  <c r="I16" i="14"/>
  <c r="B74" i="14"/>
  <c r="B6" i="59"/>
  <c r="F8" i="16"/>
  <c r="J9" i="16"/>
  <c r="B7" i="48"/>
  <c r="C24" i="14"/>
  <c r="C26" i="14"/>
  <c r="B73" i="14"/>
  <c r="B5" i="59"/>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c r="F9" i="14"/>
  <c r="D9" i="14"/>
  <c r="E19" i="19"/>
  <c r="F39" i="14"/>
  <c r="C11" i="48"/>
  <c r="D19" i="19"/>
  <c r="E39" i="14"/>
  <c r="C9" i="14"/>
  <c r="B11" i="48"/>
  <c r="E5" i="22"/>
  <c r="E14" i="22"/>
  <c r="D5" i="22"/>
  <c r="D14" i="22"/>
  <c r="B5" i="22"/>
  <c r="B14" i="22"/>
  <c r="P11" i="48"/>
  <c r="P29" i="48"/>
  <c r="I5" i="48"/>
  <c r="I23" i="48"/>
  <c r="H5" i="48"/>
  <c r="O11" i="48"/>
  <c r="P9" i="14"/>
  <c r="M5" i="48"/>
  <c r="G29" i="48"/>
  <c r="C11" i="14"/>
  <c r="B4" i="48"/>
  <c r="E30" i="48"/>
  <c r="I31" i="48"/>
  <c r="I27" i="48"/>
  <c r="I30" i="48"/>
  <c r="K27" i="48"/>
  <c r="O30" i="48"/>
  <c r="K22" i="48"/>
  <c r="G22" i="48"/>
  <c r="M17" i="48"/>
  <c r="K30" i="48"/>
  <c r="F8" i="13"/>
  <c r="G11" i="14"/>
  <c r="I22" i="48"/>
  <c r="G30" i="48"/>
  <c r="O22" i="48"/>
  <c r="H25" i="48"/>
  <c r="L17" i="48"/>
  <c r="L32" i="48"/>
  <c r="H22" i="48"/>
  <c r="K25" i="48"/>
  <c r="K26" i="48"/>
  <c r="P12" i="13"/>
  <c r="Q41" i="14"/>
  <c r="P4" i="48"/>
  <c r="D12" i="13"/>
  <c r="E41" i="14"/>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c r="B10" i="48"/>
  <c r="C19" i="14"/>
  <c r="J7" i="48"/>
  <c r="J25" i="48"/>
  <c r="P25" i="48"/>
  <c r="E5" i="17"/>
  <c r="C8" i="17"/>
  <c r="G25" i="48"/>
  <c r="I25" i="48"/>
  <c r="G90" i="14"/>
  <c r="D88" i="14"/>
  <c r="D18" i="59"/>
  <c r="H88" i="14"/>
  <c r="N90" i="14"/>
  <c r="F88" i="14"/>
  <c r="F18" i="59"/>
  <c r="E77" i="14"/>
  <c r="D20" i="18"/>
  <c r="L20" i="18"/>
  <c r="G77" i="14"/>
  <c r="E90" i="14"/>
  <c r="O90" i="14"/>
  <c r="F20" i="18"/>
  <c r="D11" i="14"/>
  <c r="C4" i="48"/>
  <c r="O18" i="18"/>
  <c r="G51" i="22"/>
  <c r="G50" i="22"/>
  <c r="G54" i="22"/>
  <c r="H19" i="14"/>
  <c r="N46" i="14"/>
  <c r="K15" i="48"/>
  <c r="M24" i="48"/>
  <c r="M32" i="48"/>
  <c r="K33" i="48"/>
  <c r="J27" i="14"/>
  <c r="I15" i="48"/>
  <c r="I33" i="48"/>
  <c r="Q89" i="14"/>
  <c r="P19" i="59"/>
  <c r="H78" i="14"/>
  <c r="H9" i="59"/>
  <c r="H10" i="59"/>
  <c r="B89" i="14"/>
  <c r="B19" i="59"/>
  <c r="N78" i="14"/>
  <c r="N9" i="59"/>
  <c r="N10" i="59"/>
  <c r="C89" i="14"/>
  <c r="C19" i="59"/>
  <c r="G78" i="14"/>
  <c r="G9" i="59"/>
  <c r="G10" i="59"/>
  <c r="H90" i="14"/>
  <c r="H18" i="59"/>
  <c r="H20" i="59"/>
  <c r="E78" i="14"/>
  <c r="E9" i="59"/>
  <c r="E10" i="59"/>
  <c r="O78" i="14"/>
  <c r="O9" i="59"/>
  <c r="O10" i="59"/>
  <c r="P22" i="48"/>
  <c r="L8" i="48"/>
  <c r="L26" i="48"/>
  <c r="L22" i="16"/>
  <c r="M43" i="14"/>
  <c r="C17" i="18"/>
  <c r="C20" i="18"/>
  <c r="D10" i="14"/>
  <c r="B88" i="14"/>
  <c r="B18" i="59"/>
  <c r="C88" i="14"/>
  <c r="C18" i="59"/>
  <c r="B77" i="14"/>
  <c r="B9" i="59"/>
  <c r="J46" i="14"/>
  <c r="J61" i="14"/>
  <c r="C77" i="14"/>
  <c r="C9" i="59"/>
  <c r="L46" i="14"/>
  <c r="L61" i="14"/>
  <c r="L16" i="14"/>
  <c r="L27" i="14"/>
  <c r="P8" i="48"/>
  <c r="P26" i="48"/>
  <c r="D18" i="16"/>
  <c r="D22" i="16"/>
  <c r="E43" i="14"/>
  <c r="G31" i="20"/>
  <c r="H48" i="14"/>
  <c r="G12" i="22"/>
  <c r="D16" i="15"/>
  <c r="K24" i="14"/>
  <c r="K26" i="14"/>
  <c r="E8" i="17"/>
  <c r="F24" i="14"/>
  <c r="F26" i="14"/>
  <c r="O18" i="16"/>
  <c r="O22" i="16"/>
  <c r="P43" i="14"/>
  <c r="N8" i="13"/>
  <c r="N4" i="48"/>
  <c r="N22" i="48"/>
  <c r="H13" i="48"/>
  <c r="H31" i="48"/>
  <c r="H12" i="22"/>
  <c r="E8" i="13"/>
  <c r="E12" i="13"/>
  <c r="F41" i="14"/>
  <c r="N8" i="17"/>
  <c r="N12" i="17"/>
  <c r="O54" i="14"/>
  <c r="O56" i="14"/>
  <c r="L8" i="17"/>
  <c r="L12" i="17"/>
  <c r="M54" i="14"/>
  <c r="M56" i="14"/>
  <c r="M50" i="22"/>
  <c r="M54" i="22"/>
  <c r="M10" i="48"/>
  <c r="E24" i="14"/>
  <c r="E26" i="14"/>
  <c r="B9" i="48"/>
  <c r="E52" i="18"/>
  <c r="E8" i="18"/>
  <c r="F76" i="14"/>
  <c r="F7" i="48"/>
  <c r="F25" i="48"/>
  <c r="D52" i="18"/>
  <c r="O9" i="18"/>
  <c r="M29" i="48"/>
  <c r="F12" i="17"/>
  <c r="G54" i="14"/>
  <c r="G56" i="14"/>
  <c r="C53" i="18"/>
  <c r="C52" i="18"/>
  <c r="B10" i="18"/>
  <c r="E53" i="18"/>
  <c r="E17" i="18"/>
  <c r="F87" i="14"/>
  <c r="G53" i="18"/>
  <c r="D7" i="48"/>
  <c r="D25" i="48"/>
  <c r="H52" i="18"/>
  <c r="G52" i="18"/>
  <c r="D53" i="18"/>
  <c r="L28" i="48"/>
  <c r="H53" i="18"/>
  <c r="I53" i="18"/>
  <c r="H17" i="18"/>
  <c r="F53" i="18"/>
  <c r="F52" i="18"/>
  <c r="H10" i="18"/>
  <c r="M78" i="14"/>
  <c r="B52" i="18"/>
  <c r="L31" i="48"/>
  <c r="L24" i="48"/>
  <c r="L22" i="48"/>
  <c r="M23" i="48"/>
  <c r="M22" i="48"/>
  <c r="I18" i="14"/>
  <c r="Q88" i="14"/>
  <c r="P18" i="59"/>
  <c r="D9" i="48"/>
  <c r="D27" i="48"/>
  <c r="D13" i="14"/>
  <c r="F20" i="14"/>
  <c r="F22" i="14"/>
  <c r="Q77" i="14"/>
  <c r="P9" i="59"/>
  <c r="L30" i="48"/>
  <c r="B20" i="18"/>
  <c r="C7" i="48"/>
  <c r="D24" i="14"/>
  <c r="D26" i="14"/>
  <c r="L29" i="48"/>
  <c r="M31" i="20"/>
  <c r="N48" i="14"/>
  <c r="N18" i="14"/>
  <c r="M13" i="48"/>
  <c r="M31" i="48"/>
  <c r="H31" i="20"/>
  <c r="I48" i="14"/>
  <c r="G13" i="48"/>
  <c r="G31" i="48"/>
  <c r="H18" i="14"/>
  <c r="M5" i="22"/>
  <c r="M14" i="22"/>
  <c r="G5" i="22"/>
  <c r="H5" i="22"/>
  <c r="H14" i="22"/>
  <c r="E5" i="15"/>
  <c r="O20" i="15"/>
  <c r="P40" i="14"/>
  <c r="P10" i="14"/>
  <c r="P20" i="15"/>
  <c r="Q40" i="14"/>
  <c r="Q46" i="14"/>
  <c r="Q61" i="14"/>
  <c r="Q10" i="14"/>
  <c r="Q16" i="14"/>
  <c r="Q27" i="14"/>
  <c r="J5" i="15"/>
  <c r="F4" i="48"/>
  <c r="F22" i="48"/>
  <c r="F5" i="15"/>
  <c r="F16" i="15"/>
  <c r="B5" i="15"/>
  <c r="B16" i="15"/>
  <c r="B5" i="16"/>
  <c r="B18" i="16"/>
  <c r="C13" i="14"/>
  <c r="N5" i="15"/>
  <c r="N16" i="15"/>
  <c r="F12" i="13"/>
  <c r="G41" i="14"/>
  <c r="P5" i="48"/>
  <c r="P23" i="48"/>
  <c r="F13" i="16"/>
  <c r="E13" i="16"/>
  <c r="N13" i="16"/>
  <c r="J13" i="16"/>
  <c r="N12" i="16"/>
  <c r="J12" i="16"/>
  <c r="F12" i="16"/>
  <c r="E12" i="16"/>
  <c r="Q11" i="48"/>
  <c r="O5" i="48"/>
  <c r="R9" i="14"/>
  <c r="O29" i="48"/>
  <c r="H23" i="48"/>
  <c r="L27" i="48"/>
  <c r="M30" i="48"/>
  <c r="M26" i="48"/>
  <c r="M25" i="48"/>
  <c r="J8" i="13"/>
  <c r="C5" i="48"/>
  <c r="E13" i="14"/>
  <c r="G14" i="22"/>
  <c r="F90" i="14"/>
  <c r="F17" i="59"/>
  <c r="F20" i="59"/>
  <c r="F78" i="14"/>
  <c r="F8" i="59"/>
  <c r="F10" i="59"/>
  <c r="P15" i="48"/>
  <c r="P33" i="48"/>
  <c r="O8" i="48"/>
  <c r="O26" i="48"/>
  <c r="P13" i="14"/>
  <c r="P16" i="14"/>
  <c r="P27" i="14"/>
  <c r="E12" i="17"/>
  <c r="F54" i="14"/>
  <c r="F56" i="14"/>
  <c r="E7" i="48"/>
  <c r="E25" i="48"/>
  <c r="M28" i="48"/>
  <c r="C15" i="48"/>
  <c r="I8" i="18"/>
  <c r="I10" i="18"/>
  <c r="C8" i="18"/>
  <c r="D76" i="14"/>
  <c r="D8" i="59"/>
  <c r="D10" i="59"/>
  <c r="D87" i="14"/>
  <c r="D16" i="14"/>
  <c r="D27" i="14"/>
  <c r="D20" i="15"/>
  <c r="P46" i="14"/>
  <c r="P61" i="14"/>
  <c r="N7" i="48"/>
  <c r="N25" i="48"/>
  <c r="J16" i="15"/>
  <c r="K10" i="14"/>
  <c r="E16" i="15"/>
  <c r="F10" i="14"/>
  <c r="D8" i="48"/>
  <c r="D26" i="48"/>
  <c r="O24" i="14"/>
  <c r="O26" i="14"/>
  <c r="L7" i="48"/>
  <c r="L25" i="48"/>
  <c r="M24" i="14"/>
  <c r="M26" i="14"/>
  <c r="M58" i="22"/>
  <c r="N49" i="14"/>
  <c r="N19" i="14"/>
  <c r="R19" i="14"/>
  <c r="D18" i="22"/>
  <c r="E50" i="14"/>
  <c r="E52" i="14"/>
  <c r="C20" i="14"/>
  <c r="C22" i="14"/>
  <c r="J8" i="18"/>
  <c r="J76" i="14"/>
  <c r="E10" i="18"/>
  <c r="J17" i="18"/>
  <c r="I17" i="18"/>
  <c r="I87" i="14"/>
  <c r="E20" i="18"/>
  <c r="M87" i="14"/>
  <c r="M17" i="59"/>
  <c r="M20" i="59"/>
  <c r="H20" i="18"/>
  <c r="E20" i="14"/>
  <c r="E22" i="14"/>
  <c r="E18" i="22"/>
  <c r="F50" i="14"/>
  <c r="F52" i="14"/>
  <c r="E9" i="48"/>
  <c r="E10" i="14"/>
  <c r="E16" i="14"/>
  <c r="D5" i="48"/>
  <c r="G58" i="22"/>
  <c r="H49" i="14"/>
  <c r="G10" i="48"/>
  <c r="G9" i="48"/>
  <c r="R18" i="14"/>
  <c r="Q13" i="48"/>
  <c r="I20" i="14"/>
  <c r="I22" i="14"/>
  <c r="I27" i="14"/>
  <c r="M18" i="22"/>
  <c r="N50" i="14"/>
  <c r="M9" i="48"/>
  <c r="M15" i="48"/>
  <c r="N20" i="14"/>
  <c r="B8" i="48"/>
  <c r="J63" i="14"/>
  <c r="L63" i="14"/>
  <c r="N20" i="15"/>
  <c r="O10" i="14"/>
  <c r="L5" i="48"/>
  <c r="M10" i="14"/>
  <c r="M16" i="14"/>
  <c r="F20" i="15"/>
  <c r="G10" i="14"/>
  <c r="C10" i="14"/>
  <c r="B5" i="48"/>
  <c r="Q63" i="14"/>
  <c r="N5" i="16"/>
  <c r="F5" i="48"/>
  <c r="E5" i="16"/>
  <c r="J5" i="16"/>
  <c r="F5" i="16"/>
  <c r="O23" i="48"/>
  <c r="N12" i="13"/>
  <c r="O41" i="14"/>
  <c r="O11" i="14"/>
  <c r="E4" i="48"/>
  <c r="E22" i="48"/>
  <c r="F11" i="14"/>
  <c r="J4" i="48"/>
  <c r="J12" i="13"/>
  <c r="K41" i="14"/>
  <c r="K11" i="14"/>
  <c r="N5" i="48"/>
  <c r="L20" i="15"/>
  <c r="J20" i="15"/>
  <c r="K40" i="14"/>
  <c r="J5" i="48"/>
  <c r="J23" i="48"/>
  <c r="B15" i="48"/>
  <c r="I76" i="14"/>
  <c r="I8" i="59"/>
  <c r="I10" i="59"/>
  <c r="O33" i="48"/>
  <c r="E27" i="14"/>
  <c r="O15" i="48"/>
  <c r="D15" i="48"/>
  <c r="C10" i="18"/>
  <c r="D90" i="14"/>
  <c r="D17" i="59"/>
  <c r="D20" i="59"/>
  <c r="I90" i="14"/>
  <c r="I17" i="59"/>
  <c r="I20" i="59"/>
  <c r="J78" i="14"/>
  <c r="J8" i="59"/>
  <c r="J10" i="59"/>
  <c r="E27" i="48"/>
  <c r="G15" i="48"/>
  <c r="O17" i="18"/>
  <c r="O20" i="18"/>
  <c r="Q76" i="14"/>
  <c r="P8" i="59"/>
  <c r="P10" i="59"/>
  <c r="D78" i="14"/>
  <c r="B76" i="14"/>
  <c r="B8" i="59"/>
  <c r="B10" i="59"/>
  <c r="F23" i="48"/>
  <c r="L23" i="48"/>
  <c r="L33" i="48"/>
  <c r="L15" i="48"/>
  <c r="B20" i="6"/>
  <c r="Q87" i="14"/>
  <c r="Q90" i="14"/>
  <c r="B17" i="6"/>
  <c r="B22" i="6"/>
  <c r="E40" i="14"/>
  <c r="E46" i="14"/>
  <c r="G40" i="14"/>
  <c r="O40" i="14"/>
  <c r="D23" i="48"/>
  <c r="D33" i="48"/>
  <c r="P63" i="14"/>
  <c r="M27" i="14"/>
  <c r="N52" i="14"/>
  <c r="N61" i="14"/>
  <c r="C76" i="14"/>
  <c r="C8" i="59"/>
  <c r="C10" i="59"/>
  <c r="C16" i="14"/>
  <c r="C27" i="14"/>
  <c r="N22" i="14"/>
  <c r="N27" i="14"/>
  <c r="E5" i="48"/>
  <c r="E23" i="48"/>
  <c r="N18" i="16"/>
  <c r="N8" i="48"/>
  <c r="N15" i="48"/>
  <c r="E20" i="15"/>
  <c r="F40" i="14"/>
  <c r="F18" i="16"/>
  <c r="G13" i="14"/>
  <c r="G16" i="14"/>
  <c r="G27" i="14"/>
  <c r="J18" i="16"/>
  <c r="K13" i="14"/>
  <c r="K16" i="14"/>
  <c r="K27" i="14"/>
  <c r="J10" i="18"/>
  <c r="O8" i="18"/>
  <c r="O10" i="18"/>
  <c r="E18" i="16"/>
  <c r="E22" i="16"/>
  <c r="F43" i="14"/>
  <c r="R24" i="14"/>
  <c r="R26" i="14"/>
  <c r="Q7" i="48"/>
  <c r="G18" i="22"/>
  <c r="H50" i="14"/>
  <c r="H52" i="14"/>
  <c r="H61" i="14"/>
  <c r="I20" i="18"/>
  <c r="J20" i="18"/>
  <c r="J87" i="14"/>
  <c r="M90" i="14"/>
  <c r="I78" i="14"/>
  <c r="H20" i="14"/>
  <c r="H22" i="14"/>
  <c r="H27" i="14"/>
  <c r="H18" i="22"/>
  <c r="I50" i="14"/>
  <c r="G28" i="48"/>
  <c r="Q10" i="48"/>
  <c r="H9" i="48"/>
  <c r="M27" i="48"/>
  <c r="M33" i="48"/>
  <c r="G27" i="48"/>
  <c r="M40" i="14"/>
  <c r="Q5" i="48"/>
  <c r="Q4" i="48"/>
  <c r="N23" i="48"/>
  <c r="R11" i="14"/>
  <c r="J22" i="48"/>
  <c r="R10" i="14"/>
  <c r="J90" i="14"/>
  <c r="J17" i="59"/>
  <c r="J20" i="59"/>
  <c r="P17" i="59"/>
  <c r="P20" i="59"/>
  <c r="C18" i="15"/>
  <c r="C20" i="15"/>
  <c r="D40" i="14"/>
  <c r="C22" i="59"/>
  <c r="G33" i="48"/>
  <c r="Q9" i="48"/>
  <c r="H15" i="48"/>
  <c r="F22" i="16"/>
  <c r="G43" i="14"/>
  <c r="G46" i="14"/>
  <c r="G61" i="14"/>
  <c r="G63" i="14"/>
  <c r="Q78" i="14"/>
  <c r="B9" i="6"/>
  <c r="F8" i="48"/>
  <c r="F15" i="48"/>
  <c r="O13" i="14"/>
  <c r="O16" i="14"/>
  <c r="O27" i="14"/>
  <c r="C10" i="13"/>
  <c r="C12" i="13"/>
  <c r="C29" i="20"/>
  <c r="C17" i="19"/>
  <c r="C19" i="19"/>
  <c r="D39" i="14"/>
  <c r="C16" i="22"/>
  <c r="C56" i="22"/>
  <c r="C58" i="22"/>
  <c r="D49" i="14"/>
  <c r="D52" i="14"/>
  <c r="C20" i="16"/>
  <c r="C22" i="16"/>
  <c r="D43" i="14"/>
  <c r="C10" i="17"/>
  <c r="C12" i="17"/>
  <c r="D54" i="14"/>
  <c r="D56" i="14"/>
  <c r="C17" i="49"/>
  <c r="C87" i="14"/>
  <c r="B87" i="14"/>
  <c r="I52" i="14"/>
  <c r="I61" i="14"/>
  <c r="I63" i="14"/>
  <c r="F46" i="14"/>
  <c r="F61" i="14"/>
  <c r="M46" i="14"/>
  <c r="M61" i="14"/>
  <c r="M63" i="14"/>
  <c r="B3" i="6"/>
  <c r="N22" i="16"/>
  <c r="O43" i="14"/>
  <c r="E8" i="48"/>
  <c r="E26" i="48"/>
  <c r="E33" i="48"/>
  <c r="F13" i="14"/>
  <c r="J22" i="16"/>
  <c r="K43" i="14"/>
  <c r="J8" i="48"/>
  <c r="N26" i="48"/>
  <c r="N33" i="48"/>
  <c r="N63" i="14"/>
  <c r="H63" i="14"/>
  <c r="R20" i="14"/>
  <c r="R22" i="14"/>
  <c r="H27" i="48"/>
  <c r="H33" i="48"/>
  <c r="F26" i="48"/>
  <c r="F33" i="48"/>
  <c r="B90" i="14"/>
  <c r="B17" i="59"/>
  <c r="B20" i="59"/>
  <c r="C90" i="14"/>
  <c r="C17" i="59"/>
  <c r="C20" i="59"/>
  <c r="J26" i="48"/>
  <c r="J33" i="48"/>
  <c r="J15" i="48"/>
  <c r="E15" i="48"/>
  <c r="C17" i="48"/>
  <c r="C24" i="48"/>
  <c r="D41" i="14"/>
  <c r="D46" i="14"/>
  <c r="D61" i="14"/>
  <c r="D63" i="14"/>
  <c r="O46" i="14"/>
  <c r="O61" i="14"/>
  <c r="O63" i="14"/>
  <c r="K46" i="14"/>
  <c r="K61" i="14"/>
  <c r="K63" i="14"/>
  <c r="F16" i="14"/>
  <c r="R13" i="14"/>
  <c r="R16" i="14"/>
  <c r="R27" i="14"/>
  <c r="Q8" i="48"/>
  <c r="Q15" i="48"/>
  <c r="C28" i="48"/>
  <c r="C30" i="48"/>
  <c r="C27" i="48"/>
  <c r="C29" i="48"/>
  <c r="C32" i="48"/>
  <c r="C25" i="48"/>
  <c r="C31" i="48"/>
  <c r="C26" i="48"/>
  <c r="C22" i="48"/>
  <c r="C23" i="48"/>
  <c r="F27" i="14"/>
  <c r="F63" i="14"/>
  <c r="C78" i="14"/>
  <c r="B78" i="14"/>
  <c r="B4" i="6"/>
  <c r="B12" i="6"/>
  <c r="C33" i="48"/>
  <c r="C55" i="14"/>
  <c r="R55" i="14"/>
  <c r="B18" i="15"/>
  <c r="B20" i="15"/>
  <c r="B10" i="9"/>
  <c r="B12" i="9"/>
  <c r="B56" i="22"/>
  <c r="B58" i="22"/>
  <c r="C49" i="14"/>
  <c r="R49" i="14"/>
  <c r="B20" i="16"/>
  <c r="B22" i="16"/>
  <c r="C43" i="14"/>
  <c r="R43" i="14"/>
  <c r="B10" i="13"/>
  <c r="B12" i="13"/>
  <c r="C12" i="59"/>
  <c r="B10" i="17"/>
  <c r="B12" i="17"/>
  <c r="C54" i="14"/>
  <c r="R54" i="14"/>
  <c r="B17" i="19"/>
  <c r="B19" i="19"/>
  <c r="C39" i="14"/>
  <c r="R39" i="14"/>
  <c r="B17" i="49"/>
  <c r="B19" i="49"/>
  <c r="C42" i="14"/>
  <c r="R42" i="14"/>
  <c r="B16" i="22"/>
  <c r="B18" i="22"/>
  <c r="C50" i="14"/>
  <c r="R50" i="14"/>
  <c r="B29" i="20"/>
  <c r="B31" i="20"/>
  <c r="C48" i="14"/>
  <c r="R48" i="14"/>
  <c r="B17" i="48"/>
  <c r="B32" i="48"/>
  <c r="Q32" i="48"/>
  <c r="R56" i="14"/>
  <c r="C40" i="14"/>
  <c r="R40" i="14"/>
  <c r="R52" i="14"/>
  <c r="C52" i="14"/>
  <c r="C41" i="14"/>
  <c r="R41" i="14"/>
  <c r="B25" i="48"/>
  <c r="Q25" i="48"/>
  <c r="B31" i="48"/>
  <c r="Q31" i="48"/>
  <c r="B22" i="48"/>
  <c r="Q22" i="48"/>
  <c r="B26" i="48"/>
  <c r="Q26" i="48"/>
  <c r="B29" i="48"/>
  <c r="Q29" i="48"/>
  <c r="B28" i="48"/>
  <c r="Q28" i="48"/>
  <c r="B24" i="48"/>
  <c r="Q24" i="48"/>
  <c r="B27" i="48"/>
  <c r="Q27" i="48"/>
  <c r="B30" i="48"/>
  <c r="Q30" i="48"/>
  <c r="B23" i="48"/>
  <c r="Q23" i="48"/>
  <c r="R46" i="14"/>
  <c r="R61" i="14"/>
  <c r="C46" i="14"/>
  <c r="C56" i="14"/>
  <c r="E56" i="14"/>
  <c r="E61" i="14"/>
  <c r="E63" i="14"/>
  <c r="Q33" i="48"/>
  <c r="B33" i="48"/>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<sst xmlns="http://schemas.openxmlformats.org/spreadsheetml/2006/main" count="2430" uniqueCount="888">
  <si>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</si>
  <si>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</si>
  <si>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</si>
  <si>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</si>
  <si>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</si>
  <si>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</si>
  <si>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</si>
  <si>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</si>
  <si>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</si>
  <si>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</si>
  <si>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</si>
  <si>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</si>
  <si>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</si>
  <si>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</si>
  <si>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</si>
  <si>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</si>
  <si>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</si>
  <si>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</si>
  <si>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</si>
  <si>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</si>
  <si>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</si>
  <si>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</si>
  <si>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</si>
  <si>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</si>
  <si>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</si>
  <si>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</si>
  <si>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</si>
  <si>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</si>
  <si>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</si>
  <si>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</si>
  <si>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</si>
  <si>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</si>
  <si>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</si>
  <si>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</si>
  <si>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</si>
  <si>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</si>
  <si>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</si>
  <si>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</si>
  <si>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</si>
  <si>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</si>
  <si>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</si>
  <si>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</si>
  <si>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</si>
  <si>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</si>
  <si>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</si>
  <si>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</si>
  <si>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</si>
  <si>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</si>
  <si>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</si>
  <si>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</si>
  <si>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</si>
  <si>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</si>
  <si>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</si>
  <si>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</si>
  <si>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</si>
  <si>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</si>
  <si>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</si>
  <si>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</si>
  <si>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</si>
  <si>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</si>
  <si>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</si>
  <si>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</si>
  <si>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</si>
  <si>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</si>
  <si>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</si>
  <si>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</si>
  <si>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</si>
  <si>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</si>
  <si>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</si>
  <si>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</si>
  <si>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</si>
  <si>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</si>
  <si>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</si>
  <si>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</si>
  <si>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</si>
  <si>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</si>
  <si>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</si>
  <si>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</si>
  <si>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</si>
  <si>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</si>
  <si>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</si>
  <si>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</si>
  <si>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</si>
  <si>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</si>
  <si>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</si>
  <si>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</si>
  <si>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</si>
  <si>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</si>
  <si>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</si>
  <si>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</si>
  <si>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</si>
  <si>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</si>
  <si>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</si>
  <si>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</si>
  <si>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</si>
  <si>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</si>
  <si>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</si>
  <si>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</si>
  <si>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</si>
  <si>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</si>
  <si>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</si>
  <si>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</si>
  <si>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</si>
  <si>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</si>
  <si>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</si>
  <si>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</si>
  <si>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</si>
  <si>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</si>
  <si>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</si>
  <si>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</si>
  <si>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</si>
  <si>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</si>
  <si>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</si>
  <si>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</si>
  <si>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</si>
  <si>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</si>
  <si>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</si>
  <si>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</si>
  <si>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</si>
  <si>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</si>
  <si>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</si>
  <si>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</si>
  <si>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</si>
  <si>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</si>
  <si>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</si>
  <si>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</si>
  <si>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</si>
  <si>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</si>
  <si>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</si>
  <si>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</si>
  <si>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</si>
  <si>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</si>
  <si>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</si>
  <si>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</si>
  <si>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</si>
  <si>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</si>
  <si>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</si>
  <si>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</si>
  <si>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</si>
  <si>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</si>
  <si>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</si>
  <si>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</si>
  <si>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</si>
  <si>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</si>
  <si>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</si>
  <si>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</si>
  <si>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</si>
  <si>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</si>
  <si>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</si>
  <si>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</si>
  <si>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</si>
  <si>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</si>
  <si>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</si>
  <si>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</si>
  <si>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</si>
  <si>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</si>
  <si>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</si>
  <si>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</si>
  <si>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</si>
  <si>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</si>
  <si>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</si>
  <si>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</si>
  <si>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</si>
  <si>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</si>
  <si>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</si>
  <si>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</si>
  <si>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</si>
  <si>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</si>
  <si>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</si>
  <si>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</si>
  <si>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</si>
  <si>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</si>
  <si>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</si>
  <si>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</si>
  <si>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</si>
  <si>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</si>
  <si>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</si>
  <si>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</si>
  <si>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</si>
  <si>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</si>
  <si>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</si>
  <si>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</si>
  <si>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</si>
  <si>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</si>
  <si>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</si>
  <si>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</si>
  <si>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</si>
  <si>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</si>
  <si>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</si>
  <si>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</si>
  <si>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</si>
  <si>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</si>
  <si>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</si>
  <si>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</si>
  <si>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</si>
  <si>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</si>
  <si>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</si>
  <si>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</si>
  <si>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</si>
  <si>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</si>
  <si>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</si>
  <si>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</si>
  <si>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</si>
  <si>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</si>
  <si>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</si>
  <si>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</si>
  <si>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</si>
  <si>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</si>
  <si>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</si>
  <si>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</si>
  <si>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</si>
  <si>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</si>
  <si>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</si>
  <si>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</si>
  <si>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</si>
  <si>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</si>
  <si>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</si>
  <si>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</si>
  <si>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</si>
  <si>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</si>
  <si>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</si>
  <si>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</si>
  <si>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</si>
  <si>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</si>
  <si>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</si>
  <si>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</si>
  <si>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</si>
  <si>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</si>
  <si>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</si>
  <si>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</si>
  <si>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</si>
  <si>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</si>
  <si>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</si>
  <si>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</si>
  <si>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</si>
  <si>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</si>
  <si>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</si>
  <si>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</si>
  <si>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</si>
  <si>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</si>
  <si>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</si>
  <si>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</si>
  <si>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</si>
  <si>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</si>
  <si>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</si>
  <si>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</si>
  <si>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</si>
  <si>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</si>
  <si>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</si>
  <si>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</si>
  <si>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</si>
  <si>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</si>
  <si>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</si>
  <si>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</si>
  <si>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</si>
  <si>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</si>
  <si>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</si>
  <si>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</si>
  <si>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</si>
  <si>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</si>
  <si>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</si>
  <si>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</si>
  <si>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</si>
  <si>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</si>
  <si>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</si>
  <si>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</si>
  <si>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</si>
  <si>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</si>
  <si>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</si>
  <si>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</si>
  <si>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</si>
  <si>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</si>
  <si>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</si>
  <si>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</si>
  <si>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</si>
  <si>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</si>
  <si>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</si>
  <si>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</si>
  <si>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</si>
  <si>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</si>
  <si>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</si>
  <si>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</si>
  <si>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</si>
  <si>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</si>
  <si>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</si>
  <si>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</si>
  <si>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</si>
  <si>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</si>
  <si>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</si>
  <si>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</si>
  <si>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</si>
  <si>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</si>
  <si>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</si>
  <si>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</si>
  <si>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</si>
  <si>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</si>
  <si>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</si>
  <si>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</si>
  <si>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</si>
  <si>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</si>
  <si>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</si>
  <si>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</si>
  <si>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</si>
  <si>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</si>
  <si>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</si>
  <si>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</si>
  <si>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</si>
  <si>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</si>
  <si>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</si>
  <si>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</si>
  <si>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</si>
  <si>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</si>
  <si>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</si>
  <si>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</si>
  <si>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</si>
  <si>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</si>
  <si>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</si>
  <si>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</si>
  <si>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</si>
  <si>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</si>
  <si>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</si>
  <si>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</si>
  <si>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</si>
  <si>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</si>
  <si>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</si>
  <si>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</si>
  <si>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</si>
  <si>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</si>
  <si>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</si>
  <si>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</si>
  <si>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</si>
  <si>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</si>
  <si>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</si>
  <si>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</si>
  <si>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</si>
  <si>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</si>
  <si>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</si>
  <si>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</si>
  <si>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</si>
  <si>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</si>
  <si>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</si>
  <si>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</si>
  <si>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</si>
  <si>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</si>
  <si>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</si>
  <si>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</si>
  <si>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</si>
  <si>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</si>
  <si>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</si>
  <si>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</si>
  <si>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</si>
  <si>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</si>
  <si>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</si>
  <si>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</si>
  <si>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</si>
  <si>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</si>
  <si>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</si>
  <si>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</si>
  <si>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</si>
  <si>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</si>
  <si>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</si>
  <si>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</si>
  <si>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</si>
  <si>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</si>
  <si>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</si>
  <si>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</si>
  <si>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</si>
  <si>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</si>
  <si>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</si>
  <si>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</si>
  <si>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</si>
  <si>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</si>
  <si>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</si>
  <si>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</si>
  <si>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</si>
  <si>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</si>
  <si>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</si>
  <si>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</si>
  <si>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</si>
  <si>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</si>
  <si>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</si>
  <si>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</si>
  <si>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</si>
  <si>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</si>
  <si>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</si>
  <si>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</si>
  <si>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</si>
  <si>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</si>
  <si>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</si>
  <si>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</si>
  <si>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</si>
  <si>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</si>
  <si>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</si>
  <si>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</si>
  <si>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</si>
  <si>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</si>
  <si>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</si>
  <si>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</si>
  <si>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</si>
  <si>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</si>
  <si>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</si>
  <si>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</si>
  <si>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</si>
  <si>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</si>
  <si>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</si>
  <si>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</si>
  <si>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</si>
  <si>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</si>
  <si>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</si>
  <si>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</si>
  <si>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</si>
  <si>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</si>
  <si>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</si>
  <si>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</si>
  <si>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</si>
  <si>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</si>
  <si>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</si>
  <si>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</si>
  <si>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</si>
  <si>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</si>
  <si>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</si>
  <si>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</si>
  <si>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</si>
  <si>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</si>
  <si>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</si>
  <si>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</si>
  <si>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</si>
  <si>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</si>
  <si>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</si>
  <si>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</si>
  <si>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</si>
  <si>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</si>
  <si>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</si>
  <si>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</si>
  <si>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</si>
  <si>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</si>
  <si>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</si>
  <si>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</si>
  <si>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</si>
  <si>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</si>
  <si>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</si>
  <si>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</si>
  <si>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</si>
  <si>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</si>
  <si>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</si>
  <si>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</si>
  <si>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</si>
  <si>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</si>
  <si>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</si>
  <si>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</si>
  <si>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</si>
  <si>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</si>
  <si>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</si>
  <si>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</si>
  <si>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</si>
  <si>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</si>
  <si>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</si>
  <si>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</si>
  <si>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</si>
  <si>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</si>
  <si>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</si>
  <si>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</si>
  <si>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</si>
  <si>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</si>
  <si>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</si>
  <si>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</si>
  <si>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</si>
  <si>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</si>
  <si>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</si>
  <si>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</si>
  <si>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</si>
  <si>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</si>
  <si>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</si>
  <si>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</si>
  <si>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</si>
  <si>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</si>
  <si>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</si>
  <si>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</si>
  <si>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</si>
  <si>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</si>
  <si>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</si>
  <si>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</si>
  <si>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</si>
  <si>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</si>
  <si>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</si>
  <si>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</si>
  <si>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</si>
  <si>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</si>
  <si>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</si>
  <si>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</si>
  <si>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</si>
  <si>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</si>
  <si>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</si>
  <si>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</si>
  <si>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</si>
  <si>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</si>
  <si>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</si>
  <si>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</si>
  <si>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</si>
  <si>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</si>
  <si>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</si>
  <si>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</si>
  <si>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</si>
  <si>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</si>
  <si>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</si>
  <si>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</si>
  <si>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</si>
  <si>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</si>
  <si>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</si>
  <si>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</si>
  <si>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</si>
  <si>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</si>
  <si>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</si>
  <si>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</si>
  <si>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</si>
  <si>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</si>
  <si>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</si>
  <si>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</si>
  <si>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</si>
  <si>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</si>
  <si>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</si>
  <si>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</si>
  <si>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</si>
  <si>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</si>
  <si>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</si>
  <si>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</si>
  <si>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</si>
  <si>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</si>
  <si>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</si>
  <si>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</si>
  <si>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</si>
  <si>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</si>
  <si>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</si>
  <si>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</si>
  <si>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</si>
  <si>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</si>
  <si>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</si>
  <si>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</si>
  <si>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</si>
  <si>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</si>
  <si>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</si>
  <si>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</si>
  <si>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</si>
  <si>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</si>
  <si>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</si>
  <si>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</si>
  <si>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</si>
  <si>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</si>
  <si>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</si>
  <si>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</si>
  <si>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</si>
  <si>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</si>
  <si>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</si>
  <si>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</si>
  <si>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</si>
  <si>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</si>
  <si>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</si>
  <si>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</si>
  <si>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</si>
  <si>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</si>
  <si>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</si>
  <si>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</si>
  <si>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</si>
  <si>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</si>
  <si>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</si>
  <si>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</si>
  <si>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</si>
  <si>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</si>
  <si>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</si>
  <si>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</si>
  <si>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</si>
  <si>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</si>
  <si>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</si>
  <si>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</si>
  <si>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</si>
  <si>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</si>
  <si>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</si>
  <si>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</si>
  <si>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</si>
  <si>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</si>
  <si>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</si>
  <si>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</si>
  <si>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</si>
  <si>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</si>
  <si>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</si>
  <si>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</si>
  <si>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</si>
  <si>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</si>
  <si>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</si>
  <si>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</si>
  <si>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</si>
  <si>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</si>
  <si>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</si>
  <si>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</si>
  <si>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</si>
  <si>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</si>
  <si>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</si>
  <si>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</si>
  <si>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</si>
  <si>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</si>
  <si>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</si>
  <si>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</si>
  <si>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</si>
  <si>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</si>
  <si>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</si>
  <si>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</si>
  <si>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</si>
  <si>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</si>
  <si>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</si>
  <si>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</si>
  <si>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</si>
  <si>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</si>
  <si>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</si>
  <si>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</si>
  <si>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</si>
  <si>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</si>
  <si>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</si>
  <si>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</si>
  <si>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</si>
  <si>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</si>
  <si>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</si>
  <si>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</si>
  <si>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</si>
  <si>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</si>
  <si>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</si>
  <si>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</si>
  <si>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</si>
  <si>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</si>
  <si>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</si>
  <si>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</si>
  <si>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</si>
  <si>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</si>
  <si>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</si>
  <si>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</si>
  <si>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</si>
  <si>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</si>
  <si>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</si>
  <si>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</si>
  <si>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</si>
  <si>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</si>
  <si>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</si>
  <si>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</si>
  <si>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</si>
  <si>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</si>
  <si>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</si>
  <si>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</si>
  <si>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</si>
  <si>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</si>
  <si>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</si>
  <si>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</si>
  <si>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</si>
  <si>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</si>
  <si>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</si>
  <si>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</si>
  <si>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</si>
  <si>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</si>
  <si>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</si>
  <si>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</si>
  <si>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</si>
  <si>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</si>
  <si>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</si>
  <si>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</si>
  <si>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</si>
  <si>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</si>
  <si>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</si>
  <si>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</si>
  <si>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</si>
  <si>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</si>
  <si>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</si>
  <si>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</si>
  <si>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</si>
  <si>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</si>
  <si>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</si>
  <si>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</si>
  <si>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</si>
  <si>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</si>
  <si>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</si>
  <si>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</si>
  <si>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</si>
  <si>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</si>
  <si>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</si>
  <si>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</si>
  <si>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</si>
  <si>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</si>
  <si>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</si>
  <si>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</si>
  <si>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</si>
  <si>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</si>
  <si>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</si>
  <si>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</si>
  <si>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</si>
  <si>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</si>
  <si>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</si>
  <si>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</si>
  <si>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</si>
  <si>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</si>
  <si>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</si>
  <si>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</si>
  <si>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</si>
  <si>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</si>
  <si>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</si>
  <si>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</si>
  <si>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</si>
  <si>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</si>
  <si>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</si>
  <si>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</si>
  <si>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</si>
  <si>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</si>
  <si>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</si>
  <si>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</si>
  <si>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</si>
  <si>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</si>
  <si>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</si>
  <si>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</si>
  <si>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</si>
  <si>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</si>
  <si>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</si>
  <si>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</si>
  <si>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</si>
  <si>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</si>
  <si>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</si>
  <si>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</si>
  <si>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</si>
  <si>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</si>
  <si>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</si>
  <si>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</si>
  <si>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</si>
  <si>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</si>
  <si>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</si>
  <si>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</si>
  <si>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</si>
  <si>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</si>
  <si>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</si>
  <si>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</si>
  <si>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</si>
  <si>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</si>
  <si>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</si>
  <si>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</si>
  <si>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</si>
  <si>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</si>
  <si>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</si>
  <si>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</si>
  <si>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</si>
  <si>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</si>
  <si>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</si>
  <si>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</si>
  <si>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</si>
  <si>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</si>
  <si>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</si>
  <si>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</si>
  <si>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</si>
  <si>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</si>
  <si>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</si>
  <si>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</si>
  <si>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</si>
  <si>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</si>
  <si>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</si>
  <si>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</si>
  <si>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</si>
  <si>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</si>
  <si>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</si>
  <si>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</si>
  <si>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</si>
  <si>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</si>
  <si>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</si>
  <si>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</si>
  <si>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</si>
  <si>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</si>
  <si>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</si>
  <si>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</si>
  <si>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</si>
  <si>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</si>
  <si>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</si>
  <si>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</si>
  <si>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</si>
  <si>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</si>
  <si>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</si>
  <si>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</si>
  <si>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</si>
  <si>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</si>
  <si>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</si>
  <si>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</si>
  <si>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</si>
  <si>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</si>
  <si>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</si>
  <si>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</si>
  <si>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</si>
  <si>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</si>
  <si>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</si>
  <si>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</si>
  <si>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</si>
  <si>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</si>
  <si>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</si>
  <si>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</si>
  <si>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</si>
  <si>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</si>
  <si>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</si>
  <si>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</si>
  <si>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</si>
  <si>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</si>
  <si>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</si>
  <si>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</si>
  <si>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</si>
  <si>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</si>
  <si>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</si>
  <si>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</si>
  <si>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</si>
  <si>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</si>
  <si>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</si>
  <si>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</si>
  <si>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</si>
  <si>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</si>
  <si>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</si>
  <si>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</si>
  <si>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</si>
  <si>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</si>
  <si>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</si>
  <si>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</si>
  <si>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</si>
  <si>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</si>
  <si>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</si>
  <si>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</si>
  <si>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</si>
  <si>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</si>
  <si>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</si>
  <si>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</si>
  <si>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</si>
  <si>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</si>
  <si>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</si>
  <si>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</si>
  <si>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Bron: CH4 vee-model (VMM, januari 2021)</t>
  </si>
  <si>
    <t>EF CH4 per dier</t>
  </si>
  <si>
    <t xml:space="preserve">Emissiefactoren N2O en CH4 per dier </t>
  </si>
  <si>
    <t>Diesel hybride</t>
  </si>
  <si>
    <t/>
  </si>
  <si>
    <t>Fuel Cell H2</t>
  </si>
  <si>
    <t>H2</t>
  </si>
  <si>
    <t>Diesel Hybrid PHEV</t>
  </si>
  <si>
    <t>Petrol Hybrid CS</t>
  </si>
  <si>
    <t>Petrol Hybrid PHEV</t>
  </si>
  <si>
    <t>COPERT 5.4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</si>
  <si>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</si>
  <si>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</si>
  <si>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</si>
  <si>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</si>
  <si>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</si>
  <si>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</si>
  <si>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</si>
  <si>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</si>
  <si>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</si>
  <si>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</si>
  <si>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</si>
  <si>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</si>
  <si>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</si>
  <si>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</si>
  <si>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</si>
  <si>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</si>
  <si>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</si>
  <si>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</si>
  <si>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</si>
  <si>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</si>
  <si>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</si>
  <si>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VITO Energiebalans Vlaanderen (december 2021)</t>
  </si>
  <si>
    <t>versie: 2017_05</t>
  </si>
  <si>
    <t>2017_05</t>
  </si>
  <si>
    <t>update Energiebalans Vlaanderen voor huishoudens, tertiair, landbouw en industrie niet-ETS</t>
  </si>
  <si>
    <t xml:space="preserve">VITO Energiebalans Vlaanderen (december 2021) </t>
  </si>
  <si>
    <t>verdeling energiedragers huishoudens</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</si>
  <si>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</si>
  <si>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</si>
  <si>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</si>
  <si>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</si>
  <si>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</si>
  <si>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</si>
  <si>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</si>
  <si>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</si>
  <si>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</si>
  <si>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</si>
  <si>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</si>
  <si>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</si>
  <si>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12041</t>
  </si>
  <si>
    <t>PUURS-SINT-AMANDS</t>
  </si>
  <si>
    <t>vloeibaar gas (MWh)</t>
  </si>
  <si>
    <t>interne verbrandingsmotor</t>
  </si>
  <si>
    <t>WKK interne verbrandinsgmotor (gas)</t>
  </si>
  <si>
    <t>IVERLEK</t>
  </si>
  <si>
    <t>chemie</t>
  </si>
  <si>
    <t>andere wkk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</si>
</sst>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4" fillId="0" borderId="0"/>
    <xf numFmtId="0" fontId="3"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199" applyNumberFormat="0" applyAlignment="0" applyProtection="0"/>
    <xf numFmtId="0" fontId="120" fillId="34" borderId="200" applyNumberFormat="0" applyAlignment="0" applyProtection="0"/>
    <xf numFmtId="0" fontId="121" fillId="34" borderId="199" applyNumberFormat="0" applyAlignment="0" applyProtection="0"/>
    <xf numFmtId="0" fontId="122"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3"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4"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4"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5" fillId="0" borderId="206" applyNumberFormat="0" applyFill="0" applyBorder="0" applyProtection="0">
      <alignment horizontal="left" vertical="center"/>
    </xf>
    <xf numFmtId="0" fontId="28" fillId="0" borderId="206" applyNumberFormat="0" applyFill="0" applyAlignment="0" applyProtection="0"/>
    <xf numFmtId="0" fontId="127"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5"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5" fillId="0" borderId="210" applyNumberFormat="0" applyFill="0" applyBorder="0" applyProtection="0">
      <alignment horizontal="lef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3"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1"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2"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3"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28" fillId="0" borderId="0"/>
    <xf numFmtId="0" fontId="129" fillId="63" borderId="215">
      <alignment horizontal="center"/>
    </xf>
    <xf numFmtId="0" fontId="130" fillId="64" borderId="215"/>
    <xf numFmtId="0" fontId="130" fillId="65" borderId="215"/>
    <xf numFmtId="0" fontId="104" fillId="0" borderId="0"/>
    <xf numFmtId="0" fontId="129" fillId="63" borderId="215">
      <alignment horizontal="center"/>
    </xf>
    <xf numFmtId="0" fontId="130" fillId="64" borderId="215"/>
    <xf numFmtId="0" fontId="130" fillId="65" borderId="215"/>
    <xf numFmtId="0" fontId="6" fillId="0" borderId="0"/>
    <xf numFmtId="0" fontId="104" fillId="0" borderId="0"/>
    <xf numFmtId="9" fontId="104" fillId="0" borderId="0" applyFont="0" applyFill="0" applyBorder="0" applyAlignment="0" applyProtection="0"/>
    <xf numFmtId="0" fontId="6" fillId="0" borderId="0"/>
    <xf numFmtId="0" fontId="6" fillId="0" borderId="0"/>
    <xf numFmtId="0" fontId="128" fillId="0" borderId="0"/>
    <xf numFmtId="0" fontId="128" fillId="0" borderId="0"/>
    <xf numFmtId="0" fontId="128" fillId="0" borderId="0"/>
    <xf numFmtId="0" fontId="6" fillId="0" borderId="0"/>
    <xf numFmtId="173" fontId="25" fillId="8" borderId="213">
      <alignment horizontal="right" vertical="center"/>
    </xf>
    <xf numFmtId="0" fontId="128"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 fillId="9" borderId="213">
      <alignment horizontal="right" vertical="center"/>
    </xf>
    <xf numFmtId="0" fontId="104" fillId="0" borderId="0"/>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5"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0"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0"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29"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4" fillId="0" borderId="0"/>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280">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8"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2"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3"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2" fontId="0" fillId="0" borderId="0" xfId="0" applyNumberFormat="1" applyFill="1"/>
    <xf numFmtId="14" fontId="0" fillId="0" borderId="0" xfId="0" applyNumberFormat="1" applyFill="1"/>
    <xf numFmtId="172" fontId="73" fillId="0" borderId="0" xfId="148" quotePrefix="1" applyFill="1" applyAlignment="1" applyProtection="1"/>
    <xf numFmtId="179" fontId="24" fillId="0" borderId="0" xfId="0" applyNumberFormat="1" applyFont="1" applyBorder="1"/>
    <xf numFmtId="179" fontId="7" fillId="0" borderId="0" xfId="0" applyNumberFormat="1" applyFont="1"/>
    <xf numFmtId="179" fontId="0" fillId="0" borderId="0" xfId="0" applyNumberFormat="1"/>
    <xf numFmtId="179" fontId="25" fillId="0" borderId="0" xfId="0" applyNumberFormat="1" applyFont="1"/>
    <xf numFmtId="179"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7" fillId="12" borderId="184" xfId="0" applyNumberFormat="1" applyFont="1" applyFill="1" applyBorder="1" applyAlignment="1">
      <alignment horizontal="center" vertical="center" wrapText="1"/>
    </xf>
    <xf numFmtId="3" fontId="24" fillId="0" borderId="0" xfId="0" applyNumberFormat="1" applyFont="1"/>
    <xf numFmtId="3" fontId="107"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8"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09"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3"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2"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2"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3"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2"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0"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1" fontId="0" fillId="0" borderId="0" xfId="52" applyNumberFormat="1" applyFont="1"/>
    <xf numFmtId="181"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7" fillId="12" borderId="182" xfId="0" applyNumberFormat="1" applyFont="1" applyFill="1" applyBorder="1" applyAlignment="1">
      <alignment horizontal="center" vertical="center" wrapText="1"/>
    </xf>
    <xf numFmtId="3" fontId="107" fillId="12" borderId="183" xfId="0" applyNumberFormat="1" applyFont="1" applyFill="1" applyBorder="1" applyAlignment="1">
      <alignment horizontal="center" vertical="top" wrapText="1"/>
    </xf>
    <xf numFmtId="3" fontId="107" fillId="12" borderId="184"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1"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1" fontId="11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2"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2" fontId="0" fillId="0" borderId="0" xfId="173" applyNumberFormat="1" applyFont="1"/>
    <xf numFmtId="182" fontId="25" fillId="0" borderId="0" xfId="173" applyNumberFormat="1" applyFont="1"/>
    <xf numFmtId="182"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2"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52767BCA-EA17-4FAA-971C-9B4A10BCA3C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205752.90687809195</c:v>
                </c:pt>
                <c:pt idx="1">
                  <c:v>81195.06861793081</c:v>
                </c:pt>
                <c:pt idx="2">
                  <c:v>1944.28</c:v>
                </c:pt>
                <c:pt idx="3">
                  <c:v>15914.844952522764</c:v>
                </c:pt>
                <c:pt idx="4">
                  <c:v>320177.20321245783</c:v>
                </c:pt>
                <c:pt idx="5">
                  <c:v>509571.88192180399</c:v>
                </c:pt>
                <c:pt idx="6">
                  <c:v>1937.0753933232829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205752.90687809195</c:v>
                </c:pt>
                <c:pt idx="1">
                  <c:v>81195.06861793081</c:v>
                </c:pt>
                <c:pt idx="2">
                  <c:v>1944.28</c:v>
                </c:pt>
                <c:pt idx="3">
                  <c:v>15914.844952522764</c:v>
                </c:pt>
                <c:pt idx="4">
                  <c:v>320177.20321245783</c:v>
                </c:pt>
                <c:pt idx="5">
                  <c:v>509571.88192180399</c:v>
                </c:pt>
                <c:pt idx="6">
                  <c:v>1937.0753933232829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40429.454149339152</c:v>
                </c:pt>
                <c:pt idx="1">
                  <c:v>15818.11349386879</c:v>
                </c:pt>
                <c:pt idx="2">
                  <c:v>359.91674445310213</c:v>
                </c:pt>
                <c:pt idx="3">
                  <c:v>3852.1383691769061</c:v>
                </c:pt>
                <c:pt idx="4">
                  <c:v>63739.387532089713</c:v>
                </c:pt>
                <c:pt idx="5">
                  <c:v>127007.59303880019</c:v>
                </c:pt>
                <c:pt idx="6">
                  <c:v>487.82262197152573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40429.454149339152</c:v>
                </c:pt>
                <c:pt idx="1">
                  <c:v>15818.11349386879</c:v>
                </c:pt>
                <c:pt idx="2">
                  <c:v>359.91674445310213</c:v>
                </c:pt>
                <c:pt idx="3">
                  <c:v>3852.1383691769061</c:v>
                </c:pt>
                <c:pt idx="4">
                  <c:v>63739.387532089713</c:v>
                </c:pt>
                <c:pt idx="5">
                  <c:v>127007.59303880019</c:v>
                </c:pt>
                <c:pt idx="6">
                  <c:v>487.82262197152573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13" Type="http://schemas.openxmlformats.org/officeDocument/2006/relationships/printerSettings" Target="../printerSettings/printerSettings21.bin"/><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601</v>
      </c>
      <c r="B2" s="386"/>
      <c r="C2" s="387"/>
    </row>
    <row r="3" spans="1:7" s="11" customFormat="1" ht="15" customHeight="1">
      <c r="A3" s="93"/>
      <c r="B3" s="74"/>
      <c r="C3" s="94"/>
    </row>
    <row r="4" spans="1:7" s="11" customFormat="1" ht="15.75" customHeight="1" thickBot="1">
      <c r="A4" s="105" t="s">
        <v>863</v>
      </c>
      <c r="B4" s="106"/>
      <c r="C4" s="107"/>
    </row>
    <row r="5" spans="1:7" s="380" customFormat="1" ht="15.75" customHeight="1">
      <c r="A5" s="377" t="s">
        <v>0</v>
      </c>
      <c r="B5" s="378"/>
      <c r="C5" s="379"/>
    </row>
    <row r="6" spans="1:7" s="380" customFormat="1" ht="15" customHeight="1">
      <c r="A6" s="381" t="str">
        <f>txtNIS</f>
        <v>12041</v>
      </c>
      <c r="B6" s="382"/>
      <c r="C6" s="383"/>
    </row>
    <row r="7" spans="1:7" s="380" customFormat="1" ht="15.75" customHeight="1">
      <c r="A7" s="384" t="str">
        <f>txtMunicipality</f>
        <v>PUURS-SINT-AMANDS</v>
      </c>
      <c r="B7" s="382"/>
      <c r="C7" s="383"/>
    </row>
    <row r="8" spans="1:7" ht="15.75" thickBot="1">
      <c r="A8" s="45"/>
      <c r="B8" s="108"/>
      <c r="C8" s="109"/>
    </row>
    <row r="9" spans="1:7" s="373" customFormat="1" ht="15.75" thickBot="1">
      <c r="A9" s="397" t="s">
        <v>343</v>
      </c>
      <c r="B9" s="400"/>
      <c r="C9" s="401"/>
    </row>
    <row r="10" spans="1:7" s="15" customFormat="1" ht="57.75" customHeight="1" thickBot="1">
      <c r="A10" s="1027" t="s">
        <v>861</v>
      </c>
      <c r="B10" s="1028"/>
      <c r="C10" s="1029"/>
    </row>
    <row r="11" spans="1:7" s="374" customFormat="1" ht="15.75" thickBot="1">
      <c r="A11" s="397" t="s">
        <v>345</v>
      </c>
      <c r="B11" s="400"/>
      <c r="C11" s="401"/>
      <c r="G11" s="375"/>
    </row>
    <row r="12" spans="1:7">
      <c r="A12" s="44"/>
      <c r="B12" s="43"/>
      <c r="C12" s="96"/>
    </row>
    <row r="13" spans="1:7" s="374" customFormat="1">
      <c r="A13" s="728" t="s">
        <v>568</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30" t="s">
        <v>495</v>
      </c>
      <c r="C16" s="1031"/>
    </row>
    <row r="17" spans="1:3" s="15" customFormat="1" ht="15.75">
      <c r="A17" s="98"/>
      <c r="B17" s="70"/>
      <c r="C17" s="99"/>
    </row>
    <row r="18" spans="1:3">
      <c r="A18" s="95" t="s">
        <v>349</v>
      </c>
      <c r="B18" s="69" t="s">
        <v>361</v>
      </c>
      <c r="C18" s="100" t="s">
        <v>360</v>
      </c>
    </row>
    <row r="19" spans="1:3" s="330" customFormat="1">
      <c r="A19" s="364" t="s">
        <v>347</v>
      </c>
      <c r="B19" s="365" t="s">
        <v>727</v>
      </c>
      <c r="C19" s="366" t="s">
        <v>493</v>
      </c>
    </row>
    <row r="20" spans="1:3" s="330" customFormat="1">
      <c r="A20" s="367"/>
      <c r="B20" s="327"/>
      <c r="C20" s="368"/>
    </row>
    <row r="21" spans="1:3" s="330" customFormat="1">
      <c r="A21" s="369" t="s">
        <v>348</v>
      </c>
      <c r="B21" s="365" t="s">
        <v>490</v>
      </c>
      <c r="C21" s="366" t="s">
        <v>494</v>
      </c>
    </row>
    <row r="22" spans="1:3" s="330" customFormat="1">
      <c r="A22" s="370"/>
      <c r="B22" s="327"/>
      <c r="C22" s="368"/>
    </row>
    <row r="23" spans="1:3" s="330" customFormat="1" ht="30">
      <c r="A23" s="364" t="s">
        <v>412</v>
      </c>
      <c r="B23" s="434" t="s">
        <v>416</v>
      </c>
      <c r="C23" s="366" t="s">
        <v>491</v>
      </c>
    </row>
    <row r="24" spans="1:3" s="330" customFormat="1">
      <c r="A24" s="370"/>
      <c r="B24" s="327"/>
      <c r="C24" s="368"/>
    </row>
    <row r="25" spans="1:3" s="330" customFormat="1">
      <c r="A25" s="364" t="s">
        <v>414</v>
      </c>
      <c r="B25" s="365" t="s">
        <v>413</v>
      </c>
      <c r="C25" s="366" t="s">
        <v>492</v>
      </c>
    </row>
    <row r="26" spans="1:3" s="330" customFormat="1">
      <c r="A26" s="370"/>
      <c r="B26" s="327"/>
      <c r="C26" s="368"/>
    </row>
    <row r="27" spans="1:3" s="330" customFormat="1">
      <c r="A27" s="364" t="s">
        <v>387</v>
      </c>
      <c r="B27" s="365" t="s">
        <v>411</v>
      </c>
      <c r="C27" s="366"/>
    </row>
    <row r="28" spans="1:3" s="330" customFormat="1">
      <c r="A28" s="370"/>
      <c r="B28" s="327" t="s">
        <v>548</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444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366</v>
      </c>
      <c r="B2" s="746"/>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72" t="s">
        <v>606</v>
      </c>
      <c r="B6" s="406" t="s">
        <v>726</v>
      </c>
      <c r="C6" s="407" t="s">
        <v>344</v>
      </c>
    </row>
    <row r="7" spans="1:3" s="324" customFormat="1">
      <c r="A7" s="872" t="s">
        <v>690</v>
      </c>
      <c r="B7" s="408" t="s">
        <v>559</v>
      </c>
      <c r="C7" s="409" t="s">
        <v>558</v>
      </c>
    </row>
    <row r="8" spans="1:3" s="324" customFormat="1">
      <c r="A8" s="437"/>
      <c r="B8" s="408"/>
      <c r="C8" s="409"/>
    </row>
    <row r="9" spans="1:3" ht="21">
      <c r="A9" s="125" t="s">
        <v>445</v>
      </c>
      <c r="B9" s="124"/>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40" t="s">
        <v>209</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39"/>
      <c r="B4" s="439"/>
      <c r="C4" s="63"/>
      <c r="D4" s="63"/>
      <c r="E4" s="63"/>
      <c r="F4" s="63"/>
      <c r="G4" s="63"/>
      <c r="H4" s="63"/>
      <c r="I4" s="63"/>
      <c r="J4" s="63"/>
      <c r="K4" s="63"/>
      <c r="L4" s="63"/>
      <c r="M4" s="63"/>
      <c r="N4" s="63"/>
      <c r="O4" s="63"/>
      <c r="P4" s="63"/>
      <c r="Q4" s="63"/>
      <c r="R4" s="63"/>
    </row>
    <row r="5" spans="1:19" ht="16.5" thickBot="1">
      <c r="A5" s="1042" t="s">
        <v>210</v>
      </c>
      <c r="B5" s="752"/>
      <c r="C5" s="1045" t="s">
        <v>329</v>
      </c>
      <c r="D5" s="1046"/>
      <c r="E5" s="1046"/>
      <c r="F5" s="1046"/>
      <c r="G5" s="1046"/>
      <c r="H5" s="1046"/>
      <c r="I5" s="1046"/>
      <c r="J5" s="1046"/>
      <c r="K5" s="1046"/>
      <c r="L5" s="1046"/>
      <c r="M5" s="1046"/>
      <c r="N5" s="1046"/>
      <c r="O5" s="1046"/>
      <c r="P5" s="1046"/>
      <c r="Q5" s="1046"/>
      <c r="R5" s="1047"/>
    </row>
    <row r="6" spans="1:19" ht="16.5" thickTop="1">
      <c r="A6" s="1043"/>
      <c r="B6" s="753"/>
      <c r="C6" s="1048" t="s">
        <v>20</v>
      </c>
      <c r="D6" s="1050" t="s">
        <v>189</v>
      </c>
      <c r="E6" s="1052" t="s">
        <v>190</v>
      </c>
      <c r="F6" s="1053"/>
      <c r="G6" s="1053"/>
      <c r="H6" s="1053"/>
      <c r="I6" s="1053"/>
      <c r="J6" s="1053"/>
      <c r="K6" s="1053"/>
      <c r="L6" s="1054"/>
      <c r="M6" s="1052" t="s">
        <v>191</v>
      </c>
      <c r="N6" s="1053"/>
      <c r="O6" s="1053"/>
      <c r="P6" s="1053"/>
      <c r="Q6" s="1053"/>
      <c r="R6" s="1055" t="s">
        <v>109</v>
      </c>
    </row>
    <row r="7" spans="1:19" ht="45.75" thickBot="1">
      <c r="A7" s="1044"/>
      <c r="B7" s="754"/>
      <c r="C7" s="1049"/>
      <c r="D7" s="1051"/>
      <c r="E7" s="435" t="s">
        <v>192</v>
      </c>
      <c r="F7" s="435" t="s">
        <v>193</v>
      </c>
      <c r="G7" s="64" t="s">
        <v>194</v>
      </c>
      <c r="H7" s="435" t="s">
        <v>195</v>
      </c>
      <c r="I7" s="435" t="s">
        <v>113</v>
      </c>
      <c r="J7" s="435" t="s">
        <v>196</v>
      </c>
      <c r="K7" s="436" t="s">
        <v>197</v>
      </c>
      <c r="L7" s="436" t="s">
        <v>198</v>
      </c>
      <c r="M7" s="64" t="s">
        <v>199</v>
      </c>
      <c r="N7" s="65" t="s">
        <v>200</v>
      </c>
      <c r="O7" s="65" t="s">
        <v>201</v>
      </c>
      <c r="P7" s="65" t="s">
        <v>202</v>
      </c>
      <c r="Q7" s="66" t="s">
        <v>203</v>
      </c>
      <c r="R7" s="1056"/>
    </row>
    <row r="8" spans="1:19" ht="18.75" customHeight="1" thickTop="1">
      <c r="A8" s="760" t="s">
        <v>330</v>
      </c>
      <c r="B8" s="765"/>
      <c r="C8" s="1057"/>
      <c r="D8" s="1057"/>
      <c r="E8" s="1057"/>
      <c r="F8" s="1057"/>
      <c r="G8" s="1057"/>
      <c r="H8" s="1057"/>
      <c r="I8" s="1057"/>
      <c r="J8" s="1057"/>
      <c r="K8" s="1057"/>
      <c r="L8" s="1057"/>
      <c r="M8" s="1057"/>
      <c r="N8" s="1057"/>
      <c r="O8" s="1057"/>
      <c r="P8" s="1057"/>
      <c r="Q8" s="1057"/>
      <c r="R8" s="300"/>
    </row>
    <row r="9" spans="1:19" s="440" customFormat="1">
      <c r="A9" s="761" t="s">
        <v>211</v>
      </c>
      <c r="B9" s="766"/>
      <c r="C9" s="641">
        <f>'Eigen gebouwen'!B15</f>
        <v>0</v>
      </c>
      <c r="D9" s="641">
        <f>'Eigen gebouwen'!C15</f>
        <v>0</v>
      </c>
      <c r="E9" s="641">
        <f>'Eigen gebouwen'!D15</f>
        <v>0</v>
      </c>
      <c r="F9" s="641">
        <f>'Eigen gebouwen'!E15</f>
        <v>0</v>
      </c>
      <c r="G9" s="641">
        <f>'Eigen gebouwen'!F15</f>
        <v>0</v>
      </c>
      <c r="H9" s="641">
        <f>'Eigen gebouwen'!G15</f>
        <v>0</v>
      </c>
      <c r="I9" s="641">
        <f>'Eigen gebouwen'!H15</f>
        <v>0</v>
      </c>
      <c r="J9" s="641">
        <f>'Eigen gebouwen'!I15</f>
        <v>0</v>
      </c>
      <c r="K9" s="641">
        <f>'Eigen gebouwen'!J15</f>
        <v>0</v>
      </c>
      <c r="L9" s="641">
        <f>'Eigen gebouwen'!K15</f>
        <v>0</v>
      </c>
      <c r="M9" s="641">
        <f>'Eigen gebouwen'!L15</f>
        <v>0</v>
      </c>
      <c r="N9" s="641">
        <f>'Eigen gebouwen'!M15</f>
        <v>0</v>
      </c>
      <c r="O9" s="641">
        <f>'Eigen gebouwen'!N15</f>
        <v>0</v>
      </c>
      <c r="P9" s="641">
        <f>'Eigen gebouwen'!O15</f>
        <v>0</v>
      </c>
      <c r="Q9" s="642">
        <f>'Eigen gebouwen'!P15</f>
        <v>0</v>
      </c>
      <c r="R9" s="643">
        <f>SUM(C9:Q9)</f>
        <v>0</v>
      </c>
      <c r="S9" s="67"/>
    </row>
    <row r="10" spans="1:19" s="440" customFormat="1">
      <c r="A10" s="762" t="s">
        <v>212</v>
      </c>
      <c r="B10" s="767"/>
      <c r="C10" s="641">
        <f ca="1">tertiair!B16+'openbare verlichting'!B8</f>
        <v>36436.151465000003</v>
      </c>
      <c r="D10" s="641">
        <f ca="1">tertiair!C16</f>
        <v>96.428571428571431</v>
      </c>
      <c r="E10" s="641">
        <f ca="1">tertiair!D16</f>
        <v>36219.124160994856</v>
      </c>
      <c r="F10" s="641">
        <f>tertiair!E16</f>
        <v>92.861222857229379</v>
      </c>
      <c r="G10" s="641">
        <f ca="1">tertiair!F16</f>
        <v>7763.4661107825023</v>
      </c>
      <c r="H10" s="641">
        <f>tertiair!G16</f>
        <v>0</v>
      </c>
      <c r="I10" s="641">
        <f>tertiair!H16</f>
        <v>0</v>
      </c>
      <c r="J10" s="641">
        <f>tertiair!I16</f>
        <v>0</v>
      </c>
      <c r="K10" s="641">
        <f>tertiair!J16</f>
        <v>6.4187403418737077E-2</v>
      </c>
      <c r="L10" s="641">
        <f>tertiair!K16</f>
        <v>0</v>
      </c>
      <c r="M10" s="641">
        <f ca="1">tertiair!L16</f>
        <v>0</v>
      </c>
      <c r="N10" s="641">
        <f>tertiair!M16</f>
        <v>0</v>
      </c>
      <c r="O10" s="641">
        <f ca="1">tertiair!N16</f>
        <v>2368.7382237788943</v>
      </c>
      <c r="P10" s="641">
        <f>tertiair!O16</f>
        <v>4.8972607658411542</v>
      </c>
      <c r="Q10" s="642">
        <f>tertiair!P16</f>
        <v>157.61741491948504</v>
      </c>
      <c r="R10" s="644">
        <f ca="1">SUM(C10:Q10)</f>
        <v>83139.348617930809</v>
      </c>
      <c r="S10" s="67"/>
    </row>
    <row r="11" spans="1:19" s="440" customFormat="1">
      <c r="A11" s="761" t="s">
        <v>213</v>
      </c>
      <c r="B11" s="766"/>
      <c r="C11" s="641">
        <f>huishoudens!B8</f>
        <v>41202.629655248231</v>
      </c>
      <c r="D11" s="641">
        <f>huishoudens!C8</f>
        <v>0</v>
      </c>
      <c r="E11" s="641">
        <f>huishoudens!D8</f>
        <v>112102.25586824</v>
      </c>
      <c r="F11" s="641">
        <f>huishoudens!E8</f>
        <v>1880.996274276172</v>
      </c>
      <c r="G11" s="641">
        <f>huishoudens!F8</f>
        <v>36198.453075363897</v>
      </c>
      <c r="H11" s="641">
        <f>huishoudens!G8</f>
        <v>0</v>
      </c>
      <c r="I11" s="641">
        <f>huishoudens!H8</f>
        <v>0</v>
      </c>
      <c r="J11" s="641">
        <f>huishoudens!I8</f>
        <v>0</v>
      </c>
      <c r="K11" s="641">
        <f>huishoudens!J8</f>
        <v>185.23133722255437</v>
      </c>
      <c r="L11" s="641">
        <f>huishoudens!K8</f>
        <v>0</v>
      </c>
      <c r="M11" s="641">
        <f>huishoudens!L8</f>
        <v>0</v>
      </c>
      <c r="N11" s="641">
        <f>huishoudens!M8</f>
        <v>0</v>
      </c>
      <c r="O11" s="641">
        <f>huishoudens!N8</f>
        <v>12635.373325996683</v>
      </c>
      <c r="P11" s="641">
        <f>huishoudens!O8</f>
        <v>620.97892266814097</v>
      </c>
      <c r="Q11" s="642">
        <f>huishoudens!P8</f>
        <v>926.98841907628207</v>
      </c>
      <c r="R11" s="644">
        <f>SUM(C11:Q11)</f>
        <v>205752.90687809195</v>
      </c>
      <c r="S11" s="67"/>
    </row>
    <row r="12" spans="1:19" s="440" customFormat="1">
      <c r="A12" s="761" t="s">
        <v>477</v>
      </c>
      <c r="B12" s="766"/>
      <c r="C12" s="641">
        <f>'Eigen openbare verlichting'!B15</f>
        <v>0</v>
      </c>
      <c r="D12" s="641"/>
      <c r="E12" s="641"/>
      <c r="F12" s="641"/>
      <c r="G12" s="641"/>
      <c r="H12" s="641"/>
      <c r="I12" s="641"/>
      <c r="J12" s="641"/>
      <c r="K12" s="641"/>
      <c r="L12" s="641"/>
      <c r="M12" s="641"/>
      <c r="N12" s="641"/>
      <c r="O12" s="641"/>
      <c r="P12" s="641"/>
      <c r="Q12" s="641"/>
      <c r="R12" s="644">
        <f>SUM(C12:Q12)</f>
        <v>0</v>
      </c>
      <c r="S12" s="67"/>
    </row>
    <row r="13" spans="1:19" s="440" customFormat="1">
      <c r="A13" s="761" t="s">
        <v>590</v>
      </c>
      <c r="B13" s="770" t="s">
        <v>588</v>
      </c>
      <c r="C13" s="641">
        <f>industrie!B18</f>
        <v>137490.44763799998</v>
      </c>
      <c r="D13" s="641">
        <f>industrie!C18</f>
        <v>20944.28571428571</v>
      </c>
      <c r="E13" s="641">
        <f>industrie!D18</f>
        <v>133121.75816953258</v>
      </c>
      <c r="F13" s="641">
        <f>industrie!E18</f>
        <v>10931.421155242013</v>
      </c>
      <c r="G13" s="641">
        <f>industrie!F18</f>
        <v>14548.070945492458</v>
      </c>
      <c r="H13" s="641">
        <f>industrie!G18</f>
        <v>0</v>
      </c>
      <c r="I13" s="641">
        <f>industrie!H18</f>
        <v>0</v>
      </c>
      <c r="J13" s="641">
        <f>industrie!I18</f>
        <v>0</v>
      </c>
      <c r="K13" s="641">
        <f>industrie!J18</f>
        <v>152.64717071595337</v>
      </c>
      <c r="L13" s="641">
        <f>industrie!K18</f>
        <v>0</v>
      </c>
      <c r="M13" s="641">
        <f>industrie!L18</f>
        <v>0</v>
      </c>
      <c r="N13" s="641">
        <f>industrie!M18</f>
        <v>0</v>
      </c>
      <c r="O13" s="641">
        <f>industrie!N18</f>
        <v>2988.5724191891059</v>
      </c>
      <c r="P13" s="641">
        <f>industrie!O18</f>
        <v>0</v>
      </c>
      <c r="Q13" s="642">
        <f>industrie!P18</f>
        <v>0</v>
      </c>
      <c r="R13" s="644">
        <f>SUM(C13:Q13)</f>
        <v>320177.20321245783</v>
      </c>
      <c r="S13" s="67"/>
    </row>
    <row r="14" spans="1:19" s="440" customFormat="1">
      <c r="A14" s="761"/>
      <c r="B14" s="770" t="s">
        <v>589</v>
      </c>
      <c r="C14" s="641"/>
      <c r="D14" s="641"/>
      <c r="E14" s="641"/>
      <c r="F14" s="641"/>
      <c r="G14" s="641"/>
      <c r="H14" s="641"/>
      <c r="I14" s="641"/>
      <c r="J14" s="641"/>
      <c r="K14" s="641"/>
      <c r="L14" s="641"/>
      <c r="M14" s="641"/>
      <c r="N14" s="641"/>
      <c r="O14" s="641"/>
      <c r="P14" s="641"/>
      <c r="Q14" s="641"/>
      <c r="R14" s="644"/>
      <c r="S14" s="67"/>
    </row>
    <row r="15" spans="1:19" s="440" customFormat="1" ht="15" thickBot="1">
      <c r="A15" s="900" t="s">
        <v>682</v>
      </c>
      <c r="B15" s="901"/>
      <c r="C15" s="902"/>
      <c r="D15" s="902"/>
      <c r="E15" s="902"/>
      <c r="F15" s="902"/>
      <c r="G15" s="902"/>
      <c r="H15" s="902"/>
      <c r="I15" s="902"/>
      <c r="J15" s="902"/>
      <c r="K15" s="902"/>
      <c r="L15" s="902"/>
      <c r="M15" s="902"/>
      <c r="N15" s="902"/>
      <c r="O15" s="902"/>
      <c r="P15" s="902"/>
      <c r="Q15" s="903"/>
      <c r="R15" s="643"/>
      <c r="S15" s="67"/>
    </row>
    <row r="16" spans="1:19" s="440" customFormat="1" ht="15.75" thickBot="1">
      <c r="A16" s="645" t="s">
        <v>214</v>
      </c>
      <c r="B16" s="768"/>
      <c r="C16" s="677">
        <f ca="1">SUM(C9:C15)</f>
        <v>215129.22875824821</v>
      </c>
      <c r="D16" s="677">
        <f t="shared" ref="D16:R16" ca="1" si="0">SUM(D9:D15)</f>
        <v>21040.714285714283</v>
      </c>
      <c r="E16" s="677">
        <f t="shared" ca="1" si="0"/>
        <v>281443.13819876744</v>
      </c>
      <c r="F16" s="677">
        <f t="shared" si="0"/>
        <v>12905.278652375415</v>
      </c>
      <c r="G16" s="677">
        <f t="shared" ca="1" si="0"/>
        <v>58509.990131638857</v>
      </c>
      <c r="H16" s="677">
        <f t="shared" si="0"/>
        <v>0</v>
      </c>
      <c r="I16" s="677">
        <f t="shared" si="0"/>
        <v>0</v>
      </c>
      <c r="J16" s="677">
        <f t="shared" si="0"/>
        <v>0</v>
      </c>
      <c r="K16" s="677">
        <f t="shared" si="0"/>
        <v>337.94269534192648</v>
      </c>
      <c r="L16" s="677">
        <f t="shared" si="0"/>
        <v>0</v>
      </c>
      <c r="M16" s="677">
        <f t="shared" ca="1" si="0"/>
        <v>0</v>
      </c>
      <c r="N16" s="677">
        <f t="shared" si="0"/>
        <v>0</v>
      </c>
      <c r="O16" s="677">
        <f t="shared" ca="1" si="0"/>
        <v>17992.683968964684</v>
      </c>
      <c r="P16" s="677">
        <f t="shared" si="0"/>
        <v>625.87618343398208</v>
      </c>
      <c r="Q16" s="677">
        <f t="shared" si="0"/>
        <v>1084.6058339957672</v>
      </c>
      <c r="R16" s="677">
        <f t="shared" ca="1" si="0"/>
        <v>609069.45870848058</v>
      </c>
      <c r="S16" s="67"/>
    </row>
    <row r="17" spans="1:19" s="440" customFormat="1" ht="15.75">
      <c r="A17" s="763" t="s">
        <v>215</v>
      </c>
      <c r="B17" s="681"/>
      <c r="C17" s="1058"/>
      <c r="D17" s="1058"/>
      <c r="E17" s="1058"/>
      <c r="F17" s="1058"/>
      <c r="G17" s="1058"/>
      <c r="H17" s="1058"/>
      <c r="I17" s="1058"/>
      <c r="J17" s="1058"/>
      <c r="K17" s="1058"/>
      <c r="L17" s="1058"/>
      <c r="M17" s="1058"/>
      <c r="N17" s="1058"/>
      <c r="O17" s="1058"/>
      <c r="P17" s="1058"/>
      <c r="Q17" s="1058"/>
      <c r="R17" s="646"/>
      <c r="S17" s="67"/>
    </row>
    <row r="18" spans="1:19" s="440" customFormat="1">
      <c r="A18" s="761" t="s">
        <v>216</v>
      </c>
      <c r="B18" s="766"/>
      <c r="C18" s="641">
        <f>'Eigen vloot'!B27</f>
        <v>0</v>
      </c>
      <c r="D18" s="641">
        <f>'Eigen vloot'!C27</f>
        <v>0</v>
      </c>
      <c r="E18" s="641">
        <f>'Eigen vloot'!D27</f>
        <v>0</v>
      </c>
      <c r="F18" s="641">
        <f>'Eigen vloot'!E27</f>
        <v>0</v>
      </c>
      <c r="G18" s="641">
        <f>'Eigen vloot'!F27</f>
        <v>0</v>
      </c>
      <c r="H18" s="641">
        <f>'Eigen vloot'!G27</f>
        <v>0</v>
      </c>
      <c r="I18" s="641">
        <f>'Eigen vloot'!H27</f>
        <v>0</v>
      </c>
      <c r="J18" s="641">
        <f>'Eigen vloot'!I27</f>
        <v>0</v>
      </c>
      <c r="K18" s="641">
        <f>'Eigen vloot'!J27</f>
        <v>0</v>
      </c>
      <c r="L18" s="641">
        <f>'Eigen vloot'!K27</f>
        <v>0</v>
      </c>
      <c r="M18" s="641">
        <f>'Eigen vloot'!L27</f>
        <v>0</v>
      </c>
      <c r="N18" s="641">
        <f>'Eigen vloot'!M27</f>
        <v>0</v>
      </c>
      <c r="O18" s="641">
        <f>'Eigen vloot'!N27</f>
        <v>0</v>
      </c>
      <c r="P18" s="641">
        <f>'Eigen vloot'!O27</f>
        <v>0</v>
      </c>
      <c r="Q18" s="642">
        <f>'Eigen vloot'!P27</f>
        <v>0</v>
      </c>
      <c r="R18" s="644">
        <f>SUM(C18:Q18)</f>
        <v>0</v>
      </c>
      <c r="S18" s="67"/>
    </row>
    <row r="19" spans="1:19" s="440" customFormat="1">
      <c r="A19" s="761" t="s">
        <v>217</v>
      </c>
      <c r="B19" s="766"/>
      <c r="C19" s="641">
        <f>transport!B54</f>
        <v>24.978541318202769</v>
      </c>
      <c r="D19" s="641">
        <f>transport!C54</f>
        <v>0</v>
      </c>
      <c r="E19" s="641">
        <f>transport!D54</f>
        <v>0</v>
      </c>
      <c r="F19" s="641">
        <f>transport!E54</f>
        <v>0</v>
      </c>
      <c r="G19" s="641">
        <f>transport!F54</f>
        <v>0</v>
      </c>
      <c r="H19" s="641">
        <f>transport!G54</f>
        <v>1809.7329660028067</v>
      </c>
      <c r="I19" s="641">
        <f>transport!H54</f>
        <v>0</v>
      </c>
      <c r="J19" s="641">
        <f>transport!I54</f>
        <v>0</v>
      </c>
      <c r="K19" s="641">
        <f>transport!J54</f>
        <v>0</v>
      </c>
      <c r="L19" s="641">
        <f>transport!K54</f>
        <v>0</v>
      </c>
      <c r="M19" s="641">
        <f>transport!L54</f>
        <v>0</v>
      </c>
      <c r="N19" s="641">
        <f>transport!M54</f>
        <v>102.36388600227339</v>
      </c>
      <c r="O19" s="641">
        <f>transport!N54</f>
        <v>0</v>
      </c>
      <c r="P19" s="641">
        <f>transport!O54</f>
        <v>0</v>
      </c>
      <c r="Q19" s="642">
        <f>transport!P54</f>
        <v>0</v>
      </c>
      <c r="R19" s="644">
        <f>SUM(C19:Q19)</f>
        <v>1937.0753933232829</v>
      </c>
      <c r="S19" s="67"/>
    </row>
    <row r="20" spans="1:19" s="440" customFormat="1">
      <c r="A20" s="761" t="s">
        <v>295</v>
      </c>
      <c r="B20" s="766"/>
      <c r="C20" s="641">
        <f>transport!B14</f>
        <v>461.15838542301219</v>
      </c>
      <c r="D20" s="641">
        <f>transport!C14</f>
        <v>0</v>
      </c>
      <c r="E20" s="641">
        <f>transport!D14</f>
        <v>793.99974745053385</v>
      </c>
      <c r="F20" s="641">
        <f>transport!E14</f>
        <v>701.54191595765644</v>
      </c>
      <c r="G20" s="641">
        <f>transport!F14</f>
        <v>0</v>
      </c>
      <c r="H20" s="641">
        <f>transport!G14</f>
        <v>402750.67884546315</v>
      </c>
      <c r="I20" s="641">
        <f>transport!H14</f>
        <v>76578.940433330819</v>
      </c>
      <c r="J20" s="641">
        <f>transport!I14</f>
        <v>0</v>
      </c>
      <c r="K20" s="641">
        <f>transport!J14</f>
        <v>0</v>
      </c>
      <c r="L20" s="641">
        <f>transport!K14</f>
        <v>0</v>
      </c>
      <c r="M20" s="641">
        <f>transport!L14</f>
        <v>0</v>
      </c>
      <c r="N20" s="641">
        <f>transport!M14</f>
        <v>28285.562594178849</v>
      </c>
      <c r="O20" s="641">
        <f>transport!N14</f>
        <v>0</v>
      </c>
      <c r="P20" s="641">
        <f>transport!O14</f>
        <v>0</v>
      </c>
      <c r="Q20" s="642">
        <f>transport!P14</f>
        <v>0</v>
      </c>
      <c r="R20" s="644">
        <f>SUM(C20:Q20)</f>
        <v>509571.88192180399</v>
      </c>
      <c r="S20" s="67"/>
    </row>
    <row r="21" spans="1:19" s="440" customFormat="1" ht="15" thickBot="1">
      <c r="A21" s="783" t="s">
        <v>685</v>
      </c>
      <c r="B21" s="901"/>
      <c r="C21" s="902"/>
      <c r="D21" s="902"/>
      <c r="E21" s="902"/>
      <c r="F21" s="902"/>
      <c r="G21" s="902"/>
      <c r="H21" s="902"/>
      <c r="I21" s="902"/>
      <c r="J21" s="902"/>
      <c r="K21" s="902"/>
      <c r="L21" s="902"/>
      <c r="M21" s="902"/>
      <c r="N21" s="902"/>
      <c r="O21" s="902"/>
      <c r="P21" s="902"/>
      <c r="Q21" s="903"/>
      <c r="R21" s="643"/>
      <c r="S21" s="67"/>
    </row>
    <row r="22" spans="1:19" s="440" customFormat="1" ht="15.75" thickBot="1">
      <c r="A22" s="649" t="s">
        <v>218</v>
      </c>
      <c r="B22" s="769"/>
      <c r="C22" s="764">
        <f>SUM(C18:C21)</f>
        <v>486.13692674121495</v>
      </c>
      <c r="D22" s="764">
        <f t="shared" ref="D22:R22" si="1">SUM(D18:D21)</f>
        <v>0</v>
      </c>
      <c r="E22" s="764">
        <f t="shared" si="1"/>
        <v>793.99974745053385</v>
      </c>
      <c r="F22" s="764">
        <f t="shared" si="1"/>
        <v>701.54191595765644</v>
      </c>
      <c r="G22" s="764">
        <f t="shared" si="1"/>
        <v>0</v>
      </c>
      <c r="H22" s="764">
        <f t="shared" si="1"/>
        <v>404560.41181146598</v>
      </c>
      <c r="I22" s="764">
        <f t="shared" si="1"/>
        <v>76578.940433330819</v>
      </c>
      <c r="J22" s="764">
        <f t="shared" si="1"/>
        <v>0</v>
      </c>
      <c r="K22" s="764">
        <f t="shared" si="1"/>
        <v>0</v>
      </c>
      <c r="L22" s="764">
        <f t="shared" si="1"/>
        <v>0</v>
      </c>
      <c r="M22" s="764">
        <f t="shared" si="1"/>
        <v>0</v>
      </c>
      <c r="N22" s="764">
        <f t="shared" si="1"/>
        <v>28387.926480181122</v>
      </c>
      <c r="O22" s="764">
        <f t="shared" si="1"/>
        <v>0</v>
      </c>
      <c r="P22" s="764">
        <f t="shared" si="1"/>
        <v>0</v>
      </c>
      <c r="Q22" s="764">
        <f t="shared" si="1"/>
        <v>0</v>
      </c>
      <c r="R22" s="764">
        <f t="shared" si="1"/>
        <v>511508.95731512725</v>
      </c>
      <c r="S22" s="67"/>
    </row>
    <row r="23" spans="1:19" s="440" customFormat="1" ht="15.75">
      <c r="A23" s="763" t="s">
        <v>225</v>
      </c>
      <c r="B23" s="681"/>
      <c r="C23" s="1058"/>
      <c r="D23" s="1058"/>
      <c r="E23" s="1058"/>
      <c r="F23" s="1058"/>
      <c r="G23" s="1058"/>
      <c r="H23" s="1058"/>
      <c r="I23" s="1058"/>
      <c r="J23" s="1058"/>
      <c r="K23" s="1058"/>
      <c r="L23" s="1058"/>
      <c r="M23" s="1058"/>
      <c r="N23" s="1058"/>
      <c r="O23" s="1058"/>
      <c r="P23" s="1058"/>
      <c r="Q23" s="1058"/>
      <c r="R23" s="646"/>
      <c r="S23" s="67"/>
    </row>
    <row r="24" spans="1:19" s="440" customFormat="1">
      <c r="A24" s="761" t="s">
        <v>585</v>
      </c>
      <c r="B24" s="766"/>
      <c r="C24" s="641">
        <f>+landbouw!B8</f>
        <v>1112.8168910000002</v>
      </c>
      <c r="D24" s="641">
        <f>+landbouw!C8</f>
        <v>9848.5714285714294</v>
      </c>
      <c r="E24" s="641">
        <f>+landbouw!D8</f>
        <v>655.64975852913994</v>
      </c>
      <c r="F24" s="641">
        <f>+landbouw!E8</f>
        <v>45.209799678319122</v>
      </c>
      <c r="G24" s="641">
        <f>+landbouw!F8</f>
        <v>3936.4227286320806</v>
      </c>
      <c r="H24" s="641">
        <f>+landbouw!G8</f>
        <v>0</v>
      </c>
      <c r="I24" s="641">
        <f>+landbouw!H8</f>
        <v>0</v>
      </c>
      <c r="J24" s="641">
        <f>+landbouw!I8</f>
        <v>0</v>
      </c>
      <c r="K24" s="641">
        <f>+landbouw!J8</f>
        <v>316.17434611179533</v>
      </c>
      <c r="L24" s="641">
        <f>+landbouw!K8</f>
        <v>0</v>
      </c>
      <c r="M24" s="641">
        <f>+landbouw!L8</f>
        <v>0</v>
      </c>
      <c r="N24" s="641">
        <f>+landbouw!M8</f>
        <v>0</v>
      </c>
      <c r="O24" s="641">
        <f>+landbouw!N8</f>
        <v>0</v>
      </c>
      <c r="P24" s="641">
        <f>+landbouw!O8</f>
        <v>0</v>
      </c>
      <c r="Q24" s="642">
        <f>+landbouw!P8</f>
        <v>0</v>
      </c>
      <c r="R24" s="644">
        <f>SUM(C24:Q24)</f>
        <v>15914.844952522764</v>
      </c>
      <c r="S24" s="67"/>
    </row>
    <row r="25" spans="1:19" s="440" customFormat="1" ht="15" thickBot="1">
      <c r="A25" s="783" t="s">
        <v>683</v>
      </c>
      <c r="B25" s="901"/>
      <c r="C25" s="902">
        <f>IF(Onbekend_ele_kWh="---",0,Onbekend_ele_kWh)/1000+IF(REST_rest_ele_kWh="---",0,REST_rest_ele_kWh)/1000</f>
        <v>1116.0788340000001</v>
      </c>
      <c r="D25" s="902"/>
      <c r="E25" s="902">
        <f>IF(onbekend_gas_kWh="---",0,onbekend_gas_kWh)/1000+IF(REST_rest_gas_kWh="---",0,REST_rest_gas_kWh)/1000</f>
        <v>3396.806458</v>
      </c>
      <c r="F25" s="902"/>
      <c r="G25" s="902"/>
      <c r="H25" s="902"/>
      <c r="I25" s="902"/>
      <c r="J25" s="902"/>
      <c r="K25" s="902"/>
      <c r="L25" s="902"/>
      <c r="M25" s="902"/>
      <c r="N25" s="902"/>
      <c r="O25" s="902"/>
      <c r="P25" s="902"/>
      <c r="Q25" s="903"/>
      <c r="R25" s="644">
        <f>SUM(C25:Q25)</f>
        <v>4512.8852919999999</v>
      </c>
      <c r="S25" s="67"/>
    </row>
    <row r="26" spans="1:19" s="440" customFormat="1" ht="15.75" thickBot="1">
      <c r="A26" s="649" t="s">
        <v>684</v>
      </c>
      <c r="B26" s="769"/>
      <c r="C26" s="764">
        <f>SUM(C24:C25)</f>
        <v>2228.8957250000003</v>
      </c>
      <c r="D26" s="764">
        <f t="shared" ref="D26:R26" si="2">SUM(D24:D25)</f>
        <v>9848.5714285714294</v>
      </c>
      <c r="E26" s="764">
        <f t="shared" si="2"/>
        <v>4052.45621652914</v>
      </c>
      <c r="F26" s="764">
        <f t="shared" si="2"/>
        <v>45.209799678319122</v>
      </c>
      <c r="G26" s="764">
        <f t="shared" si="2"/>
        <v>3936.4227286320806</v>
      </c>
      <c r="H26" s="764">
        <f t="shared" si="2"/>
        <v>0</v>
      </c>
      <c r="I26" s="764">
        <f t="shared" si="2"/>
        <v>0</v>
      </c>
      <c r="J26" s="764">
        <f t="shared" si="2"/>
        <v>0</v>
      </c>
      <c r="K26" s="764">
        <f t="shared" si="2"/>
        <v>316.17434611179533</v>
      </c>
      <c r="L26" s="764">
        <f t="shared" si="2"/>
        <v>0</v>
      </c>
      <c r="M26" s="764">
        <f t="shared" si="2"/>
        <v>0</v>
      </c>
      <c r="N26" s="764">
        <f t="shared" si="2"/>
        <v>0</v>
      </c>
      <c r="O26" s="764">
        <f t="shared" si="2"/>
        <v>0</v>
      </c>
      <c r="P26" s="764">
        <f t="shared" si="2"/>
        <v>0</v>
      </c>
      <c r="Q26" s="764">
        <f t="shared" si="2"/>
        <v>0</v>
      </c>
      <c r="R26" s="764">
        <f t="shared" si="2"/>
        <v>20427.730244522765</v>
      </c>
      <c r="S26" s="67"/>
    </row>
    <row r="27" spans="1:19" s="440" customFormat="1" ht="17.25" thickTop="1" thickBot="1">
      <c r="A27" s="650" t="s">
        <v>109</v>
      </c>
      <c r="B27" s="756"/>
      <c r="C27" s="651">
        <f ca="1">C22+C16+C26</f>
        <v>217844.26140998944</v>
      </c>
      <c r="D27" s="651">
        <f t="shared" ref="D27:R27" ca="1" si="3">D22+D16+D26</f>
        <v>30889.28571428571</v>
      </c>
      <c r="E27" s="651">
        <f t="shared" ca="1" si="3"/>
        <v>286289.59416274709</v>
      </c>
      <c r="F27" s="651">
        <f t="shared" si="3"/>
        <v>13652.03036801139</v>
      </c>
      <c r="G27" s="651">
        <f t="shared" ca="1" si="3"/>
        <v>62446.412860270939</v>
      </c>
      <c r="H27" s="651">
        <f t="shared" si="3"/>
        <v>404560.41181146598</v>
      </c>
      <c r="I27" s="651">
        <f t="shared" si="3"/>
        <v>76578.940433330819</v>
      </c>
      <c r="J27" s="651">
        <f t="shared" si="3"/>
        <v>0</v>
      </c>
      <c r="K27" s="651">
        <f t="shared" si="3"/>
        <v>654.11704145372187</v>
      </c>
      <c r="L27" s="651">
        <f t="shared" si="3"/>
        <v>0</v>
      </c>
      <c r="M27" s="651">
        <f t="shared" ca="1" si="3"/>
        <v>0</v>
      </c>
      <c r="N27" s="651">
        <f t="shared" si="3"/>
        <v>28387.926480181122</v>
      </c>
      <c r="O27" s="651">
        <f t="shared" ca="1" si="3"/>
        <v>17992.683968964684</v>
      </c>
      <c r="P27" s="651">
        <f t="shared" si="3"/>
        <v>625.87618343398208</v>
      </c>
      <c r="Q27" s="651">
        <f t="shared" si="3"/>
        <v>1084.6058339957672</v>
      </c>
      <c r="R27" s="651">
        <f t="shared" ca="1" si="3"/>
        <v>1141006.1462681305</v>
      </c>
      <c r="S27" s="67"/>
    </row>
    <row r="28" spans="1:19" ht="15.75" customHeight="1" thickBot="1">
      <c r="A28" s="652"/>
      <c r="B28" s="652"/>
      <c r="C28" s="653"/>
      <c r="D28" s="653"/>
      <c r="E28" s="653"/>
      <c r="F28" s="653"/>
      <c r="G28" s="653"/>
      <c r="H28" s="653"/>
      <c r="I28" s="653"/>
      <c r="J28" s="653"/>
      <c r="K28" s="653"/>
      <c r="L28" s="653"/>
      <c r="M28" s="653"/>
      <c r="N28" s="653"/>
      <c r="O28" s="653"/>
      <c r="P28" s="653"/>
      <c r="Q28" s="653"/>
      <c r="R28" s="653"/>
    </row>
    <row r="29" spans="1:19" ht="41.25" customHeight="1" thickTop="1" thickBot="1">
      <c r="A29" s="654" t="s">
        <v>331</v>
      </c>
      <c r="B29" s="654"/>
      <c r="C29" s="655">
        <f>'EF ele_warmte'!B5</f>
        <v>0</v>
      </c>
      <c r="D29" s="656"/>
      <c r="E29" s="657"/>
      <c r="F29" s="656"/>
      <c r="G29" s="656"/>
      <c r="H29" s="656"/>
      <c r="I29" s="656"/>
      <c r="J29" s="656"/>
      <c r="K29" s="656"/>
      <c r="L29" s="656"/>
      <c r="M29" s="656"/>
      <c r="N29" s="656"/>
      <c r="O29" s="656"/>
      <c r="P29" s="656"/>
      <c r="Q29" s="656"/>
      <c r="R29" s="656"/>
    </row>
    <row r="30" spans="1:19" ht="31.5" thickTop="1" thickBot="1">
      <c r="A30" s="658" t="s">
        <v>332</v>
      </c>
      <c r="B30" s="658"/>
      <c r="C30" s="659" t="s">
        <v>204</v>
      </c>
      <c r="D30" s="660"/>
      <c r="E30" s="660"/>
      <c r="F30" s="660"/>
      <c r="G30" s="660"/>
      <c r="H30" s="661"/>
      <c r="I30" s="662"/>
      <c r="J30" s="662"/>
      <c r="K30" s="662"/>
      <c r="L30" s="662"/>
      <c r="M30" s="662"/>
      <c r="N30" s="662"/>
      <c r="O30" s="662"/>
      <c r="P30" s="662"/>
      <c r="Q30" s="662"/>
      <c r="R30" s="662"/>
    </row>
    <row r="31" spans="1:19" ht="15" thickTop="1">
      <c r="A31" s="1059"/>
      <c r="B31" s="1059"/>
      <c r="C31" s="1059"/>
      <c r="D31" s="663"/>
      <c r="E31" s="662"/>
      <c r="F31" s="662"/>
      <c r="G31" s="662"/>
      <c r="H31" s="662"/>
      <c r="I31" s="662"/>
      <c r="J31" s="662"/>
      <c r="K31" s="662"/>
      <c r="L31" s="662"/>
      <c r="M31" s="662"/>
      <c r="N31" s="662"/>
      <c r="O31" s="662"/>
      <c r="P31" s="662"/>
      <c r="Q31" s="662"/>
      <c r="R31" s="662"/>
    </row>
    <row r="32" spans="1:19" ht="15.75">
      <c r="A32" s="664" t="s">
        <v>219</v>
      </c>
      <c r="B32" s="664"/>
      <c r="C32" s="663"/>
      <c r="D32" s="663"/>
      <c r="E32" s="662"/>
      <c r="F32" s="662"/>
      <c r="G32" s="662"/>
      <c r="H32" s="662"/>
      <c r="I32" s="662"/>
      <c r="J32" s="662"/>
      <c r="K32" s="662"/>
      <c r="L32" s="662"/>
      <c r="M32" s="662"/>
      <c r="N32" s="662"/>
      <c r="O32" s="662"/>
      <c r="P32" s="662"/>
      <c r="Q32" s="662"/>
      <c r="R32" s="662"/>
    </row>
    <row r="33" spans="1:18">
      <c r="A33" s="1036"/>
      <c r="B33" s="1036"/>
      <c r="C33" s="1036"/>
      <c r="D33" s="1036"/>
      <c r="E33" s="1036"/>
      <c r="F33" s="1036"/>
      <c r="G33" s="1036"/>
      <c r="H33" s="1036"/>
      <c r="I33" s="1036"/>
      <c r="J33" s="1036"/>
      <c r="K33" s="1036"/>
      <c r="L33" s="1036"/>
      <c r="M33" s="1036"/>
      <c r="N33" s="1036"/>
      <c r="O33" s="1036"/>
      <c r="P33" s="1036"/>
      <c r="Q33" s="1036"/>
      <c r="R33" s="1036"/>
    </row>
    <row r="34" spans="1:18" ht="15.75" thickBot="1">
      <c r="A34" s="665"/>
      <c r="B34" s="665"/>
      <c r="C34" s="666"/>
      <c r="D34" s="666"/>
      <c r="E34" s="666"/>
      <c r="F34" s="666"/>
      <c r="G34" s="666"/>
      <c r="H34" s="666"/>
      <c r="I34" s="666"/>
      <c r="J34" s="666"/>
      <c r="K34" s="666"/>
      <c r="L34" s="666"/>
      <c r="M34" s="666"/>
      <c r="N34" s="666"/>
      <c r="O34" s="666"/>
      <c r="P34" s="666"/>
      <c r="Q34" s="666"/>
      <c r="R34" s="666"/>
    </row>
    <row r="35" spans="1:18" ht="17.25" thickTop="1" thickBot="1">
      <c r="A35" s="1097"/>
      <c r="B35" s="771"/>
      <c r="C35" s="1060" t="s">
        <v>333</v>
      </c>
      <c r="D35" s="1061"/>
      <c r="E35" s="1061"/>
      <c r="F35" s="1061"/>
      <c r="G35" s="1061"/>
      <c r="H35" s="1061"/>
      <c r="I35" s="1061"/>
      <c r="J35" s="1061"/>
      <c r="K35" s="1061"/>
      <c r="L35" s="1061"/>
      <c r="M35" s="1061"/>
      <c r="N35" s="1061"/>
      <c r="O35" s="1061"/>
      <c r="P35" s="1061"/>
      <c r="Q35" s="1061"/>
      <c r="R35" s="1062"/>
    </row>
    <row r="36" spans="1:18" ht="16.5" thickTop="1">
      <c r="A36" s="1098"/>
      <c r="B36" s="772"/>
      <c r="C36" s="1063" t="s">
        <v>20</v>
      </c>
      <c r="D36" s="1065" t="s">
        <v>220</v>
      </c>
      <c r="E36" s="1067" t="s">
        <v>190</v>
      </c>
      <c r="F36" s="1068"/>
      <c r="G36" s="1068"/>
      <c r="H36" s="1068"/>
      <c r="I36" s="1068"/>
      <c r="J36" s="1068"/>
      <c r="K36" s="1068"/>
      <c r="L36" s="1069"/>
      <c r="M36" s="1067" t="s">
        <v>191</v>
      </c>
      <c r="N36" s="1068"/>
      <c r="O36" s="1068"/>
      <c r="P36" s="1068"/>
      <c r="Q36" s="1068"/>
      <c r="R36" s="1037" t="s">
        <v>109</v>
      </c>
    </row>
    <row r="37" spans="1:18" ht="45.75" thickBot="1">
      <c r="A37" s="1098"/>
      <c r="B37" s="772"/>
      <c r="C37" s="1064"/>
      <c r="D37" s="1066"/>
      <c r="E37" s="667" t="s">
        <v>192</v>
      </c>
      <c r="F37" s="667" t="s">
        <v>193</v>
      </c>
      <c r="G37" s="667" t="s">
        <v>194</v>
      </c>
      <c r="H37" s="667" t="s">
        <v>195</v>
      </c>
      <c r="I37" s="667" t="s">
        <v>113</v>
      </c>
      <c r="J37" s="667" t="s">
        <v>196</v>
      </c>
      <c r="K37" s="668" t="s">
        <v>221</v>
      </c>
      <c r="L37" s="668" t="s">
        <v>198</v>
      </c>
      <c r="M37" s="64" t="s">
        <v>199</v>
      </c>
      <c r="N37" s="65" t="s">
        <v>200</v>
      </c>
      <c r="O37" s="667" t="s">
        <v>222</v>
      </c>
      <c r="P37" s="667" t="s">
        <v>223</v>
      </c>
      <c r="Q37" s="668" t="s">
        <v>203</v>
      </c>
      <c r="R37" s="1039"/>
    </row>
    <row r="38" spans="1:18" ht="17.25" thickTop="1" thickBot="1">
      <c r="A38" s="784" t="s">
        <v>330</v>
      </c>
      <c r="B38" s="785"/>
      <c r="C38" s="669" t="s">
        <v>224</v>
      </c>
      <c r="D38" s="670"/>
      <c r="E38" s="671"/>
      <c r="F38" s="671"/>
      <c r="G38" s="671"/>
      <c r="H38" s="671"/>
      <c r="I38" s="671"/>
      <c r="J38" s="671"/>
      <c r="K38" s="671"/>
      <c r="L38" s="671"/>
      <c r="M38" s="672"/>
      <c r="N38" s="672"/>
      <c r="O38" s="671"/>
      <c r="P38" s="672"/>
      <c r="Q38" s="673"/>
      <c r="R38" s="674"/>
    </row>
    <row r="39" spans="1:18" ht="15" thickTop="1">
      <c r="A39" s="757" t="s">
        <v>211</v>
      </c>
      <c r="B39" s="781"/>
      <c r="C39" s="641">
        <f ca="1">'Eigen gebouwen'!B19</f>
        <v>0</v>
      </c>
      <c r="D39" s="641">
        <f ca="1">'Eigen gebouwen'!C19</f>
        <v>0</v>
      </c>
      <c r="E39" s="641">
        <f>'Eigen gebouwen'!D19</f>
        <v>0</v>
      </c>
      <c r="F39" s="641">
        <f>'Eigen gebouwen'!E19</f>
        <v>0</v>
      </c>
      <c r="G39" s="641">
        <f>'Eigen gebouwen'!F19</f>
        <v>0</v>
      </c>
      <c r="H39" s="641">
        <f>'Eigen gebouwen'!G19</f>
        <v>0</v>
      </c>
      <c r="I39" s="641">
        <f>'Eigen gebouwen'!H19</f>
        <v>0</v>
      </c>
      <c r="J39" s="641">
        <f>'Eigen gebouwen'!I19</f>
        <v>0</v>
      </c>
      <c r="K39" s="641">
        <f>'Eigen gebouwen'!J19</f>
        <v>0</v>
      </c>
      <c r="L39" s="641">
        <f>'Eigen gebouwen'!K19</f>
        <v>0</v>
      </c>
      <c r="M39" s="641">
        <f>'Eigen gebouwen'!L19</f>
        <v>0</v>
      </c>
      <c r="N39" s="641">
        <f>'Eigen gebouwen'!M19</f>
        <v>0</v>
      </c>
      <c r="O39" s="641">
        <f>'Eigen gebouwen'!N19</f>
        <v>0</v>
      </c>
      <c r="P39" s="641">
        <f>'Eigen gebouwen'!O19</f>
        <v>0</v>
      </c>
      <c r="Q39" s="724">
        <f>'Eigen gebouwen'!P19</f>
        <v>0</v>
      </c>
      <c r="R39" s="906">
        <f t="shared" ref="R39:R44" ca="1" si="4">SUM(C39:Q39)</f>
        <v>0</v>
      </c>
    </row>
    <row r="40" spans="1:18">
      <c r="A40" s="762" t="s">
        <v>212</v>
      </c>
      <c r="B40" s="782"/>
      <c r="C40" s="641">
        <f ca="1">tertiair!B20+'openbare verlichting'!B12</f>
        <v>6744.9035199060472</v>
      </c>
      <c r="D40" s="641">
        <f ca="1">tertiair!C20</f>
        <v>22.915966386554626</v>
      </c>
      <c r="E40" s="641">
        <f ca="1">tertiair!D20</f>
        <v>7316.263080520961</v>
      </c>
      <c r="F40" s="641">
        <f>tertiair!E20</f>
        <v>21.079497588591071</v>
      </c>
      <c r="G40" s="641">
        <f ca="1">tertiair!F20</f>
        <v>2072.8454515789281</v>
      </c>
      <c r="H40" s="641">
        <f>tertiair!G20</f>
        <v>0</v>
      </c>
      <c r="I40" s="641">
        <f>tertiair!H20</f>
        <v>0</v>
      </c>
      <c r="J40" s="641">
        <f>tertiair!I20</f>
        <v>0</v>
      </c>
      <c r="K40" s="641">
        <f>tertiair!J20</f>
        <v>2.2722340810232923E-2</v>
      </c>
      <c r="L40" s="641">
        <f>tertiair!K20</f>
        <v>0</v>
      </c>
      <c r="M40" s="641">
        <f ca="1">tertiair!L20</f>
        <v>0</v>
      </c>
      <c r="N40" s="641">
        <f>tertiair!M20</f>
        <v>0</v>
      </c>
      <c r="O40" s="641">
        <f ca="1">tertiair!N20</f>
        <v>0</v>
      </c>
      <c r="P40" s="641">
        <f>tertiair!O20</f>
        <v>0</v>
      </c>
      <c r="Q40" s="724">
        <f>tertiair!P20</f>
        <v>0</v>
      </c>
      <c r="R40" s="802">
        <f t="shared" ca="1" si="4"/>
        <v>16178.030238321891</v>
      </c>
    </row>
    <row r="41" spans="1:18">
      <c r="A41" s="774" t="s">
        <v>213</v>
      </c>
      <c r="B41" s="781"/>
      <c r="C41" s="641">
        <f ca="1">huishoudens!B12</f>
        <v>7627.253445195026</v>
      </c>
      <c r="D41" s="641">
        <f ca="1">huishoudens!C12</f>
        <v>0</v>
      </c>
      <c r="E41" s="641">
        <f>huishoudens!D12</f>
        <v>22644.655685384481</v>
      </c>
      <c r="F41" s="641">
        <f>huishoudens!E12</f>
        <v>426.98615426069108</v>
      </c>
      <c r="G41" s="641">
        <f>huishoudens!F12</f>
        <v>9664.9869711221618</v>
      </c>
      <c r="H41" s="641">
        <f>huishoudens!G12</f>
        <v>0</v>
      </c>
      <c r="I41" s="641">
        <f>huishoudens!H12</f>
        <v>0</v>
      </c>
      <c r="J41" s="641">
        <f>huishoudens!I12</f>
        <v>0</v>
      </c>
      <c r="K41" s="641">
        <f>huishoudens!J12</f>
        <v>65.571893376784246</v>
      </c>
      <c r="L41" s="641">
        <f>huishoudens!K12</f>
        <v>0</v>
      </c>
      <c r="M41" s="641">
        <f>huishoudens!L12</f>
        <v>0</v>
      </c>
      <c r="N41" s="641">
        <f>huishoudens!M12</f>
        <v>0</v>
      </c>
      <c r="O41" s="641">
        <f>huishoudens!N12</f>
        <v>0</v>
      </c>
      <c r="P41" s="641">
        <f>huishoudens!O12</f>
        <v>0</v>
      </c>
      <c r="Q41" s="724">
        <f>huishoudens!P12</f>
        <v>0</v>
      </c>
      <c r="R41" s="802">
        <f t="shared" ca="1" si="4"/>
        <v>40429.454149339152</v>
      </c>
    </row>
    <row r="42" spans="1:18">
      <c r="A42" s="774" t="s">
        <v>477</v>
      </c>
      <c r="B42" s="781"/>
      <c r="C42" s="641">
        <f ca="1">'Eigen openbare verlichting'!B19</f>
        <v>0</v>
      </c>
      <c r="D42" s="641"/>
      <c r="E42" s="641"/>
      <c r="F42" s="641"/>
      <c r="G42" s="641"/>
      <c r="H42" s="641"/>
      <c r="I42" s="641"/>
      <c r="J42" s="641"/>
      <c r="K42" s="641"/>
      <c r="L42" s="641"/>
      <c r="M42" s="641"/>
      <c r="N42" s="641"/>
      <c r="O42" s="641"/>
      <c r="P42" s="641"/>
      <c r="Q42" s="724"/>
      <c r="R42" s="802">
        <f t="shared" ca="1" si="4"/>
        <v>0</v>
      </c>
    </row>
    <row r="43" spans="1:18">
      <c r="A43" s="774" t="s">
        <v>591</v>
      </c>
      <c r="B43" s="789" t="s">
        <v>588</v>
      </c>
      <c r="C43" s="641">
        <f ca="1">industrie!B22</f>
        <v>25451.639839564599</v>
      </c>
      <c r="D43" s="641">
        <f ca="1">industrie!C22</f>
        <v>4977.347899159663</v>
      </c>
      <c r="E43" s="641">
        <f>industrie!D22</f>
        <v>26890.595150245583</v>
      </c>
      <c r="F43" s="641">
        <f>industrie!E22</f>
        <v>2481.4326022399368</v>
      </c>
      <c r="G43" s="641">
        <f>industrie!F22</f>
        <v>3884.3349424464864</v>
      </c>
      <c r="H43" s="641">
        <f>industrie!G22</f>
        <v>0</v>
      </c>
      <c r="I43" s="641">
        <f>industrie!H22</f>
        <v>0</v>
      </c>
      <c r="J43" s="641">
        <f>industrie!I22</f>
        <v>0</v>
      </c>
      <c r="K43" s="641">
        <f>industrie!J22</f>
        <v>54.03709843344749</v>
      </c>
      <c r="L43" s="641">
        <f>industrie!K22</f>
        <v>0</v>
      </c>
      <c r="M43" s="641">
        <f>industrie!L22</f>
        <v>0</v>
      </c>
      <c r="N43" s="641">
        <f>industrie!M22</f>
        <v>0</v>
      </c>
      <c r="O43" s="641">
        <f>industrie!N22</f>
        <v>0</v>
      </c>
      <c r="P43" s="641">
        <f>industrie!O22</f>
        <v>0</v>
      </c>
      <c r="Q43" s="724">
        <f>industrie!P22</f>
        <v>0</v>
      </c>
      <c r="R43" s="801">
        <f t="shared" ca="1" si="4"/>
        <v>63739.387532089713</v>
      </c>
    </row>
    <row r="44" spans="1:18">
      <c r="A44" s="774"/>
      <c r="B44" s="781" t="s">
        <v>589</v>
      </c>
      <c r="C44" s="641"/>
      <c r="D44" s="641"/>
      <c r="E44" s="641"/>
      <c r="F44" s="641"/>
      <c r="G44" s="641"/>
      <c r="H44" s="641"/>
      <c r="I44" s="641"/>
      <c r="J44" s="641"/>
      <c r="K44" s="641"/>
      <c r="L44" s="641"/>
      <c r="M44" s="641"/>
      <c r="N44" s="641"/>
      <c r="O44" s="641"/>
      <c r="P44" s="641"/>
      <c r="Q44" s="724"/>
      <c r="R44" s="802">
        <f t="shared" si="4"/>
        <v>0</v>
      </c>
    </row>
    <row r="45" spans="1:18" ht="15" thickBot="1">
      <c r="A45" s="900" t="s">
        <v>682</v>
      </c>
      <c r="B45" s="904"/>
      <c r="C45" s="902"/>
      <c r="D45" s="902"/>
      <c r="E45" s="902"/>
      <c r="F45" s="902"/>
      <c r="G45" s="902"/>
      <c r="H45" s="902"/>
      <c r="I45" s="902"/>
      <c r="J45" s="902"/>
      <c r="K45" s="902"/>
      <c r="L45" s="902"/>
      <c r="M45" s="902"/>
      <c r="N45" s="902"/>
      <c r="O45" s="902"/>
      <c r="P45" s="902"/>
      <c r="Q45" s="903"/>
      <c r="R45" s="905"/>
    </row>
    <row r="46" spans="1:18" ht="15.75" thickBot="1">
      <c r="A46" s="775" t="s">
        <v>214</v>
      </c>
      <c r="B46" s="788"/>
      <c r="C46" s="677">
        <f ca="1">SUM(C39:C45)</f>
        <v>39823.796804665675</v>
      </c>
      <c r="D46" s="677">
        <f t="shared" ref="D46:Q46" ca="1" si="5">SUM(D39:D45)</f>
        <v>5000.2638655462179</v>
      </c>
      <c r="E46" s="677">
        <f t="shared" ca="1" si="5"/>
        <v>56851.513916151031</v>
      </c>
      <c r="F46" s="677">
        <f t="shared" si="5"/>
        <v>2929.4982540892188</v>
      </c>
      <c r="G46" s="677">
        <f t="shared" ca="1" si="5"/>
        <v>15622.167365147576</v>
      </c>
      <c r="H46" s="677">
        <f t="shared" si="5"/>
        <v>0</v>
      </c>
      <c r="I46" s="677">
        <f t="shared" si="5"/>
        <v>0</v>
      </c>
      <c r="J46" s="677">
        <f t="shared" si="5"/>
        <v>0</v>
      </c>
      <c r="K46" s="677">
        <f t="shared" si="5"/>
        <v>119.63171415104196</v>
      </c>
      <c r="L46" s="677">
        <f t="shared" si="5"/>
        <v>0</v>
      </c>
      <c r="M46" s="677">
        <f t="shared" ca="1" si="5"/>
        <v>0</v>
      </c>
      <c r="N46" s="677">
        <f t="shared" si="5"/>
        <v>0</v>
      </c>
      <c r="O46" s="677">
        <f t="shared" ca="1" si="5"/>
        <v>0</v>
      </c>
      <c r="P46" s="677">
        <f t="shared" si="5"/>
        <v>0</v>
      </c>
      <c r="Q46" s="677">
        <f t="shared" si="5"/>
        <v>0</v>
      </c>
      <c r="R46" s="677">
        <f ca="1">SUM(R39:R45)</f>
        <v>120346.87191975076</v>
      </c>
    </row>
    <row r="47" spans="1:18" ht="15.75">
      <c r="A47" s="776" t="s">
        <v>215</v>
      </c>
      <c r="B47" s="786"/>
      <c r="C47" s="669"/>
      <c r="D47" s="670"/>
      <c r="E47" s="670"/>
      <c r="F47" s="670"/>
      <c r="G47" s="670"/>
      <c r="H47" s="670"/>
      <c r="I47" s="670"/>
      <c r="J47" s="670"/>
      <c r="K47" s="670"/>
      <c r="L47" s="670"/>
      <c r="M47" s="680"/>
      <c r="N47" s="680"/>
      <c r="O47" s="670"/>
      <c r="P47" s="680"/>
      <c r="Q47" s="680"/>
      <c r="R47" s="674"/>
    </row>
    <row r="48" spans="1:18">
      <c r="A48" s="774" t="s">
        <v>216</v>
      </c>
      <c r="B48" s="781"/>
      <c r="C48" s="641">
        <f ca="1">'Eigen vloot'!B31</f>
        <v>0</v>
      </c>
      <c r="D48" s="641">
        <f>'Eigen vloot'!C31</f>
        <v>0</v>
      </c>
      <c r="E48" s="641">
        <f>'Eigen vloot'!D31</f>
        <v>0</v>
      </c>
      <c r="F48" s="641">
        <f>'Eigen vloot'!E31</f>
        <v>0</v>
      </c>
      <c r="G48" s="641">
        <f>'Eigen vloot'!F31</f>
        <v>0</v>
      </c>
      <c r="H48" s="641">
        <f>'Eigen vloot'!G31</f>
        <v>0</v>
      </c>
      <c r="I48" s="641">
        <f>'Eigen vloot'!H31</f>
        <v>0</v>
      </c>
      <c r="J48" s="641">
        <f>'Eigen vloot'!I31</f>
        <v>0</v>
      </c>
      <c r="K48" s="641">
        <f>'Eigen vloot'!J31</f>
        <v>0</v>
      </c>
      <c r="L48" s="641">
        <f>'Eigen vloot'!K31</f>
        <v>0</v>
      </c>
      <c r="M48" s="641">
        <f>'Eigen vloot'!L31</f>
        <v>0</v>
      </c>
      <c r="N48" s="641">
        <f>'Eigen vloot'!M31</f>
        <v>0</v>
      </c>
      <c r="O48" s="641">
        <f>'Eigen vloot'!N31</f>
        <v>0</v>
      </c>
      <c r="P48" s="641">
        <f>'Eigen vloot'!O31</f>
        <v>0</v>
      </c>
      <c r="Q48" s="641">
        <f>'Eigen vloot'!P31</f>
        <v>0</v>
      </c>
      <c r="R48" s="675">
        <f ca="1">SUM(C48:Q48)</f>
        <v>0</v>
      </c>
    </row>
    <row r="49" spans="1:18">
      <c r="A49" s="774" t="s">
        <v>217</v>
      </c>
      <c r="B49" s="781"/>
      <c r="C49" s="641">
        <f ca="1">transport!B58</f>
        <v>4.6239200487763279</v>
      </c>
      <c r="D49" s="641">
        <f ca="1">transport!C58</f>
        <v>0</v>
      </c>
      <c r="E49" s="641">
        <f>transport!D58</f>
        <v>0</v>
      </c>
      <c r="F49" s="641">
        <f>transport!E58</f>
        <v>0</v>
      </c>
      <c r="G49" s="641">
        <f>transport!F58</f>
        <v>0</v>
      </c>
      <c r="H49" s="641">
        <f>transport!G58</f>
        <v>483.19870192274942</v>
      </c>
      <c r="I49" s="641">
        <f>transport!H58</f>
        <v>0</v>
      </c>
      <c r="J49" s="641">
        <f>transport!I58</f>
        <v>0</v>
      </c>
      <c r="K49" s="641">
        <f>transport!J58</f>
        <v>0</v>
      </c>
      <c r="L49" s="641">
        <f>transport!K58</f>
        <v>0</v>
      </c>
      <c r="M49" s="641">
        <f>transport!L58</f>
        <v>0</v>
      </c>
      <c r="N49" s="641">
        <f>transport!M58</f>
        <v>0</v>
      </c>
      <c r="O49" s="641">
        <f>transport!N58</f>
        <v>0</v>
      </c>
      <c r="P49" s="641">
        <f>transport!O58</f>
        <v>0</v>
      </c>
      <c r="Q49" s="642">
        <f>transport!P58</f>
        <v>0</v>
      </c>
      <c r="R49" s="675">
        <f ca="1">SUM(C49:Q49)</f>
        <v>487.82262197152573</v>
      </c>
    </row>
    <row r="50" spans="1:18">
      <c r="A50" s="777" t="s">
        <v>295</v>
      </c>
      <c r="B50" s="787"/>
      <c r="C50" s="647">
        <f ca="1">transport!B18</f>
        <v>85.367655254746978</v>
      </c>
      <c r="D50" s="647">
        <f>transport!C18</f>
        <v>0</v>
      </c>
      <c r="E50" s="647">
        <f>transport!D18</f>
        <v>160.38794898500785</v>
      </c>
      <c r="F50" s="647">
        <f>transport!E18</f>
        <v>159.250014922388</v>
      </c>
      <c r="G50" s="647">
        <f>transport!F18</f>
        <v>0</v>
      </c>
      <c r="H50" s="647">
        <f>transport!G18</f>
        <v>107534.43125173867</v>
      </c>
      <c r="I50" s="647">
        <f>transport!H18</f>
        <v>19068.156167899375</v>
      </c>
      <c r="J50" s="647">
        <f>transport!I18</f>
        <v>0</v>
      </c>
      <c r="K50" s="647">
        <f>transport!J18</f>
        <v>0</v>
      </c>
      <c r="L50" s="647">
        <f>transport!K18</f>
        <v>0</v>
      </c>
      <c r="M50" s="647">
        <f>transport!L18</f>
        <v>0</v>
      </c>
      <c r="N50" s="647">
        <f>transport!M18</f>
        <v>0</v>
      </c>
      <c r="O50" s="647">
        <f>transport!N18</f>
        <v>0</v>
      </c>
      <c r="P50" s="647">
        <f>transport!O18</f>
        <v>0</v>
      </c>
      <c r="Q50" s="648">
        <f>transport!P18</f>
        <v>0</v>
      </c>
      <c r="R50" s="676">
        <f ca="1">SUM(C50:Q50)</f>
        <v>127007.59303880019</v>
      </c>
    </row>
    <row r="51" spans="1:18" ht="15" thickBot="1">
      <c r="A51" s="774" t="s">
        <v>685</v>
      </c>
      <c r="B51" s="781"/>
      <c r="C51" s="641"/>
      <c r="D51" s="641"/>
      <c r="E51" s="641"/>
      <c r="F51" s="641"/>
      <c r="G51" s="641"/>
      <c r="H51" s="641"/>
      <c r="I51" s="641"/>
      <c r="J51" s="641"/>
      <c r="K51" s="641"/>
      <c r="L51" s="641"/>
      <c r="M51" s="641"/>
      <c r="N51" s="641"/>
      <c r="O51" s="641"/>
      <c r="P51" s="641"/>
      <c r="Q51" s="642"/>
      <c r="R51" s="675"/>
    </row>
    <row r="52" spans="1:18" ht="15.75" thickBot="1">
      <c r="A52" s="775" t="s">
        <v>218</v>
      </c>
      <c r="B52" s="788"/>
      <c r="C52" s="677">
        <f ca="1">SUM(C48:C51)</f>
        <v>89.991575303523305</v>
      </c>
      <c r="D52" s="677">
        <f t="shared" ref="D52:Q52" ca="1" si="6">SUM(D48:D51)</f>
        <v>0</v>
      </c>
      <c r="E52" s="677">
        <f t="shared" si="6"/>
        <v>160.38794898500785</v>
      </c>
      <c r="F52" s="677">
        <f t="shared" si="6"/>
        <v>159.250014922388</v>
      </c>
      <c r="G52" s="677">
        <f t="shared" si="6"/>
        <v>0</v>
      </c>
      <c r="H52" s="677">
        <f t="shared" si="6"/>
        <v>108017.62995366142</v>
      </c>
      <c r="I52" s="677">
        <f t="shared" si="6"/>
        <v>19068.156167899375</v>
      </c>
      <c r="J52" s="677">
        <f t="shared" si="6"/>
        <v>0</v>
      </c>
      <c r="K52" s="677">
        <f t="shared" si="6"/>
        <v>0</v>
      </c>
      <c r="L52" s="677">
        <f t="shared" si="6"/>
        <v>0</v>
      </c>
      <c r="M52" s="677">
        <f t="shared" si="6"/>
        <v>0</v>
      </c>
      <c r="N52" s="677">
        <f t="shared" si="6"/>
        <v>0</v>
      </c>
      <c r="O52" s="677">
        <f t="shared" si="6"/>
        <v>0</v>
      </c>
      <c r="P52" s="677">
        <f t="shared" si="6"/>
        <v>0</v>
      </c>
      <c r="Q52" s="677">
        <f t="shared" si="6"/>
        <v>0</v>
      </c>
      <c r="R52" s="677">
        <f ca="1">SUM(R48:R51)</f>
        <v>127495.41566077172</v>
      </c>
    </row>
    <row r="53" spans="1:18" ht="15.75">
      <c r="A53" s="776" t="s">
        <v>225</v>
      </c>
      <c r="B53" s="755"/>
      <c r="C53" s="669"/>
      <c r="D53" s="670"/>
      <c r="E53" s="670"/>
      <c r="F53" s="670"/>
      <c r="G53" s="670"/>
      <c r="H53" s="670"/>
      <c r="I53" s="670"/>
      <c r="J53" s="670"/>
      <c r="K53" s="670"/>
      <c r="L53" s="670"/>
      <c r="M53" s="680"/>
      <c r="N53" s="680"/>
      <c r="O53" s="670"/>
      <c r="P53" s="680"/>
      <c r="Q53" s="680"/>
      <c r="R53" s="674"/>
    </row>
    <row r="54" spans="1:18">
      <c r="A54" s="777" t="s">
        <v>585</v>
      </c>
      <c r="B54" s="787"/>
      <c r="C54" s="647">
        <f ca="1">+landbouw!B12</f>
        <v>205.99987274525412</v>
      </c>
      <c r="D54" s="647">
        <f ca="1">+landbouw!C12</f>
        <v>2340.4840336134457</v>
      </c>
      <c r="E54" s="647">
        <f>+landbouw!D12</f>
        <v>132.44125122288628</v>
      </c>
      <c r="F54" s="647">
        <f>+landbouw!E12</f>
        <v>10.26262452697844</v>
      </c>
      <c r="G54" s="647">
        <f>+landbouw!F12</f>
        <v>1051.0248685447657</v>
      </c>
      <c r="H54" s="647">
        <f>+landbouw!G12</f>
        <v>0</v>
      </c>
      <c r="I54" s="647">
        <f>+landbouw!H12</f>
        <v>0</v>
      </c>
      <c r="J54" s="647">
        <f>+landbouw!I12</f>
        <v>0</v>
      </c>
      <c r="K54" s="647">
        <f>+landbouw!J12</f>
        <v>111.92571852357554</v>
      </c>
      <c r="L54" s="647">
        <f>+landbouw!K12</f>
        <v>0</v>
      </c>
      <c r="M54" s="647">
        <f>+landbouw!L12</f>
        <v>0</v>
      </c>
      <c r="N54" s="647">
        <f>+landbouw!M12</f>
        <v>0</v>
      </c>
      <c r="O54" s="647">
        <f>+landbouw!N12</f>
        <v>0</v>
      </c>
      <c r="P54" s="647">
        <f>+landbouw!O12</f>
        <v>0</v>
      </c>
      <c r="Q54" s="648">
        <f>+landbouw!P12</f>
        <v>0</v>
      </c>
      <c r="R54" s="676">
        <f ca="1">SUM(C54:Q54)</f>
        <v>3852.1383691769061</v>
      </c>
    </row>
    <row r="55" spans="1:18" ht="15" thickBot="1">
      <c r="A55" s="777" t="s">
        <v>683</v>
      </c>
      <c r="B55" s="787"/>
      <c r="C55" s="647">
        <f ca="1">C25*'EF ele_warmte'!B12</f>
        <v>206.60370959239114</v>
      </c>
      <c r="D55" s="647"/>
      <c r="E55" s="647">
        <f>E25*EF_CO2_aardgas</f>
        <v>686.1549045160001</v>
      </c>
      <c r="F55" s="647"/>
      <c r="G55" s="647"/>
      <c r="H55" s="647"/>
      <c r="I55" s="647"/>
      <c r="J55" s="647"/>
      <c r="K55" s="647"/>
      <c r="L55" s="647"/>
      <c r="M55" s="647"/>
      <c r="N55" s="647"/>
      <c r="O55" s="647"/>
      <c r="P55" s="647"/>
      <c r="Q55" s="648"/>
      <c r="R55" s="676">
        <f ca="1">SUM(C55:Q55)</f>
        <v>892.75861410839127</v>
      </c>
    </row>
    <row r="56" spans="1:18" ht="15.75" thickBot="1">
      <c r="A56" s="775" t="s">
        <v>684</v>
      </c>
      <c r="B56" s="788"/>
      <c r="C56" s="677">
        <f ca="1">SUM(C54:C55)</f>
        <v>412.60358233764526</v>
      </c>
      <c r="D56" s="677">
        <f t="shared" ref="D56:Q56" ca="1" si="7">SUM(D54:D55)</f>
        <v>2340.4840336134457</v>
      </c>
      <c r="E56" s="677">
        <f t="shared" si="7"/>
        <v>818.59615573888641</v>
      </c>
      <c r="F56" s="677">
        <f t="shared" si="7"/>
        <v>10.26262452697844</v>
      </c>
      <c r="G56" s="677">
        <f t="shared" si="7"/>
        <v>1051.0248685447657</v>
      </c>
      <c r="H56" s="677">
        <f t="shared" si="7"/>
        <v>0</v>
      </c>
      <c r="I56" s="677">
        <f t="shared" si="7"/>
        <v>0</v>
      </c>
      <c r="J56" s="677">
        <f t="shared" si="7"/>
        <v>0</v>
      </c>
      <c r="K56" s="677">
        <f t="shared" si="7"/>
        <v>111.92571852357554</v>
      </c>
      <c r="L56" s="677">
        <f t="shared" si="7"/>
        <v>0</v>
      </c>
      <c r="M56" s="677">
        <f t="shared" si="7"/>
        <v>0</v>
      </c>
      <c r="N56" s="677">
        <f t="shared" si="7"/>
        <v>0</v>
      </c>
      <c r="O56" s="677">
        <f t="shared" si="7"/>
        <v>0</v>
      </c>
      <c r="P56" s="677">
        <f t="shared" si="7"/>
        <v>0</v>
      </c>
      <c r="Q56" s="678">
        <f t="shared" si="7"/>
        <v>0</v>
      </c>
      <c r="R56" s="679">
        <f ca="1">SUM(R54:R55)</f>
        <v>4744.8969832852972</v>
      </c>
    </row>
    <row r="57" spans="1:18" ht="15.75">
      <c r="A57" s="755" t="s">
        <v>586</v>
      </c>
      <c r="B57" s="755"/>
      <c r="C57" s="682"/>
      <c r="D57" s="670"/>
      <c r="E57" s="670"/>
      <c r="F57" s="670"/>
      <c r="G57" s="670"/>
      <c r="H57" s="670"/>
      <c r="I57" s="670"/>
      <c r="J57" s="670"/>
      <c r="K57" s="670"/>
      <c r="L57" s="670"/>
      <c r="M57" s="680"/>
      <c r="N57" s="680"/>
      <c r="O57" s="670"/>
      <c r="P57" s="680"/>
      <c r="Q57" s="680"/>
      <c r="R57" s="674"/>
    </row>
    <row r="58" spans="1:18" ht="15">
      <c r="A58" s="778" t="s">
        <v>226</v>
      </c>
      <c r="B58" s="792"/>
      <c r="C58" s="1032"/>
      <c r="D58" s="1033"/>
      <c r="E58" s="1033"/>
      <c r="F58" s="1033"/>
      <c r="G58" s="1033"/>
      <c r="H58" s="1033"/>
      <c r="I58" s="1033"/>
      <c r="J58" s="1033"/>
      <c r="K58" s="1033"/>
      <c r="L58" s="1033"/>
      <c r="M58" s="1033"/>
      <c r="N58" s="1033"/>
      <c r="O58" s="1033"/>
      <c r="P58" s="1033"/>
      <c r="Q58" s="1033"/>
      <c r="R58" s="683"/>
    </row>
    <row r="59" spans="1:18" ht="15">
      <c r="A59" s="779" t="s">
        <v>227</v>
      </c>
      <c r="B59" s="766"/>
      <c r="C59" s="1034"/>
      <c r="D59" s="1035"/>
      <c r="E59" s="1035"/>
      <c r="F59" s="1035"/>
      <c r="G59" s="1035"/>
      <c r="H59" s="1035"/>
      <c r="I59" s="1035"/>
      <c r="J59" s="1035"/>
      <c r="K59" s="1035"/>
      <c r="L59" s="1035"/>
      <c r="M59" s="1035"/>
      <c r="N59" s="1035"/>
      <c r="O59" s="1035"/>
      <c r="P59" s="1035"/>
      <c r="Q59" s="1035"/>
      <c r="R59" s="684"/>
    </row>
    <row r="60" spans="1:18" ht="15" thickBot="1">
      <c r="A60" s="790" t="s">
        <v>228</v>
      </c>
      <c r="B60" s="791"/>
      <c r="C60" s="1034"/>
      <c r="D60" s="1035"/>
      <c r="E60" s="1035"/>
      <c r="F60" s="1035"/>
      <c r="G60" s="1035"/>
      <c r="H60" s="1035"/>
      <c r="I60" s="1035"/>
      <c r="J60" s="1035"/>
      <c r="K60" s="1035"/>
      <c r="L60" s="1035"/>
      <c r="M60" s="1035"/>
      <c r="N60" s="1035"/>
      <c r="O60" s="1035"/>
      <c r="P60" s="1035"/>
      <c r="Q60" s="1035"/>
      <c r="R60" s="676"/>
    </row>
    <row r="61" spans="1:18" ht="16.5" thickBot="1">
      <c r="A61" s="793" t="s">
        <v>109</v>
      </c>
      <c r="B61" s="794"/>
      <c r="C61" s="685">
        <f ca="1">C46+C52+C56</f>
        <v>40326.391962306843</v>
      </c>
      <c r="D61" s="685">
        <f t="shared" ref="D61:Q61" ca="1" si="8">D46+D52+D56</f>
        <v>7340.7478991596636</v>
      </c>
      <c r="E61" s="685">
        <f t="shared" ca="1" si="8"/>
        <v>57830.498020874926</v>
      </c>
      <c r="F61" s="685">
        <f t="shared" si="8"/>
        <v>3099.0108935385852</v>
      </c>
      <c r="G61" s="685">
        <f t="shared" ca="1" si="8"/>
        <v>16673.192233692342</v>
      </c>
      <c r="H61" s="685">
        <f t="shared" si="8"/>
        <v>108017.62995366142</v>
      </c>
      <c r="I61" s="685">
        <f t="shared" si="8"/>
        <v>19068.156167899375</v>
      </c>
      <c r="J61" s="685">
        <f t="shared" si="8"/>
        <v>0</v>
      </c>
      <c r="K61" s="685">
        <f t="shared" si="8"/>
        <v>231.5574326746175</v>
      </c>
      <c r="L61" s="685">
        <f t="shared" si="8"/>
        <v>0</v>
      </c>
      <c r="M61" s="685">
        <f t="shared" ca="1" si="8"/>
        <v>0</v>
      </c>
      <c r="N61" s="685">
        <f t="shared" si="8"/>
        <v>0</v>
      </c>
      <c r="O61" s="685">
        <f t="shared" ca="1" si="8"/>
        <v>0</v>
      </c>
      <c r="P61" s="685">
        <f t="shared" si="8"/>
        <v>0</v>
      </c>
      <c r="Q61" s="685">
        <f t="shared" si="8"/>
        <v>0</v>
      </c>
      <c r="R61" s="685">
        <f ca="1">R46+R52+R56</f>
        <v>252587.18456380776</v>
      </c>
    </row>
    <row r="62" spans="1:18" ht="15.75" thickTop="1" thickBot="1">
      <c r="A62" s="748"/>
      <c r="B62" s="748"/>
      <c r="C62" s="687"/>
      <c r="D62" s="687"/>
      <c r="E62" s="688"/>
      <c r="F62" s="688"/>
      <c r="G62" s="688"/>
      <c r="H62" s="688"/>
      <c r="I62" s="688"/>
      <c r="J62" s="688"/>
      <c r="K62" s="688"/>
      <c r="L62" s="688"/>
      <c r="M62" s="688"/>
      <c r="N62" s="688"/>
      <c r="O62" s="688"/>
      <c r="P62" s="688"/>
      <c r="Q62" s="688"/>
      <c r="R62" s="688"/>
    </row>
    <row r="63" spans="1:18" ht="20.25" thickTop="1" thickBot="1">
      <c r="A63" s="689" t="s">
        <v>334</v>
      </c>
      <c r="B63" s="773"/>
      <c r="C63" s="731">
        <f t="shared" ref="C63:Q63" ca="1" si="9">IF(ISERROR(C61/C27),0,C61/C27)</f>
        <v>0.18511569550327223</v>
      </c>
      <c r="D63" s="731">
        <f t="shared" ca="1" si="9"/>
        <v>0.23764705882352943</v>
      </c>
      <c r="E63" s="927">
        <f t="shared" ca="1" si="9"/>
        <v>0.20200000000000004</v>
      </c>
      <c r="F63" s="731">
        <f t="shared" si="9"/>
        <v>0.22699999999999998</v>
      </c>
      <c r="G63" s="731">
        <f t="shared" ca="1" si="9"/>
        <v>0.26700000000000002</v>
      </c>
      <c r="H63" s="731">
        <f t="shared" si="9"/>
        <v>0.26700000000000002</v>
      </c>
      <c r="I63" s="731">
        <f t="shared" si="9"/>
        <v>0.249</v>
      </c>
      <c r="J63" s="731">
        <f t="shared" si="9"/>
        <v>0</v>
      </c>
      <c r="K63" s="731">
        <f t="shared" si="9"/>
        <v>0.35399999999999993</v>
      </c>
      <c r="L63" s="731">
        <f t="shared" si="9"/>
        <v>0</v>
      </c>
      <c r="M63" s="731">
        <f t="shared" ca="1" si="9"/>
        <v>0</v>
      </c>
      <c r="N63" s="731">
        <f t="shared" si="9"/>
        <v>0</v>
      </c>
      <c r="O63" s="731">
        <f t="shared" ca="1" si="9"/>
        <v>0</v>
      </c>
      <c r="P63" s="731">
        <f t="shared" si="9"/>
        <v>0</v>
      </c>
      <c r="Q63" s="731">
        <f t="shared" si="9"/>
        <v>0</v>
      </c>
      <c r="R63" s="688"/>
    </row>
    <row r="64" spans="1:18" ht="33" thickTop="1" thickBot="1">
      <c r="A64" s="780" t="s">
        <v>335</v>
      </c>
      <c r="B64" s="758"/>
      <c r="C64" s="732">
        <f>'EF ele_warmte'!B6</f>
        <v>0.221</v>
      </c>
      <c r="D64" s="733"/>
      <c r="E64" s="734"/>
      <c r="F64" s="735"/>
      <c r="G64" s="735"/>
      <c r="H64" s="735"/>
      <c r="I64" s="735"/>
      <c r="J64" s="735"/>
      <c r="K64" s="735"/>
      <c r="L64" s="735"/>
      <c r="M64" s="735"/>
      <c r="N64" s="735"/>
      <c r="O64" s="735"/>
      <c r="P64" s="735"/>
      <c r="Q64" s="735"/>
      <c r="R64" s="688"/>
    </row>
    <row r="65" spans="1:18" ht="15" thickTop="1">
      <c r="A65" s="690"/>
      <c r="B65" s="690"/>
      <c r="C65" s="688"/>
      <c r="D65" s="688"/>
      <c r="E65" s="688"/>
      <c r="F65" s="688"/>
      <c r="G65" s="688"/>
      <c r="H65" s="688"/>
      <c r="I65" s="688"/>
      <c r="J65" s="688"/>
      <c r="K65" s="688"/>
      <c r="L65" s="688"/>
      <c r="M65" s="688"/>
      <c r="N65" s="688"/>
      <c r="O65" s="688"/>
      <c r="P65" s="688"/>
      <c r="Q65" s="688"/>
      <c r="R65" s="688"/>
    </row>
    <row r="66" spans="1:18" ht="18.75">
      <c r="A66" s="691" t="s">
        <v>336</v>
      </c>
      <c r="B66" s="691"/>
      <c r="C66" s="662"/>
      <c r="D66" s="692"/>
      <c r="E66" s="662"/>
      <c r="F66" s="662"/>
      <c r="G66" s="662"/>
      <c r="H66" s="662"/>
      <c r="I66" s="662"/>
      <c r="J66" s="662"/>
      <c r="K66" s="662"/>
      <c r="L66" s="662"/>
      <c r="M66" s="662"/>
      <c r="N66" s="662"/>
      <c r="O66" s="662"/>
      <c r="P66" s="693"/>
      <c r="Q66" s="693"/>
      <c r="R66" s="693"/>
    </row>
    <row r="67" spans="1:18">
      <c r="A67" s="1036"/>
      <c r="B67" s="1036"/>
      <c r="C67" s="1036"/>
      <c r="D67" s="1036"/>
      <c r="E67" s="1036"/>
      <c r="F67" s="1036"/>
      <c r="G67" s="1036"/>
      <c r="H67" s="1036"/>
      <c r="I67" s="1036"/>
      <c r="J67" s="1036"/>
      <c r="K67" s="1036"/>
      <c r="L67" s="1036"/>
      <c r="M67" s="1036"/>
      <c r="N67" s="1036"/>
      <c r="O67" s="1036"/>
      <c r="P67" s="1036"/>
      <c r="Q67" s="1036"/>
      <c r="R67" s="694"/>
    </row>
    <row r="68" spans="1:18" ht="16.5" customHeight="1" thickBot="1">
      <c r="A68" s="665"/>
      <c r="B68" s="665"/>
      <c r="C68" s="666"/>
      <c r="D68" s="666"/>
      <c r="E68" s="666"/>
      <c r="F68" s="666"/>
      <c r="G68" s="666"/>
      <c r="H68" s="666"/>
      <c r="I68" s="666"/>
      <c r="J68" s="666"/>
      <c r="K68" s="666"/>
      <c r="L68" s="666"/>
      <c r="M68" s="666"/>
      <c r="N68" s="666"/>
      <c r="O68" s="666"/>
      <c r="P68" s="666"/>
      <c r="Q68" s="666"/>
      <c r="R68" s="666"/>
    </row>
    <row r="69" spans="1:18" ht="48.75" customHeight="1" thickTop="1" thickBot="1">
      <c r="A69" s="1037" t="s">
        <v>229</v>
      </c>
      <c r="B69" s="1073" t="s">
        <v>337</v>
      </c>
      <c r="C69" s="1074"/>
      <c r="D69" s="1105" t="s">
        <v>338</v>
      </c>
      <c r="E69" s="1106"/>
      <c r="F69" s="1106"/>
      <c r="G69" s="1106"/>
      <c r="H69" s="1106"/>
      <c r="I69" s="1106"/>
      <c r="J69" s="1106"/>
      <c r="K69" s="1106"/>
      <c r="L69" s="1106"/>
      <c r="M69" s="1106"/>
      <c r="N69" s="1106"/>
      <c r="O69" s="1107"/>
      <c r="P69" s="915" t="s">
        <v>594</v>
      </c>
      <c r="Q69" s="1102" t="s">
        <v>593</v>
      </c>
      <c r="R69" s="1103"/>
    </row>
    <row r="70" spans="1:18" ht="61.5" thickTop="1" thickBot="1">
      <c r="A70" s="1038"/>
      <c r="B70" s="1075"/>
      <c r="C70" s="1076"/>
      <c r="D70" s="1070" t="s">
        <v>190</v>
      </c>
      <c r="E70" s="1071"/>
      <c r="F70" s="1071"/>
      <c r="G70" s="1071"/>
      <c r="H70" s="1072"/>
      <c r="I70" s="889" t="s">
        <v>234</v>
      </c>
      <c r="J70" s="889" t="s">
        <v>222</v>
      </c>
      <c r="K70" s="889" t="s">
        <v>202</v>
      </c>
      <c r="L70" s="889" t="s">
        <v>203</v>
      </c>
      <c r="M70" s="695" t="s">
        <v>233</v>
      </c>
      <c r="N70" s="889" t="s">
        <v>235</v>
      </c>
      <c r="O70" s="891" t="s">
        <v>120</v>
      </c>
      <c r="P70" s="916"/>
      <c r="Q70" s="808"/>
      <c r="R70" s="809"/>
    </row>
    <row r="71" spans="1:18" ht="95.25" customHeight="1" thickTop="1" thickBot="1">
      <c r="A71" s="1039"/>
      <c r="B71" s="894" t="s">
        <v>592</v>
      </c>
      <c r="C71" s="894" t="s">
        <v>687</v>
      </c>
      <c r="D71" s="907" t="s">
        <v>192</v>
      </c>
      <c r="E71" s="908" t="s">
        <v>193</v>
      </c>
      <c r="F71" s="889" t="s">
        <v>194</v>
      </c>
      <c r="G71" s="888" t="s">
        <v>196</v>
      </c>
      <c r="H71" s="909" t="s">
        <v>197</v>
      </c>
      <c r="I71" s="890"/>
      <c r="J71" s="890"/>
      <c r="K71" s="890"/>
      <c r="L71" s="890"/>
      <c r="M71" s="697"/>
      <c r="N71" s="890"/>
      <c r="O71" s="895"/>
      <c r="P71" s="917"/>
      <c r="Q71" s="896" t="s">
        <v>595</v>
      </c>
      <c r="R71" s="895" t="s">
        <v>596</v>
      </c>
    </row>
    <row r="72" spans="1:18" ht="15.75" thickTop="1">
      <c r="A72" s="698" t="s">
        <v>237</v>
      </c>
      <c r="B72" s="795">
        <f>'lokale energieproductie'!B4</f>
        <v>24410.56222583029</v>
      </c>
      <c r="C72" s="1094"/>
      <c r="D72" s="1094"/>
      <c r="E72" s="1114"/>
      <c r="F72" s="1114"/>
      <c r="G72" s="1115"/>
      <c r="H72" s="1118"/>
      <c r="I72" s="1104"/>
      <c r="J72" s="892"/>
      <c r="K72" s="1108"/>
      <c r="L72" s="1108"/>
      <c r="M72" s="1108"/>
      <c r="N72" s="1108"/>
      <c r="O72" s="1111"/>
      <c r="P72" s="803">
        <v>0</v>
      </c>
      <c r="Q72" s="918"/>
      <c r="R72" s="803">
        <v>0</v>
      </c>
    </row>
    <row r="73" spans="1:18" ht="15">
      <c r="A73" s="699" t="s">
        <v>238</v>
      </c>
      <c r="B73" s="698">
        <f>'lokale energieproductie'!B5</f>
        <v>0</v>
      </c>
      <c r="C73" s="1095"/>
      <c r="D73" s="1095"/>
      <c r="E73" s="1109"/>
      <c r="F73" s="1109"/>
      <c r="G73" s="1116"/>
      <c r="H73" s="1119"/>
      <c r="I73" s="1095"/>
      <c r="J73" s="893"/>
      <c r="K73" s="1109"/>
      <c r="L73" s="1109"/>
      <c r="M73" s="1109"/>
      <c r="N73" s="1109"/>
      <c r="O73" s="1112"/>
      <c r="P73" s="804">
        <v>0</v>
      </c>
      <c r="Q73" s="810"/>
      <c r="R73" s="804">
        <v>0</v>
      </c>
    </row>
    <row r="74" spans="1:18" ht="15">
      <c r="A74" s="699" t="s">
        <v>239</v>
      </c>
      <c r="B74" s="698">
        <f>'lokale energieproductie'!B6</f>
        <v>12590.075053412182</v>
      </c>
      <c r="C74" s="1095"/>
      <c r="D74" s="1095"/>
      <c r="E74" s="1109"/>
      <c r="F74" s="1109"/>
      <c r="G74" s="1116"/>
      <c r="H74" s="1119"/>
      <c r="I74" s="1095"/>
      <c r="J74" s="893"/>
      <c r="K74" s="1109"/>
      <c r="L74" s="1109"/>
      <c r="M74" s="1109"/>
      <c r="N74" s="1109"/>
      <c r="O74" s="1112"/>
      <c r="P74" s="804">
        <v>0</v>
      </c>
      <c r="Q74" s="810"/>
      <c r="R74" s="804">
        <v>0</v>
      </c>
    </row>
    <row r="75" spans="1:18" ht="15.75" thickBot="1">
      <c r="A75" s="699" t="s">
        <v>686</v>
      </c>
      <c r="B75" s="698">
        <f>'lokale energieproductie'!B7</f>
        <v>0</v>
      </c>
      <c r="C75" s="1096"/>
      <c r="D75" s="1096"/>
      <c r="E75" s="1110"/>
      <c r="F75" s="1110"/>
      <c r="G75" s="1117"/>
      <c r="H75" s="1120"/>
      <c r="I75" s="1096"/>
      <c r="J75" s="912"/>
      <c r="K75" s="1110"/>
      <c r="L75" s="1110"/>
      <c r="M75" s="1110"/>
      <c r="N75" s="1110"/>
      <c r="O75" s="1113"/>
      <c r="P75" s="804">
        <v>0</v>
      </c>
      <c r="Q75" s="919"/>
      <c r="R75" s="804">
        <v>0</v>
      </c>
    </row>
    <row r="76" spans="1:18" ht="15">
      <c r="A76" s="700" t="s">
        <v>240</v>
      </c>
      <c r="B76" s="698">
        <f>'lokale energieproductie'!B8*IFERROR(SUM(I76:O76)/SUM(D76:O76),0)</f>
        <v>0</v>
      </c>
      <c r="C76" s="698">
        <f>'lokale energieproductie'!B8*IFERROR(SUM(D76:H76)/SUM(D76:O76),0)</f>
        <v>21622.5</v>
      </c>
      <c r="D76" s="910">
        <f>'lokale energieproductie'!C8</f>
        <v>25438.235294117647</v>
      </c>
      <c r="E76" s="911">
        <f>'lokale energieproductie'!D8</f>
        <v>0</v>
      </c>
      <c r="F76" s="911">
        <f>'lokale energieproductie'!E8</f>
        <v>0</v>
      </c>
      <c r="G76" s="911">
        <f>'lokale energieproductie'!F8</f>
        <v>0</v>
      </c>
      <c r="H76" s="911">
        <f>'lokale energieproductie'!G8</f>
        <v>0</v>
      </c>
      <c r="I76" s="911">
        <f>'lokale energieproductie'!I8</f>
        <v>0</v>
      </c>
      <c r="J76" s="911">
        <f>'lokale energieproductie'!J8</f>
        <v>0</v>
      </c>
      <c r="K76" s="911">
        <f>'lokale energieproductie'!M8</f>
        <v>0</v>
      </c>
      <c r="L76" s="911">
        <f>'lokale energieproductie'!N8</f>
        <v>0</v>
      </c>
      <c r="M76" s="911">
        <f>'lokale energieproductie'!H8</f>
        <v>0</v>
      </c>
      <c r="N76" s="911">
        <f>'lokale energieproductie'!K8</f>
        <v>0</v>
      </c>
      <c r="O76" s="921">
        <f>'lokale energieproductie'!L8</f>
        <v>0</v>
      </c>
      <c r="P76" s="920"/>
      <c r="Q76" s="805">
        <f>D76*EF_CO2_aardgas+E76*EF_VLgas_CO2+'SEAP template'!F76*EF_stookolie_CO2+EF_bruinkool_CO2*'SEAP template'!G76+'SEAP template'!H76*EF_steenkool_CO2+'EF brandstof'!M4*'SEAP template'!M76+'SEAP template'!O76*EF_anderfossiel_CO2</f>
        <v>5138.5235294117647</v>
      </c>
      <c r="R76" s="804">
        <v>0</v>
      </c>
    </row>
    <row r="77" spans="1:18" ht="15.75" thickBot="1">
      <c r="A77" s="701" t="s">
        <v>741</v>
      </c>
      <c r="B77" s="698">
        <f>'lokale energieproductie'!B9*IFERROR(SUM(I77:O77)/SUM(D77:O77),0)</f>
        <v>0</v>
      </c>
      <c r="C77" s="698">
        <f>'lokale energieproductie'!B9*IFERROR(SUM(D77:H77)/SUM(D77:O77),0)</f>
        <v>0</v>
      </c>
      <c r="D77" s="725">
        <f>'lokale energieproductie'!C9</f>
        <v>0</v>
      </c>
      <c r="E77" s="726">
        <f>'lokale energieproductie'!D9</f>
        <v>0</v>
      </c>
      <c r="F77" s="726">
        <f>'lokale energieproductie'!E9</f>
        <v>0</v>
      </c>
      <c r="G77" s="726">
        <f>'lokale energieproductie'!F9</f>
        <v>0</v>
      </c>
      <c r="H77" s="726">
        <f>'lokale energieproductie'!G9</f>
        <v>0</v>
      </c>
      <c r="I77" s="911">
        <f>'lokale energieproductie'!I9</f>
        <v>0</v>
      </c>
      <c r="J77" s="911">
        <f>'lokale energieproductie'!J9</f>
        <v>0</v>
      </c>
      <c r="K77" s="911">
        <f>'lokale energieproductie'!M9</f>
        <v>0</v>
      </c>
      <c r="L77" s="911">
        <f>'lokale energieproductie'!N9</f>
        <v>0</v>
      </c>
      <c r="M77" s="911">
        <f>'lokale energieproductie'!H9</f>
        <v>0</v>
      </c>
      <c r="N77" s="911">
        <f>'lokale energieproductie'!K9</f>
        <v>0</v>
      </c>
      <c r="O77" s="921">
        <f>'lokale energieproductie'!L9</f>
        <v>0</v>
      </c>
      <c r="P77" s="797"/>
      <c r="Q77" s="805">
        <f>D77*EF_CO2_aardgas+E77*EF_VLgas_CO2+'SEAP template'!F77*EF_stookolie_CO2+EF_bruinkool_CO2*'SEAP template'!G77+'SEAP template'!H77*EF_steenkool_CO2+'EF brandstof'!M4*'SEAP template'!M77+'SEAP template'!O77*EF_anderfossiel_CO2</f>
        <v>0</v>
      </c>
      <c r="R77" s="807">
        <v>0</v>
      </c>
    </row>
    <row r="78" spans="1:18" ht="16.5" thickTop="1" thickBot="1">
      <c r="A78" s="702" t="s">
        <v>109</v>
      </c>
      <c r="B78" s="703">
        <f>SUM(B72:B77)</f>
        <v>37000.637279242474</v>
      </c>
      <c r="C78" s="703">
        <f>SUM(C72:C77)</f>
        <v>21622.5</v>
      </c>
      <c r="D78" s="704">
        <f t="shared" ref="D78:H78" si="10">SUM(D76:D77)</f>
        <v>25438.235294117647</v>
      </c>
      <c r="E78" s="704">
        <f t="shared" si="10"/>
        <v>0</v>
      </c>
      <c r="F78" s="704">
        <f t="shared" si="10"/>
        <v>0</v>
      </c>
      <c r="G78" s="704">
        <f t="shared" si="10"/>
        <v>0</v>
      </c>
      <c r="H78" s="704">
        <f t="shared" si="10"/>
        <v>0</v>
      </c>
      <c r="I78" s="704">
        <f>SUM(I76:I77)</f>
        <v>0</v>
      </c>
      <c r="J78" s="704">
        <f>SUM(J76:J77)</f>
        <v>0</v>
      </c>
      <c r="K78" s="704">
        <f t="shared" ref="K78:L78" si="11">SUM(K76:K77)</f>
        <v>0</v>
      </c>
      <c r="L78" s="704">
        <f t="shared" si="11"/>
        <v>0</v>
      </c>
      <c r="M78" s="704">
        <f>SUM(M76:M77)</f>
        <v>0</v>
      </c>
      <c r="N78" s="704">
        <f>SUM(N76:N77)</f>
        <v>0</v>
      </c>
      <c r="O78" s="812">
        <f>SUM(O76:O77)</f>
        <v>0</v>
      </c>
      <c r="P78" s="705">
        <v>0</v>
      </c>
      <c r="Q78" s="705">
        <f>SUM(Q76:Q77)</f>
        <v>5138.5235294117647</v>
      </c>
      <c r="R78" s="705">
        <f>SUM(R72:R77)</f>
        <v>0</v>
      </c>
    </row>
    <row r="79" spans="1:18" ht="15.75" thickTop="1">
      <c r="A79" s="706"/>
      <c r="B79" s="759"/>
      <c r="C79" s="707"/>
      <c r="D79" s="707"/>
      <c r="E79" s="663"/>
      <c r="F79" s="662"/>
      <c r="G79" s="662"/>
      <c r="H79" s="662"/>
      <c r="I79" s="708"/>
      <c r="J79" s="662"/>
      <c r="K79" s="662"/>
      <c r="L79" s="662"/>
      <c r="M79" s="662"/>
      <c r="N79" s="709"/>
      <c r="O79" s="662"/>
      <c r="P79" s="662"/>
      <c r="Q79" s="662"/>
      <c r="R79" s="662"/>
    </row>
    <row r="80" spans="1:18" ht="15">
      <c r="A80" s="686"/>
      <c r="B80" s="748"/>
      <c r="C80" s="707"/>
      <c r="D80" s="707"/>
      <c r="E80" s="662"/>
      <c r="F80" s="662"/>
      <c r="G80" s="662"/>
      <c r="H80" s="662"/>
      <c r="I80" s="662"/>
      <c r="J80" s="662"/>
      <c r="K80" s="662"/>
      <c r="L80" s="662"/>
      <c r="M80" s="662"/>
      <c r="N80" s="662"/>
      <c r="O80" s="662"/>
      <c r="P80" s="662"/>
      <c r="Q80" s="662"/>
      <c r="R80" s="662"/>
    </row>
    <row r="81" spans="1:19" ht="18.75">
      <c r="A81" s="710" t="s">
        <v>340</v>
      </c>
      <c r="B81" s="710"/>
      <c r="C81" s="711"/>
      <c r="D81" s="692"/>
      <c r="E81" s="662"/>
      <c r="F81" s="662"/>
      <c r="G81" s="662"/>
      <c r="H81" s="662"/>
      <c r="I81" s="662"/>
      <c r="J81" s="662"/>
      <c r="K81" s="662"/>
      <c r="L81" s="662"/>
      <c r="M81" s="662"/>
      <c r="N81" s="662"/>
      <c r="O81" s="662"/>
      <c r="P81" s="662"/>
      <c r="Q81" s="662"/>
      <c r="R81" s="662"/>
    </row>
    <row r="82" spans="1:19">
      <c r="A82" s="1036"/>
      <c r="B82" s="1036"/>
      <c r="C82" s="1036"/>
      <c r="D82" s="1036"/>
      <c r="E82" s="1036"/>
      <c r="F82" s="1036"/>
      <c r="G82" s="1036"/>
      <c r="H82" s="1036"/>
      <c r="I82" s="1036"/>
      <c r="J82" s="1036"/>
      <c r="K82" s="1036"/>
      <c r="L82" s="1036"/>
      <c r="M82" s="1036"/>
      <c r="N82" s="1036"/>
      <c r="O82" s="1036"/>
      <c r="P82" s="1036"/>
      <c r="Q82" s="694"/>
      <c r="R82" s="694"/>
    </row>
    <row r="83" spans="1:19" ht="15.75" thickBot="1">
      <c r="A83" s="665"/>
      <c r="B83" s="665"/>
      <c r="C83" s="666"/>
      <c r="D83" s="666"/>
      <c r="E83" s="666"/>
      <c r="F83" s="666"/>
      <c r="G83" s="666"/>
      <c r="H83" s="666"/>
      <c r="I83" s="666"/>
      <c r="J83" s="666"/>
      <c r="K83" s="666"/>
      <c r="L83" s="666"/>
      <c r="M83" s="666"/>
      <c r="N83" s="666"/>
      <c r="O83" s="666"/>
      <c r="P83" s="666"/>
      <c r="Q83" s="666"/>
      <c r="R83" s="666"/>
    </row>
    <row r="84" spans="1:19" ht="48.2" customHeight="1" thickTop="1" thickBot="1">
      <c r="A84" s="1037" t="s">
        <v>241</v>
      </c>
      <c r="B84" s="1073" t="s">
        <v>341</v>
      </c>
      <c r="C84" s="1091"/>
      <c r="D84" s="1083" t="s">
        <v>342</v>
      </c>
      <c r="E84" s="1084"/>
      <c r="F84" s="1084"/>
      <c r="G84" s="1084"/>
      <c r="H84" s="1084"/>
      <c r="I84" s="1084"/>
      <c r="J84" s="1084"/>
      <c r="K84" s="1084"/>
      <c r="L84" s="1084"/>
      <c r="M84" s="1084"/>
      <c r="N84" s="1084"/>
      <c r="O84" s="1085"/>
      <c r="P84" s="915" t="s">
        <v>594</v>
      </c>
      <c r="Q84" s="1073" t="s">
        <v>593</v>
      </c>
      <c r="R84" s="1074"/>
    </row>
    <row r="85" spans="1:19" ht="16.5" customHeight="1" thickTop="1" thickBot="1">
      <c r="A85" s="1038"/>
      <c r="B85" s="1092"/>
      <c r="C85" s="1093"/>
      <c r="D85" s="1086" t="s">
        <v>190</v>
      </c>
      <c r="E85" s="1087"/>
      <c r="F85" s="1087"/>
      <c r="G85" s="1087"/>
      <c r="H85" s="1088"/>
      <c r="I85" s="1081" t="s">
        <v>234</v>
      </c>
      <c r="J85" s="1065" t="s">
        <v>222</v>
      </c>
      <c r="K85" s="1078" t="s">
        <v>202</v>
      </c>
      <c r="L85" s="1078" t="s">
        <v>203</v>
      </c>
      <c r="M85" s="1089" t="s">
        <v>233</v>
      </c>
      <c r="N85" s="1078" t="s">
        <v>245</v>
      </c>
      <c r="O85" s="1079" t="s">
        <v>120</v>
      </c>
      <c r="P85" s="916"/>
      <c r="Q85" s="808"/>
      <c r="R85" s="809"/>
    </row>
    <row r="86" spans="1:19" ht="110.25" customHeight="1" thickTop="1" thickBot="1">
      <c r="A86" s="1039"/>
      <c r="B86" s="796" t="s">
        <v>592</v>
      </c>
      <c r="C86" s="796" t="s">
        <v>687</v>
      </c>
      <c r="D86" s="712" t="s">
        <v>192</v>
      </c>
      <c r="E86" s="696" t="s">
        <v>193</v>
      </c>
      <c r="F86" s="713" t="s">
        <v>194</v>
      </c>
      <c r="G86" s="696" t="s">
        <v>196</v>
      </c>
      <c r="H86" s="714" t="s">
        <v>197</v>
      </c>
      <c r="I86" s="1082"/>
      <c r="J86" s="1077"/>
      <c r="K86" s="1066"/>
      <c r="L86" s="1066"/>
      <c r="M86" s="1090"/>
      <c r="N86" s="1066"/>
      <c r="O86" s="1080"/>
      <c r="P86" s="917"/>
      <c r="Q86" s="749" t="s">
        <v>595</v>
      </c>
      <c r="R86" s="747" t="s">
        <v>596</v>
      </c>
    </row>
    <row r="87" spans="1:19" ht="15.75" thickTop="1">
      <c r="A87" s="715" t="s">
        <v>240</v>
      </c>
      <c r="B87" s="716">
        <f>'lokale energieproductie'!B17*IFERROR(SUM(I87:O87)/SUM(D87:O87),0)</f>
        <v>0</v>
      </c>
      <c r="C87" s="716">
        <f>'lokale energieproductie'!B17*IFERROR(SUM(D87:H87)/SUM(D87:O87),0)</f>
        <v>30889.28571428571</v>
      </c>
      <c r="D87" s="727">
        <f>'lokale energieproductie'!C17</f>
        <v>36340.336134453777</v>
      </c>
      <c r="E87" s="727">
        <f>'lokale energieproductie'!D17</f>
        <v>0</v>
      </c>
      <c r="F87" s="727">
        <f>'lokale energieproductie'!E17</f>
        <v>0</v>
      </c>
      <c r="G87" s="727">
        <f>'lokale energieproductie'!F17</f>
        <v>0</v>
      </c>
      <c r="H87" s="727">
        <f>'lokale energieproductie'!G17</f>
        <v>0</v>
      </c>
      <c r="I87" s="727">
        <f>'lokale energieproductie'!I17</f>
        <v>0</v>
      </c>
      <c r="J87" s="727">
        <f>'lokale energieproductie'!J17</f>
        <v>0</v>
      </c>
      <c r="K87" s="727">
        <f>'lokale energieproductie'!M17</f>
        <v>0</v>
      </c>
      <c r="L87" s="727">
        <f>'lokale energieproductie'!N17</f>
        <v>0</v>
      </c>
      <c r="M87" s="727">
        <f>'lokale energieproductie'!H17</f>
        <v>0</v>
      </c>
      <c r="N87" s="727">
        <f>'lokale energieproductie'!K17</f>
        <v>0</v>
      </c>
      <c r="O87" s="727">
        <f>'lokale energieproductie'!L17</f>
        <v>0</v>
      </c>
      <c r="P87" s="1099"/>
      <c r="Q87" s="811">
        <f>D87*EF_CO2_aardgas+E87*EF_VLgas_CO2+'SEAP template'!F87*EF_stookolie_CO2+EF_bruinkool_CO2*'SEAP template'!G87+'SEAP template'!H87*EF_steenkool_CO2+'EF brandstof'!M4*'SEAP template'!M87+'SEAP template'!O87*EF_anderfossiel_CO2</f>
        <v>7340.7478991596636</v>
      </c>
      <c r="R87" s="798">
        <v>0</v>
      </c>
    </row>
    <row r="88" spans="1:19" ht="15">
      <c r="A88" s="717" t="s">
        <v>246</v>
      </c>
      <c r="B88" s="716">
        <f>'lokale energieproductie'!B18*IFERROR(SUM(I88:O88)/SUM(D88:O88),0)</f>
        <v>0</v>
      </c>
      <c r="C88" s="716">
        <f>'lokale energieproductie'!B18*IFERROR(SUM(D88:H88)/SUM(D88:O88),0)</f>
        <v>0</v>
      </c>
      <c r="D88" s="727">
        <f>'lokale energieproductie'!C18</f>
        <v>0</v>
      </c>
      <c r="E88" s="727">
        <f>'lokale energieproductie'!D18</f>
        <v>0</v>
      </c>
      <c r="F88" s="727">
        <f>'lokale energieproductie'!E18</f>
        <v>0</v>
      </c>
      <c r="G88" s="727">
        <f>'lokale energieproductie'!F18</f>
        <v>0</v>
      </c>
      <c r="H88" s="727">
        <f>'lokale energieproductie'!G18</f>
        <v>0</v>
      </c>
      <c r="I88" s="727">
        <f>'lokale energieproductie'!I18</f>
        <v>0</v>
      </c>
      <c r="J88" s="727">
        <f>'lokale energieproductie'!J18</f>
        <v>0</v>
      </c>
      <c r="K88" s="727">
        <f>'lokale energieproductie'!M18</f>
        <v>0</v>
      </c>
      <c r="L88" s="727">
        <f>'lokale energieproductie'!N18</f>
        <v>0</v>
      </c>
      <c r="M88" s="727">
        <f>'lokale energieproductie'!H18</f>
        <v>0</v>
      </c>
      <c r="N88" s="727">
        <f>'lokale energieproductie'!K18</f>
        <v>0</v>
      </c>
      <c r="O88" s="727">
        <f>'lokale energieproductie'!L18</f>
        <v>0</v>
      </c>
      <c r="P88" s="1100"/>
      <c r="Q88" s="805">
        <f>D88*EF_CO2_aardgas+E88*EF_VLgas_CO2+'SEAP template'!F88*EF_stookolie_CO2+EF_bruinkool_CO2*'SEAP template'!G88+'SEAP template'!H88*EF_steenkool_CO2+'EF brandstof'!M4*'SEAP template'!M88+'SEAP template'!O88*EF_anderfossiel_CO2</f>
        <v>0</v>
      </c>
      <c r="R88" s="799">
        <v>0</v>
      </c>
    </row>
    <row r="89" spans="1:19" ht="30" thickBot="1">
      <c r="A89" s="701" t="s">
        <v>339</v>
      </c>
      <c r="B89" s="716">
        <f>'lokale energieproductie'!B19*IFERROR(SUM(I89:O89)/SUM(D89:O89),0)</f>
        <v>0</v>
      </c>
      <c r="C89" s="716">
        <f>'lokale energieproductie'!B19*IFERROR(SUM(D89:H89)/SUM(D89:O89),0)</f>
        <v>0</v>
      </c>
      <c r="D89" s="727">
        <f>'lokale energieproductie'!C19</f>
        <v>0</v>
      </c>
      <c r="E89" s="727">
        <f>'lokale energieproductie'!D19</f>
        <v>0</v>
      </c>
      <c r="F89" s="727">
        <f>'lokale energieproductie'!E19</f>
        <v>0</v>
      </c>
      <c r="G89" s="727">
        <f>'lokale energieproductie'!F19</f>
        <v>0</v>
      </c>
      <c r="H89" s="727">
        <f>'lokale energieproductie'!G19</f>
        <v>0</v>
      </c>
      <c r="I89" s="727">
        <f>'lokale energieproductie'!I19</f>
        <v>0</v>
      </c>
      <c r="J89" s="727">
        <f>'lokale energieproductie'!J19</f>
        <v>0</v>
      </c>
      <c r="K89" s="727">
        <f>'lokale energieproductie'!M19</f>
        <v>0</v>
      </c>
      <c r="L89" s="727">
        <f>'lokale energieproductie'!N19</f>
        <v>0</v>
      </c>
      <c r="M89" s="727">
        <f>'lokale energieproductie'!H19</f>
        <v>0</v>
      </c>
      <c r="N89" s="727">
        <f>'lokale energieproductie'!K19</f>
        <v>0</v>
      </c>
      <c r="O89" s="727">
        <f>'lokale energieproductie'!L19</f>
        <v>0</v>
      </c>
      <c r="P89" s="1101"/>
      <c r="Q89" s="806">
        <f>D89*EF_CO2_aardgas+E89*EF_VLgas_CO2+'SEAP template'!F89*EF_stookolie_CO2+EF_bruinkool_CO2*'SEAP template'!G89+'SEAP template'!H89*EF_steenkool_CO2+'EF brandstof'!M4*'SEAP template'!M89+'SEAP template'!O89*EF_anderfossiel_CO2</f>
        <v>0</v>
      </c>
      <c r="R89" s="800">
        <v>0</v>
      </c>
    </row>
    <row r="90" spans="1:19" ht="16.5" thickTop="1" thickBot="1">
      <c r="A90" s="718" t="s">
        <v>109</v>
      </c>
      <c r="B90" s="703">
        <f>SUM(B87:B89)</f>
        <v>0</v>
      </c>
      <c r="C90" s="703">
        <f>SUM(C87:C89)</f>
        <v>30889.28571428571</v>
      </c>
      <c r="D90" s="703">
        <f t="shared" ref="D90:H90" si="12">SUM(D87:D89)</f>
        <v>36340.336134453777</v>
      </c>
      <c r="E90" s="703">
        <f t="shared" si="12"/>
        <v>0</v>
      </c>
      <c r="F90" s="703">
        <f t="shared" si="12"/>
        <v>0</v>
      </c>
      <c r="G90" s="703">
        <f t="shared" si="12"/>
        <v>0</v>
      </c>
      <c r="H90" s="703">
        <f t="shared" si="12"/>
        <v>0</v>
      </c>
      <c r="I90" s="703">
        <f>SUM(I87:I89)</f>
        <v>0</v>
      </c>
      <c r="J90" s="703">
        <f>SUM(J87:J89)</f>
        <v>0</v>
      </c>
      <c r="K90" s="703">
        <f t="shared" ref="K90:L90" si="13">SUM(K87:K89)</f>
        <v>0</v>
      </c>
      <c r="L90" s="703">
        <f t="shared" si="13"/>
        <v>0</v>
      </c>
      <c r="M90" s="703">
        <f>SUM(M87:M89)</f>
        <v>0</v>
      </c>
      <c r="N90" s="703">
        <f>SUM(N87:N89)</f>
        <v>0</v>
      </c>
      <c r="O90" s="703">
        <f>SUM(O87:O89)</f>
        <v>0</v>
      </c>
      <c r="P90" s="703">
        <v>0</v>
      </c>
      <c r="Q90" s="703">
        <f>SUM(Q87:Q89)</f>
        <v>7340.7478991596636</v>
      </c>
      <c r="R90" s="812">
        <f>SUM(R87:R89)</f>
        <v>0</v>
      </c>
    </row>
    <row r="91" spans="1:19" ht="15.75" thickTop="1">
      <c r="A91" s="719"/>
      <c r="B91" s="719"/>
      <c r="C91" s="720"/>
      <c r="D91" s="721"/>
      <c r="E91" s="722"/>
      <c r="F91" s="708"/>
      <c r="G91" s="708"/>
      <c r="H91" s="708"/>
      <c r="I91" s="708"/>
      <c r="J91" s="708"/>
      <c r="K91" s="708"/>
      <c r="L91" s="708"/>
      <c r="M91" s="662"/>
      <c r="Q91" s="708"/>
      <c r="R91" s="662"/>
      <c r="S91" s="693"/>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21" t="s">
        <v>525</v>
      </c>
      <c r="B1" s="1122" t="s">
        <v>521</v>
      </c>
      <c r="C1" s="1122"/>
      <c r="D1" s="1122"/>
      <c r="E1" s="1122"/>
      <c r="F1" s="1122"/>
      <c r="G1" s="1122"/>
      <c r="H1" s="1122"/>
      <c r="I1" s="1122"/>
      <c r="J1" s="1122"/>
      <c r="K1" s="1122"/>
      <c r="L1" s="1122"/>
      <c r="M1" s="1122"/>
      <c r="N1" s="1122"/>
      <c r="O1" s="1122"/>
      <c r="P1" s="1123"/>
      <c r="Q1" s="441"/>
    </row>
    <row r="2" spans="1:17">
      <c r="A2" s="1121"/>
      <c r="B2" s="1124" t="s">
        <v>20</v>
      </c>
      <c r="C2" s="1126" t="s">
        <v>189</v>
      </c>
      <c r="D2" s="1128" t="s">
        <v>190</v>
      </c>
      <c r="E2" s="1129"/>
      <c r="F2" s="1129"/>
      <c r="G2" s="1129"/>
      <c r="H2" s="1129"/>
      <c r="I2" s="1129"/>
      <c r="J2" s="1129"/>
      <c r="K2" s="1125"/>
      <c r="L2" s="1128" t="s">
        <v>191</v>
      </c>
      <c r="M2" s="1129"/>
      <c r="N2" s="1129"/>
      <c r="O2" s="1129"/>
      <c r="P2" s="1125"/>
      <c r="Q2" s="441"/>
    </row>
    <row r="3" spans="1:17" ht="45">
      <c r="A3" s="1121"/>
      <c r="B3" s="1125"/>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c r="Q3" s="441" t="s">
        <v>109</v>
      </c>
    </row>
    <row r="4" spans="1:17">
      <c r="A4" s="443" t="s">
        <v>148</v>
      </c>
      <c r="B4" s="444">
        <f>huishoudens!B8</f>
        <v>41202.629655248231</v>
      </c>
      <c r="C4" s="444">
        <f>huishoudens!C8</f>
        <v>0</v>
      </c>
      <c r="D4" s="444">
        <f>huishoudens!D8</f>
        <v>112102.25586824</v>
      </c>
      <c r="E4" s="444">
        <f>huishoudens!E8</f>
        <v>1880.996274276172</v>
      </c>
      <c r="F4" s="444">
        <f>huishoudens!F8</f>
        <v>36198.453075363897</v>
      </c>
      <c r="G4" s="444">
        <f>huishoudens!G8</f>
        <v>0</v>
      </c>
      <c r="H4" s="444">
        <f>huishoudens!H8</f>
        <v>0</v>
      </c>
      <c r="I4" s="444">
        <f>huishoudens!I8</f>
        <v>0</v>
      </c>
      <c r="J4" s="444">
        <f>huishoudens!J8</f>
        <v>185.23133722255437</v>
      </c>
      <c r="K4" s="444">
        <f>huishoudens!K8</f>
        <v>0</v>
      </c>
      <c r="L4" s="444">
        <f>huishoudens!L8</f>
        <v>0</v>
      </c>
      <c r="M4" s="444">
        <f>huishoudens!M8</f>
        <v>0</v>
      </c>
      <c r="N4" s="444">
        <f>huishoudens!N8</f>
        <v>12635.373325996683</v>
      </c>
      <c r="O4" s="444">
        <f>huishoudens!O8</f>
        <v>620.97892266814097</v>
      </c>
      <c r="P4" s="445">
        <f>huishoudens!P8</f>
        <v>926.98841907628207</v>
      </c>
      <c r="Q4" s="446">
        <f>SUM(B4:P4)</f>
        <v>205752.90687809195</v>
      </c>
    </row>
    <row r="5" spans="1:17">
      <c r="A5" s="443" t="s">
        <v>149</v>
      </c>
      <c r="B5" s="444">
        <f ca="1">tertiair!B16</f>
        <v>34491.871465000004</v>
      </c>
      <c r="C5" s="444">
        <f ca="1">tertiair!C16</f>
        <v>96.428571428571431</v>
      </c>
      <c r="D5" s="444">
        <f ca="1">tertiair!D16</f>
        <v>36219.124160994856</v>
      </c>
      <c r="E5" s="444">
        <f>tertiair!E16</f>
        <v>92.861222857229379</v>
      </c>
      <c r="F5" s="444">
        <f ca="1">tertiair!F16</f>
        <v>7763.4661107825023</v>
      </c>
      <c r="G5" s="444">
        <f>tertiair!G16</f>
        <v>0</v>
      </c>
      <c r="H5" s="444">
        <f>tertiair!H16</f>
        <v>0</v>
      </c>
      <c r="I5" s="444">
        <f>tertiair!I16</f>
        <v>0</v>
      </c>
      <c r="J5" s="444">
        <f>tertiair!J16</f>
        <v>6.4187403418737077E-2</v>
      </c>
      <c r="K5" s="444">
        <f>tertiair!K16</f>
        <v>0</v>
      </c>
      <c r="L5" s="444">
        <f ca="1">tertiair!L16</f>
        <v>0</v>
      </c>
      <c r="M5" s="444">
        <f>tertiair!M16</f>
        <v>0</v>
      </c>
      <c r="N5" s="444">
        <f ca="1">tertiair!N16</f>
        <v>2368.7382237788943</v>
      </c>
      <c r="O5" s="444">
        <f>tertiair!O16</f>
        <v>4.8972607658411542</v>
      </c>
      <c r="P5" s="445">
        <f>tertiair!P16</f>
        <v>157.61741491948504</v>
      </c>
      <c r="Q5" s="443">
        <f t="shared" ref="Q5:Q14" ca="1" si="0">SUM(B5:P5)</f>
        <v>81195.06861793081</v>
      </c>
    </row>
    <row r="6" spans="1:17">
      <c r="A6" s="443" t="s">
        <v>187</v>
      </c>
      <c r="B6" s="444">
        <f>'openbare verlichting'!B8</f>
        <v>1944.28</v>
      </c>
      <c r="C6" s="444"/>
      <c r="D6" s="444"/>
      <c r="E6" s="444"/>
      <c r="F6" s="444"/>
      <c r="G6" s="444"/>
      <c r="H6" s="444"/>
      <c r="I6" s="444"/>
      <c r="J6" s="444"/>
      <c r="K6" s="444"/>
      <c r="L6" s="444"/>
      <c r="M6" s="444"/>
      <c r="N6" s="444"/>
      <c r="O6" s="444"/>
      <c r="P6" s="445"/>
      <c r="Q6" s="443">
        <f t="shared" si="0"/>
        <v>1944.28</v>
      </c>
    </row>
    <row r="7" spans="1:17">
      <c r="A7" s="443" t="s">
        <v>105</v>
      </c>
      <c r="B7" s="444">
        <f>landbouw!B8</f>
        <v>1112.8168910000002</v>
      </c>
      <c r="C7" s="444">
        <f>landbouw!C8</f>
        <v>9848.5714285714294</v>
      </c>
      <c r="D7" s="444">
        <f>landbouw!D8</f>
        <v>655.64975852913994</v>
      </c>
      <c r="E7" s="444">
        <f>landbouw!E8</f>
        <v>45.209799678319122</v>
      </c>
      <c r="F7" s="444">
        <f>landbouw!F8</f>
        <v>3936.4227286320806</v>
      </c>
      <c r="G7" s="444">
        <f>landbouw!G8</f>
        <v>0</v>
      </c>
      <c r="H7" s="444">
        <f>landbouw!H8</f>
        <v>0</v>
      </c>
      <c r="I7" s="444">
        <f>landbouw!I8</f>
        <v>0</v>
      </c>
      <c r="J7" s="444">
        <f>landbouw!J8</f>
        <v>316.17434611179533</v>
      </c>
      <c r="K7" s="444">
        <f>landbouw!K8</f>
        <v>0</v>
      </c>
      <c r="L7" s="444">
        <f>landbouw!L8</f>
        <v>0</v>
      </c>
      <c r="M7" s="444">
        <f>landbouw!M8</f>
        <v>0</v>
      </c>
      <c r="N7" s="444">
        <f>landbouw!N8</f>
        <v>0</v>
      </c>
      <c r="O7" s="444">
        <f>landbouw!O8</f>
        <v>0</v>
      </c>
      <c r="P7" s="445">
        <f>landbouw!P8</f>
        <v>0</v>
      </c>
      <c r="Q7" s="443">
        <f t="shared" si="0"/>
        <v>15914.844952522764</v>
      </c>
    </row>
    <row r="8" spans="1:17">
      <c r="A8" s="443" t="s">
        <v>587</v>
      </c>
      <c r="B8" s="444">
        <f>industrie!B18</f>
        <v>137490.44763799998</v>
      </c>
      <c r="C8" s="444">
        <f>industrie!C18</f>
        <v>20944.28571428571</v>
      </c>
      <c r="D8" s="444">
        <f>industrie!D18</f>
        <v>133121.75816953258</v>
      </c>
      <c r="E8" s="444">
        <f>industrie!E18</f>
        <v>10931.421155242013</v>
      </c>
      <c r="F8" s="444">
        <f>industrie!F18</f>
        <v>14548.070945492458</v>
      </c>
      <c r="G8" s="444">
        <f>industrie!G18</f>
        <v>0</v>
      </c>
      <c r="H8" s="444">
        <f>industrie!H18</f>
        <v>0</v>
      </c>
      <c r="I8" s="444">
        <f>industrie!I18</f>
        <v>0</v>
      </c>
      <c r="J8" s="444">
        <f>industrie!J18</f>
        <v>152.64717071595337</v>
      </c>
      <c r="K8" s="444">
        <f>industrie!K18</f>
        <v>0</v>
      </c>
      <c r="L8" s="444">
        <f>industrie!L18</f>
        <v>0</v>
      </c>
      <c r="M8" s="444">
        <f>industrie!M18</f>
        <v>0</v>
      </c>
      <c r="N8" s="444">
        <f>industrie!N18</f>
        <v>2988.5724191891059</v>
      </c>
      <c r="O8" s="444">
        <f>industrie!O18</f>
        <v>0</v>
      </c>
      <c r="P8" s="445">
        <f>industrie!P18</f>
        <v>0</v>
      </c>
      <c r="Q8" s="443">
        <f t="shared" si="0"/>
        <v>320177.20321245783</v>
      </c>
    </row>
    <row r="9" spans="1:17" s="449" customFormat="1">
      <c r="A9" s="447" t="s">
        <v>536</v>
      </c>
      <c r="B9" s="448">
        <f>transport!B14</f>
        <v>461.15838542301219</v>
      </c>
      <c r="C9" s="448">
        <f>transport!C14</f>
        <v>0</v>
      </c>
      <c r="D9" s="448">
        <f>transport!D14</f>
        <v>793.99974745053385</v>
      </c>
      <c r="E9" s="448">
        <f>transport!E14</f>
        <v>701.54191595765644</v>
      </c>
      <c r="F9" s="448">
        <f>transport!F14</f>
        <v>0</v>
      </c>
      <c r="G9" s="448">
        <f>transport!G14</f>
        <v>402750.67884546315</v>
      </c>
      <c r="H9" s="448">
        <f>transport!H14</f>
        <v>76578.940433330819</v>
      </c>
      <c r="I9" s="448">
        <f>transport!I14</f>
        <v>0</v>
      </c>
      <c r="J9" s="448">
        <f>transport!J14</f>
        <v>0</v>
      </c>
      <c r="K9" s="448">
        <f>transport!K14</f>
        <v>0</v>
      </c>
      <c r="L9" s="448">
        <f>transport!L14</f>
        <v>0</v>
      </c>
      <c r="M9" s="448">
        <f>transport!M14</f>
        <v>28285.562594178849</v>
      </c>
      <c r="N9" s="448">
        <f>transport!N14</f>
        <v>0</v>
      </c>
      <c r="O9" s="448">
        <f>transport!O14</f>
        <v>0</v>
      </c>
      <c r="P9" s="448">
        <f>transport!P14</f>
        <v>0</v>
      </c>
      <c r="Q9" s="447">
        <f>SUM(B9:P9)</f>
        <v>509571.88192180399</v>
      </c>
    </row>
    <row r="10" spans="1:17">
      <c r="A10" s="443" t="s">
        <v>526</v>
      </c>
      <c r="B10" s="444">
        <f>transport!B54</f>
        <v>24.978541318202769</v>
      </c>
      <c r="C10" s="444">
        <f>transport!C54</f>
        <v>0</v>
      </c>
      <c r="D10" s="444">
        <f>transport!D54</f>
        <v>0</v>
      </c>
      <c r="E10" s="444">
        <f>transport!E54</f>
        <v>0</v>
      </c>
      <c r="F10" s="444">
        <f>transport!F54</f>
        <v>0</v>
      </c>
      <c r="G10" s="444">
        <f>transport!G54</f>
        <v>1809.7329660028067</v>
      </c>
      <c r="H10" s="444">
        <f>transport!H54</f>
        <v>0</v>
      </c>
      <c r="I10" s="444">
        <f>transport!I54</f>
        <v>0</v>
      </c>
      <c r="J10" s="444">
        <f>transport!J54</f>
        <v>0</v>
      </c>
      <c r="K10" s="444">
        <f>transport!K54</f>
        <v>0</v>
      </c>
      <c r="L10" s="444">
        <f>transport!L54</f>
        <v>0</v>
      </c>
      <c r="M10" s="444">
        <f>transport!M54</f>
        <v>102.36388600227339</v>
      </c>
      <c r="N10" s="444">
        <f>transport!N54</f>
        <v>0</v>
      </c>
      <c r="O10" s="444">
        <f>transport!O54</f>
        <v>0</v>
      </c>
      <c r="P10" s="445">
        <f>transport!P54</f>
        <v>0</v>
      </c>
      <c r="Q10" s="443">
        <f t="shared" si="0"/>
        <v>1937.0753933232829</v>
      </c>
    </row>
    <row r="11" spans="1:17">
      <c r="A11" s="443" t="s">
        <v>527</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528</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529</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721</v>
      </c>
      <c r="B14" s="451">
        <f>'SEAP template'!C25</f>
        <v>1116.0788340000001</v>
      </c>
      <c r="C14" s="451"/>
      <c r="D14" s="451">
        <f>'SEAP template'!E25</f>
        <v>3396.806458</v>
      </c>
      <c r="E14" s="451"/>
      <c r="F14" s="451"/>
      <c r="G14" s="451"/>
      <c r="H14" s="451"/>
      <c r="I14" s="451"/>
      <c r="J14" s="451"/>
      <c r="K14" s="451"/>
      <c r="L14" s="451"/>
      <c r="M14" s="451"/>
      <c r="N14" s="451"/>
      <c r="O14" s="451"/>
      <c r="P14" s="452"/>
      <c r="Q14" s="443">
        <f t="shared" si="0"/>
        <v>4512.8852919999999</v>
      </c>
    </row>
    <row r="15" spans="1:17" s="455" customFormat="1">
      <c r="A15" s="453" t="s">
        <v>530</v>
      </c>
      <c r="B15" s="454">
        <f ca="1">SUM(B4:B14)</f>
        <v>217844.26140998944</v>
      </c>
      <c r="C15" s="454">
        <f t="shared" ref="C15:Q15" ca="1" si="1">SUM(C4:C14)</f>
        <v>30889.28571428571</v>
      </c>
      <c r="D15" s="454">
        <f t="shared" ca="1" si="1"/>
        <v>286289.59416274709</v>
      </c>
      <c r="E15" s="454">
        <f t="shared" si="1"/>
        <v>13652.03036801139</v>
      </c>
      <c r="F15" s="454">
        <f t="shared" ca="1" si="1"/>
        <v>62446.412860270939</v>
      </c>
      <c r="G15" s="454">
        <f t="shared" si="1"/>
        <v>404560.41181146598</v>
      </c>
      <c r="H15" s="454">
        <f t="shared" si="1"/>
        <v>76578.940433330819</v>
      </c>
      <c r="I15" s="454">
        <f t="shared" si="1"/>
        <v>0</v>
      </c>
      <c r="J15" s="454">
        <f t="shared" si="1"/>
        <v>654.11704145372187</v>
      </c>
      <c r="K15" s="454">
        <f t="shared" si="1"/>
        <v>0</v>
      </c>
      <c r="L15" s="454">
        <f t="shared" ca="1" si="1"/>
        <v>0</v>
      </c>
      <c r="M15" s="454">
        <f t="shared" si="1"/>
        <v>28387.926480181122</v>
      </c>
      <c r="N15" s="454">
        <f t="shared" ca="1" si="1"/>
        <v>17992.683968964684</v>
      </c>
      <c r="O15" s="454">
        <f t="shared" si="1"/>
        <v>625.87618343398208</v>
      </c>
      <c r="P15" s="454">
        <f t="shared" si="1"/>
        <v>1084.6058339957672</v>
      </c>
      <c r="Q15" s="454">
        <f t="shared" ca="1" si="1"/>
        <v>1141006.1462681305</v>
      </c>
    </row>
    <row r="17" spans="1:17">
      <c r="A17" s="456" t="s">
        <v>531</v>
      </c>
      <c r="B17" s="736">
        <f ca="1">huishoudens!B10</f>
        <v>0.18511569550327223</v>
      </c>
      <c r="C17" s="736">
        <f ca="1">huishoudens!C10</f>
        <v>0.23764705882352943</v>
      </c>
      <c r="D17" s="736">
        <f>huishoudens!D10</f>
        <v>0.20200000000000001</v>
      </c>
      <c r="E17" s="736">
        <f>huishoudens!E10</f>
        <v>0.22700000000000001</v>
      </c>
      <c r="F17" s="736">
        <f>huishoudens!F10</f>
        <v>0.26700000000000002</v>
      </c>
      <c r="G17" s="736">
        <f>huishoudens!G10</f>
        <v>0.26700000000000002</v>
      </c>
      <c r="H17" s="736">
        <f>huishoudens!H10</f>
        <v>0.249</v>
      </c>
      <c r="I17" s="736">
        <f>huishoudens!I10</f>
        <v>0.35099999999999998</v>
      </c>
      <c r="J17" s="736">
        <f>huishoudens!J10</f>
        <v>0.35399999999999998</v>
      </c>
      <c r="K17" s="736">
        <f>huishoudens!K10</f>
        <v>0.26400000000000001</v>
      </c>
      <c r="L17" s="736">
        <f>huishoudens!L10</f>
        <v>0</v>
      </c>
      <c r="M17" s="736">
        <f>huishoudens!M10</f>
        <v>0</v>
      </c>
      <c r="N17" s="736">
        <f>huishoudens!N10</f>
        <v>0</v>
      </c>
      <c r="O17" s="736">
        <f>huishoudens!O10</f>
        <v>0</v>
      </c>
      <c r="P17" s="736">
        <f>huishoudens!P10</f>
        <v>0</v>
      </c>
    </row>
    <row r="19" spans="1:17" ht="15.75">
      <c r="A19" s="1121" t="s">
        <v>533</v>
      </c>
      <c r="B19" s="1122" t="s">
        <v>532</v>
      </c>
      <c r="C19" s="1122"/>
      <c r="D19" s="1122"/>
      <c r="E19" s="1122"/>
      <c r="F19" s="1122"/>
      <c r="G19" s="1122"/>
      <c r="H19" s="1122"/>
      <c r="I19" s="1122"/>
      <c r="J19" s="1122"/>
      <c r="K19" s="1122"/>
      <c r="L19" s="1122"/>
      <c r="M19" s="1122"/>
      <c r="N19" s="1122"/>
      <c r="O19" s="1122"/>
      <c r="P19" s="1123"/>
      <c r="Q19" s="441"/>
    </row>
    <row r="20" spans="1:17" ht="15" customHeight="1">
      <c r="A20" s="1121"/>
      <c r="B20" s="1124" t="s">
        <v>20</v>
      </c>
      <c r="C20" s="1126" t="s">
        <v>189</v>
      </c>
      <c r="D20" s="1128" t="s">
        <v>190</v>
      </c>
      <c r="E20" s="1129"/>
      <c r="F20" s="1129"/>
      <c r="G20" s="1129"/>
      <c r="H20" s="1129"/>
      <c r="I20" s="1129"/>
      <c r="J20" s="1129"/>
      <c r="K20" s="1125"/>
      <c r="L20" s="1128" t="s">
        <v>191</v>
      </c>
      <c r="M20" s="1129"/>
      <c r="N20" s="1129"/>
      <c r="O20" s="1129"/>
      <c r="P20" s="1125"/>
      <c r="Q20" s="441"/>
    </row>
    <row r="21" spans="1:17" ht="45">
      <c r="A21" s="1121"/>
      <c r="B21" s="1125"/>
      <c r="C21" s="1127"/>
      <c r="D21" s="441" t="s">
        <v>192</v>
      </c>
      <c r="E21" s="441" t="s">
        <v>193</v>
      </c>
      <c r="F21" s="441" t="s">
        <v>194</v>
      </c>
      <c r="G21" s="441" t="s">
        <v>195</v>
      </c>
      <c r="H21" s="441" t="s">
        <v>113</v>
      </c>
      <c r="I21" s="441" t="s">
        <v>196</v>
      </c>
      <c r="J21" s="441" t="s">
        <v>197</v>
      </c>
      <c r="K21" s="441" t="s">
        <v>198</v>
      </c>
      <c r="L21" s="441" t="s">
        <v>199</v>
      </c>
      <c r="M21" s="441" t="s">
        <v>200</v>
      </c>
      <c r="N21" s="441" t="s">
        <v>201</v>
      </c>
      <c r="O21" s="441" t="s">
        <v>202</v>
      </c>
      <c r="P21" s="441" t="s">
        <v>203</v>
      </c>
      <c r="Q21" s="441" t="s">
        <v>109</v>
      </c>
    </row>
    <row r="22" spans="1:17">
      <c r="A22" s="443" t="s">
        <v>148</v>
      </c>
      <c r="B22" s="444">
        <f t="shared" ref="B22:B32" ca="1" si="2">B4*$B$17</f>
        <v>7627.253445195026</v>
      </c>
      <c r="C22" s="444">
        <f t="shared" ref="C22:C32" ca="1" si="3">C4*$C$17</f>
        <v>0</v>
      </c>
      <c r="D22" s="444">
        <f t="shared" ref="D22:D32" si="4">D4*$D$17</f>
        <v>22644.655685384481</v>
      </c>
      <c r="E22" s="444">
        <f t="shared" ref="E22:E32" si="5">E4*$E$17</f>
        <v>426.98615426069108</v>
      </c>
      <c r="F22" s="444">
        <f t="shared" ref="F22:F32" si="6">F4*$F$17</f>
        <v>9664.9869711221618</v>
      </c>
      <c r="G22" s="444">
        <f t="shared" ref="G22:G32" si="7">G4*$G$17</f>
        <v>0</v>
      </c>
      <c r="H22" s="444">
        <f t="shared" ref="H22:H32" si="8">H4*$H$17</f>
        <v>0</v>
      </c>
      <c r="I22" s="444">
        <f t="shared" ref="I22:I32" si="9">I4*$I$17</f>
        <v>0</v>
      </c>
      <c r="J22" s="444">
        <f t="shared" ref="J22:J32" si="10">J4*$J$17</f>
        <v>65.571893376784246</v>
      </c>
      <c r="K22" s="444">
        <f t="shared" ref="K22:K32" si="11">K4*$K$17</f>
        <v>0</v>
      </c>
      <c r="L22" s="444">
        <f t="shared" ref="L22:L32" si="12">L4*$L$17</f>
        <v>0</v>
      </c>
      <c r="M22" s="444">
        <f t="shared" ref="M22:M32" si="13">M4*$M$17</f>
        <v>0</v>
      </c>
      <c r="N22" s="444">
        <f t="shared" ref="N22:N32" si="14">N4*$N$17</f>
        <v>0</v>
      </c>
      <c r="O22" s="444">
        <f t="shared" ref="O22:O32" si="15">O4*$O$17</f>
        <v>0</v>
      </c>
      <c r="P22" s="457">
        <f t="shared" ref="P22:P32" si="16">P4*$P$17</f>
        <v>0</v>
      </c>
      <c r="Q22" s="446">
        <f ca="1">SUM(B22:P22)</f>
        <v>40429.454149339152</v>
      </c>
    </row>
    <row r="23" spans="1:17">
      <c r="A23" s="443" t="s">
        <v>149</v>
      </c>
      <c r="B23" s="444">
        <f t="shared" ca="1" si="2"/>
        <v>6384.986775452945</v>
      </c>
      <c r="C23" s="444">
        <f t="shared" ca="1" si="3"/>
        <v>22.915966386554626</v>
      </c>
      <c r="D23" s="444">
        <f t="shared" ca="1" si="4"/>
        <v>7316.263080520961</v>
      </c>
      <c r="E23" s="444">
        <f t="shared" si="5"/>
        <v>21.079497588591071</v>
      </c>
      <c r="F23" s="444">
        <f t="shared" ca="1" si="6"/>
        <v>2072.8454515789281</v>
      </c>
      <c r="G23" s="444">
        <f t="shared" si="7"/>
        <v>0</v>
      </c>
      <c r="H23" s="444">
        <f t="shared" si="8"/>
        <v>0</v>
      </c>
      <c r="I23" s="444">
        <f t="shared" si="9"/>
        <v>0</v>
      </c>
      <c r="J23" s="444">
        <f t="shared" si="10"/>
        <v>2.2722340810232923E-2</v>
      </c>
      <c r="K23" s="444">
        <f t="shared" si="11"/>
        <v>0</v>
      </c>
      <c r="L23" s="444">
        <f t="shared" ca="1" si="12"/>
        <v>0</v>
      </c>
      <c r="M23" s="444">
        <f t="shared" si="13"/>
        <v>0</v>
      </c>
      <c r="N23" s="444">
        <f t="shared" ca="1" si="14"/>
        <v>0</v>
      </c>
      <c r="O23" s="444">
        <f t="shared" si="15"/>
        <v>0</v>
      </c>
      <c r="P23" s="445">
        <f t="shared" si="16"/>
        <v>0</v>
      </c>
      <c r="Q23" s="443">
        <f t="shared" ref="Q23:Q31" ca="1" si="17">SUM(B23:P23)</f>
        <v>15818.11349386879</v>
      </c>
    </row>
    <row r="24" spans="1:17">
      <c r="A24" s="443" t="s">
        <v>187</v>
      </c>
      <c r="B24" s="444">
        <f t="shared" ca="1" si="2"/>
        <v>359.91674445310213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359.91674445310213</v>
      </c>
    </row>
    <row r="25" spans="1:17">
      <c r="A25" s="443" t="s">
        <v>105</v>
      </c>
      <c r="B25" s="444">
        <f t="shared" ca="1" si="2"/>
        <v>205.99987274525412</v>
      </c>
      <c r="C25" s="444">
        <f t="shared" ca="1" si="3"/>
        <v>2340.4840336134457</v>
      </c>
      <c r="D25" s="444">
        <f t="shared" si="4"/>
        <v>132.44125122288628</v>
      </c>
      <c r="E25" s="444">
        <f t="shared" si="5"/>
        <v>10.26262452697844</v>
      </c>
      <c r="F25" s="444">
        <f t="shared" si="6"/>
        <v>1051.0248685447657</v>
      </c>
      <c r="G25" s="444">
        <f t="shared" si="7"/>
        <v>0</v>
      </c>
      <c r="H25" s="444">
        <f t="shared" si="8"/>
        <v>0</v>
      </c>
      <c r="I25" s="444">
        <f t="shared" si="9"/>
        <v>0</v>
      </c>
      <c r="J25" s="444">
        <f t="shared" si="10"/>
        <v>111.92571852357554</v>
      </c>
      <c r="K25" s="444">
        <f t="shared" si="11"/>
        <v>0</v>
      </c>
      <c r="L25" s="444">
        <f t="shared" si="12"/>
        <v>0</v>
      </c>
      <c r="M25" s="444">
        <f t="shared" si="13"/>
        <v>0</v>
      </c>
      <c r="N25" s="444">
        <f t="shared" si="14"/>
        <v>0</v>
      </c>
      <c r="O25" s="444">
        <f t="shared" si="15"/>
        <v>0</v>
      </c>
      <c r="P25" s="445">
        <f t="shared" si="16"/>
        <v>0</v>
      </c>
      <c r="Q25" s="443">
        <f t="shared" ca="1" si="17"/>
        <v>3852.1383691769061</v>
      </c>
    </row>
    <row r="26" spans="1:17">
      <c r="A26" s="443" t="s">
        <v>587</v>
      </c>
      <c r="B26" s="444">
        <f t="shared" ca="1" si="2"/>
        <v>25451.639839564599</v>
      </c>
      <c r="C26" s="444">
        <f t="shared" ca="1" si="3"/>
        <v>4977.347899159663</v>
      </c>
      <c r="D26" s="444">
        <f t="shared" si="4"/>
        <v>26890.595150245583</v>
      </c>
      <c r="E26" s="444">
        <f t="shared" si="5"/>
        <v>2481.4326022399368</v>
      </c>
      <c r="F26" s="444">
        <f t="shared" si="6"/>
        <v>3884.3349424464864</v>
      </c>
      <c r="G26" s="444">
        <f t="shared" si="7"/>
        <v>0</v>
      </c>
      <c r="H26" s="444">
        <f t="shared" si="8"/>
        <v>0</v>
      </c>
      <c r="I26" s="444">
        <f t="shared" si="9"/>
        <v>0</v>
      </c>
      <c r="J26" s="444">
        <f t="shared" si="10"/>
        <v>54.03709843344749</v>
      </c>
      <c r="K26" s="444">
        <f t="shared" si="11"/>
        <v>0</v>
      </c>
      <c r="L26" s="444">
        <f t="shared" si="12"/>
        <v>0</v>
      </c>
      <c r="M26" s="444">
        <f t="shared" si="13"/>
        <v>0</v>
      </c>
      <c r="N26" s="444">
        <f t="shared" si="14"/>
        <v>0</v>
      </c>
      <c r="O26" s="444">
        <f t="shared" si="15"/>
        <v>0</v>
      </c>
      <c r="P26" s="445">
        <f t="shared" si="16"/>
        <v>0</v>
      </c>
      <c r="Q26" s="443">
        <f t="shared" ca="1" si="17"/>
        <v>63739.387532089713</v>
      </c>
    </row>
    <row r="27" spans="1:17" s="449" customFormat="1">
      <c r="A27" s="447" t="s">
        <v>536</v>
      </c>
      <c r="B27" s="730">
        <f t="shared" ca="1" si="2"/>
        <v>85.367655254746978</v>
      </c>
      <c r="C27" s="448">
        <f t="shared" ca="1" si="3"/>
        <v>0</v>
      </c>
      <c r="D27" s="448">
        <f t="shared" si="4"/>
        <v>160.38794898500785</v>
      </c>
      <c r="E27" s="448">
        <f t="shared" si="5"/>
        <v>159.250014922388</v>
      </c>
      <c r="F27" s="448">
        <f t="shared" si="6"/>
        <v>0</v>
      </c>
      <c r="G27" s="448">
        <f t="shared" si="7"/>
        <v>107534.43125173867</v>
      </c>
      <c r="H27" s="448">
        <f t="shared" si="8"/>
        <v>19068.156167899375</v>
      </c>
      <c r="I27" s="448">
        <f t="shared" si="9"/>
        <v>0</v>
      </c>
      <c r="J27" s="448">
        <f t="shared" si="10"/>
        <v>0</v>
      </c>
      <c r="K27" s="448">
        <f t="shared" si="11"/>
        <v>0</v>
      </c>
      <c r="L27" s="448">
        <f t="shared" si="12"/>
        <v>0</v>
      </c>
      <c r="M27" s="448">
        <f t="shared" si="13"/>
        <v>0</v>
      </c>
      <c r="N27" s="448">
        <f t="shared" si="14"/>
        <v>0</v>
      </c>
      <c r="O27" s="448">
        <f t="shared" si="15"/>
        <v>0</v>
      </c>
      <c r="P27" s="458">
        <f t="shared" si="16"/>
        <v>0</v>
      </c>
      <c r="Q27" s="447">
        <f t="shared" ca="1" si="17"/>
        <v>127007.59303880019</v>
      </c>
    </row>
    <row r="28" spans="1:17" ht="16.5" customHeight="1">
      <c r="A28" s="443" t="s">
        <v>526</v>
      </c>
      <c r="B28" s="444">
        <f t="shared" ca="1" si="2"/>
        <v>4.6239200487763279</v>
      </c>
      <c r="C28" s="444">
        <f t="shared" ca="1" si="3"/>
        <v>0</v>
      </c>
      <c r="D28" s="444">
        <f t="shared" si="4"/>
        <v>0</v>
      </c>
      <c r="E28" s="444">
        <f t="shared" si="5"/>
        <v>0</v>
      </c>
      <c r="F28" s="444">
        <f t="shared" si="6"/>
        <v>0</v>
      </c>
      <c r="G28" s="444">
        <f t="shared" si="7"/>
        <v>483.19870192274942</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487.82262197152573</v>
      </c>
    </row>
    <row r="29" spans="1:17">
      <c r="A29" s="443" t="s">
        <v>527</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528</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529</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721</v>
      </c>
      <c r="B32" s="444">
        <f t="shared" ca="1" si="2"/>
        <v>206.60370959239114</v>
      </c>
      <c r="C32" s="444">
        <f t="shared" ca="1" si="3"/>
        <v>0</v>
      </c>
      <c r="D32" s="444">
        <f t="shared" si="4"/>
        <v>686.1549045160001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ref="Q32" ca="1" si="18">SUM(B32:P32)</f>
        <v>892.75861410839127</v>
      </c>
    </row>
    <row r="33" spans="1:17" s="455" customFormat="1">
      <c r="A33" s="453" t="s">
        <v>530</v>
      </c>
      <c r="B33" s="454">
        <f ca="1">SUM(B22:B32)</f>
        <v>40326.391962306836</v>
      </c>
      <c r="C33" s="454">
        <f t="shared" ref="C33:Q33" ca="1" si="19">SUM(C22:C32)</f>
        <v>7340.7478991596636</v>
      </c>
      <c r="D33" s="454">
        <f t="shared" ca="1" si="19"/>
        <v>57830.498020874918</v>
      </c>
      <c r="E33" s="454">
        <f t="shared" si="19"/>
        <v>3099.0108935385852</v>
      </c>
      <c r="F33" s="454">
        <f t="shared" ca="1" si="19"/>
        <v>16673.192233692342</v>
      </c>
      <c r="G33" s="454">
        <f t="shared" si="19"/>
        <v>108017.62995366142</v>
      </c>
      <c r="H33" s="454">
        <f t="shared" si="19"/>
        <v>19068.156167899375</v>
      </c>
      <c r="I33" s="454">
        <f t="shared" si="19"/>
        <v>0</v>
      </c>
      <c r="J33" s="454">
        <f t="shared" si="19"/>
        <v>231.5574326746175</v>
      </c>
      <c r="K33" s="454">
        <f t="shared" si="19"/>
        <v>0</v>
      </c>
      <c r="L33" s="454">
        <f t="shared" ca="1" si="19"/>
        <v>0</v>
      </c>
      <c r="M33" s="454">
        <f t="shared" si="19"/>
        <v>0</v>
      </c>
      <c r="N33" s="454">
        <f t="shared" ca="1" si="19"/>
        <v>0</v>
      </c>
      <c r="O33" s="454">
        <f t="shared" si="19"/>
        <v>0</v>
      </c>
      <c r="P33" s="454">
        <f t="shared" si="19"/>
        <v>0</v>
      </c>
      <c r="Q33" s="454">
        <f t="shared" ca="1" si="19"/>
        <v>252587.18456380779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29" customFormat="1" ht="21">
      <c r="A1" s="1130" t="s">
        <v>525</v>
      </c>
      <c r="B1" s="1131" t="s">
        <v>691</v>
      </c>
      <c r="C1" s="1131"/>
      <c r="D1" s="1131"/>
      <c r="E1" s="1131"/>
      <c r="F1" s="1131"/>
      <c r="G1" s="1131"/>
      <c r="H1" s="1131"/>
      <c r="I1" s="1131"/>
      <c r="J1" s="1131"/>
      <c r="K1" s="1131"/>
      <c r="L1" s="1131"/>
      <c r="M1" s="1131"/>
      <c r="N1" s="1131"/>
      <c r="O1" s="1131"/>
      <c r="P1" s="1132"/>
      <c r="Q1" s="928"/>
    </row>
    <row r="2" spans="1:17" s="929" customFormat="1" ht="21">
      <c r="A2" s="1130"/>
      <c r="B2" s="1133" t="s">
        <v>20</v>
      </c>
      <c r="C2" s="1135" t="s">
        <v>189</v>
      </c>
      <c r="D2" s="1137" t="s">
        <v>190</v>
      </c>
      <c r="E2" s="1138"/>
      <c r="F2" s="1138"/>
      <c r="G2" s="1138"/>
      <c r="H2" s="1138"/>
      <c r="I2" s="1138"/>
      <c r="J2" s="1138"/>
      <c r="K2" s="1134"/>
      <c r="L2" s="1137" t="s">
        <v>191</v>
      </c>
      <c r="M2" s="1138"/>
      <c r="N2" s="1138"/>
      <c r="O2" s="1138"/>
      <c r="P2" s="1134"/>
      <c r="Q2" s="928"/>
    </row>
    <row r="3" spans="1:17" s="929" customFormat="1" ht="42">
      <c r="A3" s="1130"/>
      <c r="B3" s="1134"/>
      <c r="C3" s="1136"/>
      <c r="D3" s="930" t="s">
        <v>192</v>
      </c>
      <c r="E3" s="930" t="s">
        <v>193</v>
      </c>
      <c r="F3" s="930" t="s">
        <v>194</v>
      </c>
      <c r="G3" s="930" t="s">
        <v>195</v>
      </c>
      <c r="H3" s="930" t="s">
        <v>113</v>
      </c>
      <c r="I3" s="930" t="s">
        <v>196</v>
      </c>
      <c r="J3" s="930" t="s">
        <v>197</v>
      </c>
      <c r="K3" s="930" t="s">
        <v>198</v>
      </c>
      <c r="L3" s="930" t="s">
        <v>199</v>
      </c>
      <c r="M3" s="930" t="s">
        <v>200</v>
      </c>
      <c r="N3" s="930" t="s">
        <v>201</v>
      </c>
      <c r="O3" s="930" t="s">
        <v>202</v>
      </c>
      <c r="P3" s="930" t="s">
        <v>203</v>
      </c>
      <c r="Q3" s="928" t="s">
        <v>109</v>
      </c>
    </row>
    <row r="4" spans="1:17" ht="195">
      <c r="A4" s="931" t="s">
        <v>148</v>
      </c>
      <c r="B4" s="932" t="s">
        <v>692</v>
      </c>
      <c r="C4" s="933" t="s">
        <v>693</v>
      </c>
      <c r="D4" s="934" t="s">
        <v>694</v>
      </c>
      <c r="E4" s="935" t="s">
        <v>695</v>
      </c>
      <c r="F4" s="935" t="s">
        <v>696</v>
      </c>
      <c r="G4" s="936" t="s">
        <v>697</v>
      </c>
      <c r="H4" s="936" t="s">
        <v>697</v>
      </c>
      <c r="I4" s="936" t="s">
        <v>697</v>
      </c>
      <c r="J4" s="935" t="s">
        <v>698</v>
      </c>
      <c r="K4" s="936" t="s">
        <v>697</v>
      </c>
      <c r="L4" s="936" t="s">
        <v>697</v>
      </c>
      <c r="M4" s="936" t="s">
        <v>697</v>
      </c>
      <c r="N4" s="935" t="s">
        <v>699</v>
      </c>
      <c r="O4" s="937" t="s">
        <v>700</v>
      </c>
      <c r="P4" s="938" t="s">
        <v>701</v>
      </c>
      <c r="Q4" s="939"/>
    </row>
    <row r="5" spans="1:17" ht="150">
      <c r="A5" s="940" t="s">
        <v>149</v>
      </c>
      <c r="B5" s="941" t="s">
        <v>702</v>
      </c>
      <c r="C5" s="942" t="s">
        <v>703</v>
      </c>
      <c r="D5" s="942" t="s">
        <v>704</v>
      </c>
      <c r="E5" s="943" t="s">
        <v>705</v>
      </c>
      <c r="F5" s="943" t="s">
        <v>706</v>
      </c>
      <c r="G5" s="944" t="s">
        <v>697</v>
      </c>
      <c r="H5" s="944" t="s">
        <v>697</v>
      </c>
      <c r="I5" s="944" t="s">
        <v>697</v>
      </c>
      <c r="J5" s="943" t="s">
        <v>707</v>
      </c>
      <c r="K5" s="936" t="s">
        <v>697</v>
      </c>
      <c r="L5" s="944" t="s">
        <v>697</v>
      </c>
      <c r="M5" s="944" t="s">
        <v>697</v>
      </c>
      <c r="N5" s="943" t="s">
        <v>708</v>
      </c>
      <c r="O5" s="945" t="s">
        <v>700</v>
      </c>
      <c r="P5" s="946" t="s">
        <v>701</v>
      </c>
      <c r="Q5" s="947"/>
    </row>
    <row r="6" spans="1:17" ht="30">
      <c r="A6" s="940" t="s">
        <v>187</v>
      </c>
      <c r="B6" s="948" t="s">
        <v>709</v>
      </c>
      <c r="C6" s="949" t="s">
        <v>710</v>
      </c>
      <c r="D6" s="944" t="s">
        <v>710</v>
      </c>
      <c r="E6" s="944" t="s">
        <v>710</v>
      </c>
      <c r="F6" s="944" t="s">
        <v>710</v>
      </c>
      <c r="G6" s="944" t="s">
        <v>710</v>
      </c>
      <c r="H6" s="944" t="s">
        <v>710</v>
      </c>
      <c r="I6" s="944" t="s">
        <v>710</v>
      </c>
      <c r="J6" s="944" t="s">
        <v>710</v>
      </c>
      <c r="K6" s="944" t="s">
        <v>710</v>
      </c>
      <c r="L6" s="944" t="s">
        <v>710</v>
      </c>
      <c r="M6" s="944" t="s">
        <v>710</v>
      </c>
      <c r="N6" s="944" t="s">
        <v>710</v>
      </c>
      <c r="O6" s="950" t="s">
        <v>710</v>
      </c>
      <c r="P6" s="951" t="s">
        <v>710</v>
      </c>
      <c r="Q6" s="952"/>
    </row>
    <row r="7" spans="1:17" ht="150">
      <c r="A7" s="940" t="s">
        <v>105</v>
      </c>
      <c r="B7" s="948" t="s">
        <v>709</v>
      </c>
      <c r="C7" s="942" t="s">
        <v>703</v>
      </c>
      <c r="D7" s="942" t="s">
        <v>704</v>
      </c>
      <c r="E7" s="943" t="s">
        <v>705</v>
      </c>
      <c r="F7" s="943" t="s">
        <v>706</v>
      </c>
      <c r="G7" s="944" t="s">
        <v>697</v>
      </c>
      <c r="H7" s="944" t="s">
        <v>697</v>
      </c>
      <c r="I7" s="944" t="s">
        <v>697</v>
      </c>
      <c r="J7" s="943" t="s">
        <v>707</v>
      </c>
      <c r="K7" s="944" t="s">
        <v>697</v>
      </c>
      <c r="L7" s="944" t="s">
        <v>697</v>
      </c>
      <c r="M7" s="944" t="s">
        <v>697</v>
      </c>
      <c r="N7" s="953" t="s">
        <v>697</v>
      </c>
      <c r="O7" s="949" t="s">
        <v>697</v>
      </c>
      <c r="P7" s="954" t="s">
        <v>697</v>
      </c>
      <c r="Q7" s="947"/>
    </row>
    <row r="8" spans="1:17" ht="270">
      <c r="A8" s="940" t="s">
        <v>587</v>
      </c>
      <c r="B8" s="941" t="s">
        <v>711</v>
      </c>
      <c r="C8" s="942" t="s">
        <v>703</v>
      </c>
      <c r="D8" s="942" t="s">
        <v>704</v>
      </c>
      <c r="E8" s="943" t="s">
        <v>705</v>
      </c>
      <c r="F8" s="943" t="s">
        <v>706</v>
      </c>
      <c r="G8" s="944" t="s">
        <v>697</v>
      </c>
      <c r="H8" s="944" t="s">
        <v>697</v>
      </c>
      <c r="I8" s="944" t="s">
        <v>697</v>
      </c>
      <c r="J8" s="943" t="s">
        <v>707</v>
      </c>
      <c r="K8" s="936" t="s">
        <v>697</v>
      </c>
      <c r="L8" s="944" t="s">
        <v>697</v>
      </c>
      <c r="M8" s="944" t="s">
        <v>697</v>
      </c>
      <c r="N8" s="943" t="s">
        <v>708</v>
      </c>
      <c r="O8" s="945" t="s">
        <v>700</v>
      </c>
      <c r="P8" s="946" t="s">
        <v>701</v>
      </c>
      <c r="Q8" s="947"/>
    </row>
    <row r="9" spans="1:17" s="449" customFormat="1" ht="390">
      <c r="A9" s="955" t="s">
        <v>536</v>
      </c>
      <c r="B9" s="943" t="s">
        <v>712</v>
      </c>
      <c r="C9" s="950" t="s">
        <v>710</v>
      </c>
      <c r="D9" s="943" t="s">
        <v>713</v>
      </c>
      <c r="E9" s="943" t="s">
        <v>714</v>
      </c>
      <c r="F9" s="944" t="s">
        <v>710</v>
      </c>
      <c r="G9" s="943" t="s">
        <v>715</v>
      </c>
      <c r="H9" s="943" t="s">
        <v>716</v>
      </c>
      <c r="I9" s="944" t="s">
        <v>710</v>
      </c>
      <c r="J9" s="944" t="s">
        <v>710</v>
      </c>
      <c r="K9" s="944" t="s">
        <v>710</v>
      </c>
      <c r="L9" s="944" t="s">
        <v>710</v>
      </c>
      <c r="M9" s="943" t="s">
        <v>712</v>
      </c>
      <c r="N9" s="944" t="s">
        <v>710</v>
      </c>
      <c r="O9" s="944" t="s">
        <v>710</v>
      </c>
      <c r="P9" s="956" t="s">
        <v>710</v>
      </c>
      <c r="Q9" s="957"/>
    </row>
    <row r="10" spans="1:17" ht="360">
      <c r="A10" s="940" t="s">
        <v>526</v>
      </c>
      <c r="B10" s="941" t="s">
        <v>717</v>
      </c>
      <c r="C10" s="950" t="s">
        <v>710</v>
      </c>
      <c r="D10" s="950" t="s">
        <v>710</v>
      </c>
      <c r="E10" s="950" t="s">
        <v>710</v>
      </c>
      <c r="F10" s="944" t="s">
        <v>710</v>
      </c>
      <c r="G10" s="941" t="s">
        <v>718</v>
      </c>
      <c r="H10" s="944" t="s">
        <v>710</v>
      </c>
      <c r="I10" s="944" t="s">
        <v>710</v>
      </c>
      <c r="J10" s="944" t="s">
        <v>710</v>
      </c>
      <c r="K10" s="944" t="s">
        <v>710</v>
      </c>
      <c r="L10" s="944" t="s">
        <v>710</v>
      </c>
      <c r="M10" s="941" t="s">
        <v>719</v>
      </c>
      <c r="N10" s="944" t="s">
        <v>710</v>
      </c>
      <c r="O10" s="944" t="s">
        <v>710</v>
      </c>
      <c r="P10" s="956" t="s">
        <v>710</v>
      </c>
      <c r="Q10" s="947"/>
    </row>
    <row r="11" spans="1:17" ht="21">
      <c r="A11" s="940" t="s">
        <v>527</v>
      </c>
      <c r="B11" s="958" t="s">
        <v>720</v>
      </c>
      <c r="C11" s="958" t="s">
        <v>720</v>
      </c>
      <c r="D11" s="958" t="s">
        <v>720</v>
      </c>
      <c r="E11" s="958" t="s">
        <v>720</v>
      </c>
      <c r="F11" s="958" t="s">
        <v>720</v>
      </c>
      <c r="G11" s="958" t="s">
        <v>720</v>
      </c>
      <c r="H11" s="958" t="s">
        <v>720</v>
      </c>
      <c r="I11" s="958" t="s">
        <v>720</v>
      </c>
      <c r="J11" s="958" t="s">
        <v>720</v>
      </c>
      <c r="K11" s="958" t="s">
        <v>720</v>
      </c>
      <c r="L11" s="958" t="s">
        <v>720</v>
      </c>
      <c r="M11" s="958" t="s">
        <v>720</v>
      </c>
      <c r="N11" s="958" t="s">
        <v>720</v>
      </c>
      <c r="O11" s="958" t="s">
        <v>720</v>
      </c>
      <c r="P11" s="959" t="s">
        <v>720</v>
      </c>
      <c r="Q11" s="960"/>
    </row>
    <row r="12" spans="1:17" ht="21">
      <c r="A12" s="940" t="s">
        <v>528</v>
      </c>
      <c r="B12" s="958" t="s">
        <v>720</v>
      </c>
      <c r="C12" s="958" t="s">
        <v>710</v>
      </c>
      <c r="D12" s="958" t="s">
        <v>710</v>
      </c>
      <c r="E12" s="958" t="s">
        <v>710</v>
      </c>
      <c r="F12" s="958" t="s">
        <v>710</v>
      </c>
      <c r="G12" s="958" t="s">
        <v>710</v>
      </c>
      <c r="H12" s="958" t="s">
        <v>710</v>
      </c>
      <c r="I12" s="958" t="s">
        <v>710</v>
      </c>
      <c r="J12" s="958" t="s">
        <v>710</v>
      </c>
      <c r="K12" s="958" t="s">
        <v>710</v>
      </c>
      <c r="L12" s="958" t="s">
        <v>710</v>
      </c>
      <c r="M12" s="958" t="s">
        <v>710</v>
      </c>
      <c r="N12" s="958" t="s">
        <v>710</v>
      </c>
      <c r="O12" s="958" t="s">
        <v>710</v>
      </c>
      <c r="P12" s="961" t="s">
        <v>710</v>
      </c>
      <c r="Q12" s="445"/>
    </row>
    <row r="13" spans="1:17" ht="21">
      <c r="A13" s="940" t="s">
        <v>529</v>
      </c>
      <c r="B13" s="958" t="s">
        <v>720</v>
      </c>
      <c r="C13" s="958" t="s">
        <v>710</v>
      </c>
      <c r="D13" s="958" t="s">
        <v>720</v>
      </c>
      <c r="E13" s="958" t="s">
        <v>720</v>
      </c>
      <c r="F13" s="958" t="s">
        <v>710</v>
      </c>
      <c r="G13" s="958" t="s">
        <v>720</v>
      </c>
      <c r="H13" s="958" t="s">
        <v>720</v>
      </c>
      <c r="I13" s="958" t="s">
        <v>710</v>
      </c>
      <c r="J13" s="958" t="s">
        <v>710</v>
      </c>
      <c r="K13" s="958" t="s">
        <v>710</v>
      </c>
      <c r="L13" s="958" t="s">
        <v>710</v>
      </c>
      <c r="M13" s="958" t="s">
        <v>720</v>
      </c>
      <c r="N13" s="958" t="s">
        <v>710</v>
      </c>
      <c r="O13" s="958" t="s">
        <v>710</v>
      </c>
      <c r="P13" s="961" t="s">
        <v>710</v>
      </c>
      <c r="Q13" s="445"/>
    </row>
    <row r="14" spans="1:17" ht="30">
      <c r="A14" s="962" t="s">
        <v>721</v>
      </c>
      <c r="B14" s="948" t="s">
        <v>709</v>
      </c>
      <c r="C14" s="958" t="s">
        <v>710</v>
      </c>
      <c r="D14" s="948" t="s">
        <v>709</v>
      </c>
      <c r="E14" s="958" t="s">
        <v>710</v>
      </c>
      <c r="F14" s="958" t="s">
        <v>710</v>
      </c>
      <c r="G14" s="958" t="s">
        <v>710</v>
      </c>
      <c r="H14" s="958" t="s">
        <v>710</v>
      </c>
      <c r="I14" s="958" t="s">
        <v>710</v>
      </c>
      <c r="J14" s="958" t="s">
        <v>710</v>
      </c>
      <c r="K14" s="958" t="s">
        <v>710</v>
      </c>
      <c r="L14" s="958" t="s">
        <v>710</v>
      </c>
      <c r="M14" s="958" t="s">
        <v>710</v>
      </c>
      <c r="N14" s="958" t="s">
        <v>710</v>
      </c>
      <c r="O14" s="958" t="s">
        <v>710</v>
      </c>
      <c r="P14" s="959" t="s">
        <v>710</v>
      </c>
      <c r="Q14" s="963"/>
    </row>
    <row r="15" spans="1:17" s="455" customFormat="1" ht="21">
      <c r="A15" s="964" t="s">
        <v>530</v>
      </c>
      <c r="B15" s="454"/>
      <c r="C15" s="454"/>
      <c r="D15" s="454"/>
      <c r="E15" s="454"/>
      <c r="F15" s="454"/>
      <c r="G15" s="454"/>
      <c r="H15" s="454"/>
      <c r="I15" s="454"/>
      <c r="J15" s="454"/>
      <c r="K15" s="454"/>
      <c r="L15" s="454"/>
      <c r="M15" s="965"/>
      <c r="N15" s="454"/>
      <c r="O15" s="454"/>
      <c r="P15" s="966"/>
      <c r="Q15" s="967"/>
    </row>
    <row r="16" spans="1:17">
      <c r="M16" s="968"/>
    </row>
    <row r="17" spans="1:4">
      <c r="B17" s="969">
        <v>1</v>
      </c>
      <c r="C17" s="970">
        <v>2</v>
      </c>
      <c r="D17" s="971">
        <v>3</v>
      </c>
    </row>
    <row r="18" spans="1:4" ht="252">
      <c r="A18" s="972" t="s">
        <v>722</v>
      </c>
      <c r="B18" s="973" t="s">
        <v>723</v>
      </c>
      <c r="C18" s="974" t="s">
        <v>724</v>
      </c>
      <c r="D18" s="975" t="s">
        <v>725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0" t="s">
        <v>229</v>
      </c>
      <c r="B1" s="1139" t="s">
        <v>337</v>
      </c>
      <c r="C1" s="1139"/>
      <c r="D1" s="1141" t="s">
        <v>338</v>
      </c>
      <c r="E1" s="1141"/>
      <c r="F1" s="1141"/>
      <c r="G1" s="1141"/>
      <c r="H1" s="1141"/>
      <c r="I1" s="1141"/>
      <c r="J1" s="1141"/>
      <c r="K1" s="1141"/>
      <c r="L1" s="1141"/>
      <c r="M1" s="1141"/>
      <c r="N1" s="1141"/>
      <c r="O1" s="1141"/>
      <c r="P1" s="1139" t="s">
        <v>739</v>
      </c>
    </row>
    <row r="2" spans="1:16" ht="60">
      <c r="A2" s="1140"/>
      <c r="B2" s="1139"/>
      <c r="C2" s="1139"/>
      <c r="D2" s="1141" t="s">
        <v>190</v>
      </c>
      <c r="E2" s="1141"/>
      <c r="F2" s="1141"/>
      <c r="G2" s="1141"/>
      <c r="H2" s="1141"/>
      <c r="I2" s="978" t="s">
        <v>747</v>
      </c>
      <c r="J2" s="978" t="s">
        <v>222</v>
      </c>
      <c r="K2" s="978" t="s">
        <v>746</v>
      </c>
      <c r="L2" s="978" t="s">
        <v>686</v>
      </c>
      <c r="M2" s="978" t="s">
        <v>233</v>
      </c>
      <c r="N2" s="978" t="s">
        <v>744</v>
      </c>
      <c r="O2" s="978" t="s">
        <v>120</v>
      </c>
      <c r="P2" s="1139"/>
    </row>
    <row r="3" spans="1:16" ht="30">
      <c r="A3" s="1140"/>
      <c r="B3" s="978" t="s">
        <v>750</v>
      </c>
      <c r="C3" s="978" t="s">
        <v>751</v>
      </c>
      <c r="D3" s="978" t="s">
        <v>192</v>
      </c>
      <c r="E3" s="978" t="s">
        <v>193</v>
      </c>
      <c r="F3" s="978" t="s">
        <v>194</v>
      </c>
      <c r="G3" s="978" t="s">
        <v>196</v>
      </c>
      <c r="H3" s="978" t="s">
        <v>197</v>
      </c>
      <c r="I3" s="978"/>
      <c r="J3" s="978"/>
      <c r="K3" s="978"/>
      <c r="L3" s="978"/>
      <c r="M3" s="978"/>
      <c r="N3" s="978"/>
      <c r="O3" s="978"/>
      <c r="P3" s="1139"/>
    </row>
    <row r="4" spans="1:16">
      <c r="A4" s="983" t="s">
        <v>237</v>
      </c>
      <c r="B4" s="979">
        <f>'SEAP template'!B72</f>
        <v>24410.56222583029</v>
      </c>
      <c r="C4" s="979"/>
      <c r="D4" s="979"/>
      <c r="E4" s="979"/>
      <c r="F4" s="979"/>
      <c r="G4" s="979"/>
      <c r="H4" s="979"/>
      <c r="I4" s="979"/>
      <c r="J4" s="979"/>
      <c r="K4" s="979"/>
      <c r="L4" s="979"/>
      <c r="M4" s="979"/>
      <c r="N4" s="979"/>
      <c r="O4" s="979"/>
      <c r="P4" s="980">
        <f>'SEAP template'!Q72</f>
        <v>0</v>
      </c>
    </row>
    <row r="5" spans="1:16">
      <c r="A5" s="984" t="s">
        <v>238</v>
      </c>
      <c r="B5" s="979">
        <f>'SEAP template'!B73</f>
        <v>0</v>
      </c>
      <c r="C5" s="979"/>
      <c r="D5" s="979"/>
      <c r="E5" s="979"/>
      <c r="F5" s="979"/>
      <c r="G5" s="979"/>
      <c r="H5" s="979"/>
      <c r="I5" s="979"/>
      <c r="J5" s="979"/>
      <c r="K5" s="979"/>
      <c r="L5" s="979"/>
      <c r="M5" s="979"/>
      <c r="N5" s="979"/>
      <c r="O5" s="979"/>
      <c r="P5" s="980">
        <f>'SEAP template'!Q73</f>
        <v>0</v>
      </c>
    </row>
    <row r="6" spans="1:16">
      <c r="A6" s="984" t="s">
        <v>239</v>
      </c>
      <c r="B6" s="979">
        <f>'SEAP template'!B74</f>
        <v>12590.075053412182</v>
      </c>
      <c r="C6" s="979"/>
      <c r="D6" s="979"/>
      <c r="E6" s="979"/>
      <c r="F6" s="979"/>
      <c r="G6" s="979"/>
      <c r="H6" s="979"/>
      <c r="I6" s="979"/>
      <c r="J6" s="979"/>
      <c r="K6" s="979"/>
      <c r="L6" s="979"/>
      <c r="M6" s="979"/>
      <c r="N6" s="979"/>
      <c r="O6" s="979"/>
      <c r="P6" s="980">
        <f>'SEAP template'!Q74</f>
        <v>0</v>
      </c>
    </row>
    <row r="7" spans="1:16">
      <c r="A7" s="984" t="s">
        <v>686</v>
      </c>
      <c r="B7" s="979">
        <f>'SEAP template'!B75</f>
        <v>0</v>
      </c>
      <c r="C7" s="979"/>
      <c r="D7" s="979"/>
      <c r="E7" s="979"/>
      <c r="F7" s="979"/>
      <c r="G7" s="979"/>
      <c r="H7" s="979"/>
      <c r="I7" s="979"/>
      <c r="J7" s="979"/>
      <c r="K7" s="979"/>
      <c r="L7" s="979"/>
      <c r="M7" s="979"/>
      <c r="N7" s="979"/>
      <c r="O7" s="979"/>
      <c r="P7" s="980">
        <f>'SEAP template'!Q75</f>
        <v>0</v>
      </c>
    </row>
    <row r="8" spans="1:16">
      <c r="A8" s="983" t="s">
        <v>240</v>
      </c>
      <c r="B8" s="979">
        <f>'SEAP template'!B76</f>
        <v>0</v>
      </c>
      <c r="C8" s="979">
        <f>'SEAP template'!C76</f>
        <v>21622.5</v>
      </c>
      <c r="D8" s="979">
        <f>'SEAP template'!D76</f>
        <v>25438.235294117647</v>
      </c>
      <c r="E8" s="979">
        <f>'SEAP template'!E76</f>
        <v>0</v>
      </c>
      <c r="F8" s="979">
        <f>'SEAP template'!F76</f>
        <v>0</v>
      </c>
      <c r="G8" s="979">
        <f>'SEAP template'!G76</f>
        <v>0</v>
      </c>
      <c r="H8" s="979">
        <f>'SEAP template'!H76</f>
        <v>0</v>
      </c>
      <c r="I8" s="979">
        <f>'SEAP template'!I76</f>
        <v>0</v>
      </c>
      <c r="J8" s="979">
        <f>'SEAP template'!J76</f>
        <v>0</v>
      </c>
      <c r="K8" s="979">
        <f>'SEAP template'!K76</f>
        <v>0</v>
      </c>
      <c r="L8" s="979">
        <f>'SEAP template'!L76</f>
        <v>0</v>
      </c>
      <c r="M8" s="979">
        <f>'SEAP template'!M76</f>
        <v>0</v>
      </c>
      <c r="N8" s="979">
        <f>'SEAP template'!N76</f>
        <v>0</v>
      </c>
      <c r="O8" s="979">
        <f>'SEAP template'!O76</f>
        <v>0</v>
      </c>
      <c r="P8" s="980">
        <f>'SEAP template'!Q76</f>
        <v>5138.5235294117647</v>
      </c>
    </row>
    <row r="9" spans="1:16">
      <c r="A9" s="985" t="s">
        <v>742</v>
      </c>
      <c r="B9" s="979">
        <f>'SEAP template'!B77</f>
        <v>0</v>
      </c>
      <c r="C9" s="979">
        <f>'SEAP template'!C77</f>
        <v>0</v>
      </c>
      <c r="D9" s="979">
        <f>'SEAP template'!D77</f>
        <v>0</v>
      </c>
      <c r="E9" s="979">
        <f>'SEAP template'!E77</f>
        <v>0</v>
      </c>
      <c r="F9" s="979">
        <f>'SEAP template'!F77</f>
        <v>0</v>
      </c>
      <c r="G9" s="979">
        <f>'SEAP template'!G77</f>
        <v>0</v>
      </c>
      <c r="H9" s="979">
        <f>'SEAP template'!H77</f>
        <v>0</v>
      </c>
      <c r="I9" s="979">
        <f>'SEAP template'!I77</f>
        <v>0</v>
      </c>
      <c r="J9" s="979">
        <f>'SEAP template'!J77</f>
        <v>0</v>
      </c>
      <c r="K9" s="979">
        <f>'SEAP template'!K77</f>
        <v>0</v>
      </c>
      <c r="L9" s="979">
        <f>'SEAP template'!L77</f>
        <v>0</v>
      </c>
      <c r="M9" s="979">
        <f>'SEAP template'!M77</f>
        <v>0</v>
      </c>
      <c r="N9" s="979">
        <f>'SEAP template'!N77</f>
        <v>0</v>
      </c>
      <c r="O9" s="979">
        <f>'SEAP template'!O77</f>
        <v>0</v>
      </c>
      <c r="P9" s="980">
        <f>'SEAP template'!Q77</f>
        <v>0</v>
      </c>
    </row>
    <row r="10" spans="1:16">
      <c r="A10" s="984" t="s">
        <v>109</v>
      </c>
      <c r="B10" s="981">
        <f>SUM(B4:B9)</f>
        <v>37000.637279242474</v>
      </c>
      <c r="C10" s="981">
        <f>SUM(C4:C9)</f>
        <v>21622.5</v>
      </c>
      <c r="D10" s="981">
        <f t="shared" ref="D10:H10" si="0">SUM(D8:D9)</f>
        <v>25438.235294117647</v>
      </c>
      <c r="E10" s="981">
        <f t="shared" si="0"/>
        <v>0</v>
      </c>
      <c r="F10" s="981">
        <f t="shared" si="0"/>
        <v>0</v>
      </c>
      <c r="G10" s="981">
        <f t="shared" si="0"/>
        <v>0</v>
      </c>
      <c r="H10" s="981">
        <f t="shared" si="0"/>
        <v>0</v>
      </c>
      <c r="I10" s="981">
        <f>SUM(I8:I9)</f>
        <v>0</v>
      </c>
      <c r="J10" s="981">
        <f>SUM(J8:J9)</f>
        <v>0</v>
      </c>
      <c r="K10" s="981">
        <f t="shared" ref="K10:L10" si="1">SUM(K8:K9)</f>
        <v>0</v>
      </c>
      <c r="L10" s="981">
        <f t="shared" si="1"/>
        <v>0</v>
      </c>
      <c r="M10" s="981">
        <f>SUM(M8:M9)</f>
        <v>0</v>
      </c>
      <c r="N10" s="981">
        <f>SUM(N8:N9)</f>
        <v>0</v>
      </c>
      <c r="O10" s="981">
        <f>SUM(O8:O9)</f>
        <v>0</v>
      </c>
      <c r="P10" s="981">
        <f>SUM(P8:P9)</f>
        <v>5138.5235294117647</v>
      </c>
    </row>
    <row r="11" spans="1:16">
      <c r="A11" s="847"/>
      <c r="B11" s="847"/>
      <c r="C11" s="847"/>
      <c r="D11" s="847"/>
      <c r="E11" s="847"/>
      <c r="F11" s="847"/>
      <c r="G11" s="847"/>
      <c r="H11" s="847"/>
      <c r="I11" s="847"/>
      <c r="J11" s="847"/>
      <c r="K11" s="847"/>
      <c r="L11" s="847"/>
      <c r="M11" s="847"/>
      <c r="N11" s="847"/>
      <c r="O11" s="847"/>
      <c r="P11" s="847"/>
    </row>
    <row r="12" spans="1:16">
      <c r="A12" s="456" t="s">
        <v>753</v>
      </c>
      <c r="B12" s="736" t="s">
        <v>752</v>
      </c>
      <c r="C12" s="736">
        <f ca="1">'EF ele_warmte'!B12</f>
        <v>0.18511569550327223</v>
      </c>
      <c r="D12" s="847"/>
      <c r="E12" s="847"/>
      <c r="F12" s="847"/>
      <c r="G12" s="847"/>
      <c r="H12" s="847"/>
      <c r="I12" s="847"/>
      <c r="J12" s="847"/>
      <c r="K12" s="847"/>
      <c r="L12" s="847"/>
      <c r="M12" s="847"/>
      <c r="N12" s="847"/>
      <c r="O12" s="847"/>
      <c r="P12" s="847"/>
    </row>
    <row r="13" spans="1:16">
      <c r="A13" s="847"/>
      <c r="B13" s="847"/>
      <c r="C13" s="847"/>
      <c r="D13" s="847"/>
      <c r="E13" s="847"/>
      <c r="F13" s="847"/>
      <c r="G13" s="847"/>
      <c r="H13" s="847"/>
      <c r="I13" s="847"/>
      <c r="J13" s="847"/>
      <c r="K13" s="847"/>
      <c r="L13" s="847"/>
      <c r="M13" s="847"/>
      <c r="N13" s="847"/>
      <c r="O13" s="847"/>
      <c r="P13" s="847"/>
    </row>
    <row r="14" spans="1:16" ht="17.25" customHeight="1">
      <c r="A14" s="1140" t="s">
        <v>241</v>
      </c>
      <c r="B14" s="1139" t="s">
        <v>341</v>
      </c>
      <c r="C14" s="1139"/>
      <c r="D14" s="1141" t="s">
        <v>342</v>
      </c>
      <c r="E14" s="1141"/>
      <c r="F14" s="1141"/>
      <c r="G14" s="1141"/>
      <c r="H14" s="1141"/>
      <c r="I14" s="1141"/>
      <c r="J14" s="1141"/>
      <c r="K14" s="1141"/>
      <c r="L14" s="1141"/>
      <c r="M14" s="1141"/>
      <c r="N14" s="1141"/>
      <c r="O14" s="1141"/>
      <c r="P14" s="1139" t="s">
        <v>740</v>
      </c>
    </row>
    <row r="15" spans="1:16">
      <c r="A15" s="1140"/>
      <c r="B15" s="1139"/>
      <c r="C15" s="1139"/>
      <c r="D15" s="1142" t="s">
        <v>190</v>
      </c>
      <c r="E15" s="1142"/>
      <c r="F15" s="1142"/>
      <c r="G15" s="1142"/>
      <c r="H15" s="1142"/>
      <c r="I15" s="1139" t="s">
        <v>747</v>
      </c>
      <c r="J15" s="1139" t="s">
        <v>222</v>
      </c>
      <c r="K15" s="1139" t="s">
        <v>746</v>
      </c>
      <c r="L15" s="1139" t="s">
        <v>686</v>
      </c>
      <c r="M15" s="1139" t="s">
        <v>233</v>
      </c>
      <c r="N15" s="1139" t="s">
        <v>745</v>
      </c>
      <c r="O15" s="1139" t="s">
        <v>120</v>
      </c>
      <c r="P15" s="1139"/>
    </row>
    <row r="16" spans="1:16" ht="30">
      <c r="A16" s="1140"/>
      <c r="B16" s="978" t="s">
        <v>748</v>
      </c>
      <c r="C16" s="978" t="s">
        <v>749</v>
      </c>
      <c r="D16" s="978" t="s">
        <v>192</v>
      </c>
      <c r="E16" s="978" t="s">
        <v>193</v>
      </c>
      <c r="F16" s="978" t="s">
        <v>194</v>
      </c>
      <c r="G16" s="978" t="s">
        <v>196</v>
      </c>
      <c r="H16" s="978" t="s">
        <v>197</v>
      </c>
      <c r="I16" s="1139"/>
      <c r="J16" s="1139"/>
      <c r="K16" s="1139"/>
      <c r="L16" s="1139"/>
      <c r="M16" s="1139"/>
      <c r="N16" s="1139"/>
      <c r="O16" s="1143"/>
      <c r="P16" s="1139"/>
    </row>
    <row r="17" spans="1:16">
      <c r="A17" s="986" t="s">
        <v>240</v>
      </c>
      <c r="B17" s="982">
        <f>'SEAP template'!B87</f>
        <v>0</v>
      </c>
      <c r="C17" s="982">
        <f>'SEAP template'!C87</f>
        <v>30889.28571428571</v>
      </c>
      <c r="D17" s="980">
        <f>'SEAP template'!D87</f>
        <v>36340.336134453777</v>
      </c>
      <c r="E17" s="980">
        <f>'SEAP template'!E87</f>
        <v>0</v>
      </c>
      <c r="F17" s="980">
        <f>'SEAP template'!F87</f>
        <v>0</v>
      </c>
      <c r="G17" s="980">
        <f>'SEAP template'!G87</f>
        <v>0</v>
      </c>
      <c r="H17" s="980">
        <f>'SEAP template'!H87</f>
        <v>0</v>
      </c>
      <c r="I17" s="980">
        <f>'SEAP template'!I87</f>
        <v>0</v>
      </c>
      <c r="J17" s="980">
        <f>'SEAP template'!J87</f>
        <v>0</v>
      </c>
      <c r="K17" s="980">
        <f>'SEAP template'!K87</f>
        <v>0</v>
      </c>
      <c r="L17" s="980">
        <f>'SEAP template'!L87</f>
        <v>0</v>
      </c>
      <c r="M17" s="980">
        <f>'SEAP template'!M87</f>
        <v>0</v>
      </c>
      <c r="N17" s="980">
        <f>'SEAP template'!N87</f>
        <v>0</v>
      </c>
      <c r="O17" s="980">
        <f>'SEAP template'!O87</f>
        <v>0</v>
      </c>
      <c r="P17" s="980">
        <f>'SEAP template'!Q87</f>
        <v>7340.7478991596636</v>
      </c>
    </row>
    <row r="18" spans="1:16">
      <c r="A18" s="987" t="s">
        <v>246</v>
      </c>
      <c r="B18" s="982">
        <f>'SEAP template'!B88</f>
        <v>0</v>
      </c>
      <c r="C18" s="982">
        <f>'SEAP template'!C88</f>
        <v>0</v>
      </c>
      <c r="D18" s="980">
        <f>'SEAP template'!D88</f>
        <v>0</v>
      </c>
      <c r="E18" s="980">
        <f>'SEAP template'!E88</f>
        <v>0</v>
      </c>
      <c r="F18" s="980">
        <f>'SEAP template'!F88</f>
        <v>0</v>
      </c>
      <c r="G18" s="980">
        <f>'SEAP template'!G88</f>
        <v>0</v>
      </c>
      <c r="H18" s="980">
        <f>'SEAP template'!H88</f>
        <v>0</v>
      </c>
      <c r="I18" s="980">
        <f>'SEAP template'!I88</f>
        <v>0</v>
      </c>
      <c r="J18" s="980">
        <f>'SEAP template'!J88</f>
        <v>0</v>
      </c>
      <c r="K18" s="980">
        <f>'SEAP template'!K88</f>
        <v>0</v>
      </c>
      <c r="L18" s="980">
        <f>'SEAP template'!L88</f>
        <v>0</v>
      </c>
      <c r="M18" s="980">
        <f>'SEAP template'!M88</f>
        <v>0</v>
      </c>
      <c r="N18" s="980">
        <f>'SEAP template'!N88</f>
        <v>0</v>
      </c>
      <c r="O18" s="980">
        <f>'SEAP template'!O88</f>
        <v>0</v>
      </c>
      <c r="P18" s="980">
        <f>'SEAP template'!Q88</f>
        <v>0</v>
      </c>
    </row>
    <row r="19" spans="1:16">
      <c r="A19" s="985" t="s">
        <v>743</v>
      </c>
      <c r="B19" s="982">
        <f>'SEAP template'!B89</f>
        <v>0</v>
      </c>
      <c r="C19" s="982">
        <f>'SEAP template'!C89</f>
        <v>0</v>
      </c>
      <c r="D19" s="980">
        <f>'SEAP template'!D89</f>
        <v>0</v>
      </c>
      <c r="E19" s="980">
        <f>'SEAP template'!E89</f>
        <v>0</v>
      </c>
      <c r="F19" s="980">
        <f>'SEAP template'!F89</f>
        <v>0</v>
      </c>
      <c r="G19" s="980">
        <f>'SEAP template'!G89</f>
        <v>0</v>
      </c>
      <c r="H19" s="980">
        <f>'SEAP template'!H89</f>
        <v>0</v>
      </c>
      <c r="I19" s="980">
        <f>'SEAP template'!I89</f>
        <v>0</v>
      </c>
      <c r="J19" s="980">
        <f>'SEAP template'!J89</f>
        <v>0</v>
      </c>
      <c r="K19" s="980">
        <f>'SEAP template'!K89</f>
        <v>0</v>
      </c>
      <c r="L19" s="980">
        <f>'SEAP template'!L89</f>
        <v>0</v>
      </c>
      <c r="M19" s="980">
        <f>'SEAP template'!M89</f>
        <v>0</v>
      </c>
      <c r="N19" s="980">
        <f>'SEAP template'!N89</f>
        <v>0</v>
      </c>
      <c r="O19" s="980">
        <f>'SEAP template'!O89</f>
        <v>0</v>
      </c>
      <c r="P19" s="980">
        <f>'SEAP template'!Q89</f>
        <v>0</v>
      </c>
    </row>
    <row r="20" spans="1:16">
      <c r="A20" s="988" t="s">
        <v>109</v>
      </c>
      <c r="B20" s="981">
        <f>SUM(B17:B19)</f>
        <v>0</v>
      </c>
      <c r="C20" s="981">
        <f>SUM(C17:C19)</f>
        <v>30889.28571428571</v>
      </c>
      <c r="D20" s="981">
        <f t="shared" ref="D20:H20" si="2">SUM(D17:D19)</f>
        <v>36340.336134453777</v>
      </c>
      <c r="E20" s="981">
        <f t="shared" si="2"/>
        <v>0</v>
      </c>
      <c r="F20" s="981">
        <f t="shared" si="2"/>
        <v>0</v>
      </c>
      <c r="G20" s="981">
        <f t="shared" si="2"/>
        <v>0</v>
      </c>
      <c r="H20" s="981">
        <f t="shared" si="2"/>
        <v>0</v>
      </c>
      <c r="I20" s="981">
        <f>SUM(I17:I19)</f>
        <v>0</v>
      </c>
      <c r="J20" s="981">
        <f>SUM(J17:J19)</f>
        <v>0</v>
      </c>
      <c r="K20" s="981">
        <f t="shared" ref="K20:L20" si="3">SUM(K17:K19)</f>
        <v>0</v>
      </c>
      <c r="L20" s="981">
        <f t="shared" si="3"/>
        <v>0</v>
      </c>
      <c r="M20" s="981">
        <f>SUM(M17:M19)</f>
        <v>0</v>
      </c>
      <c r="N20" s="981">
        <f>SUM(N17:N19)</f>
        <v>0</v>
      </c>
      <c r="O20" s="981">
        <f>SUM(O17:O19)</f>
        <v>0</v>
      </c>
      <c r="P20" s="981">
        <f>SUM(P17:P19)</f>
        <v>7340.7478991596636</v>
      </c>
    </row>
    <row r="21" spans="1:16">
      <c r="B21" s="840"/>
    </row>
    <row r="22" spans="1:16">
      <c r="A22" s="456" t="s">
        <v>754</v>
      </c>
      <c r="B22" s="736" t="s">
        <v>752</v>
      </c>
      <c r="C22" s="736">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4" workbookViewId="0">
      <selection activeCell="A5" sqref="A5"/>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0" t="s">
        <v>229</v>
      </c>
      <c r="B1" s="1139" t="s">
        <v>337</v>
      </c>
      <c r="C1" s="1139"/>
      <c r="D1" s="1141" t="s">
        <v>338</v>
      </c>
      <c r="E1" s="1141"/>
      <c r="F1" s="1141"/>
      <c r="G1" s="1141"/>
      <c r="H1" s="1141"/>
      <c r="I1" s="1141"/>
      <c r="J1" s="1141"/>
      <c r="K1" s="1141"/>
      <c r="L1" s="1141"/>
      <c r="M1" s="1141"/>
      <c r="N1" s="1141"/>
      <c r="O1" s="1141"/>
      <c r="P1" s="1139" t="s">
        <v>739</v>
      </c>
    </row>
    <row r="2" spans="1:16" ht="15.75">
      <c r="A2" s="1140"/>
      <c r="B2" s="1139"/>
      <c r="C2" s="1139"/>
      <c r="D2" s="1141" t="s">
        <v>190</v>
      </c>
      <c r="E2" s="1141"/>
      <c r="F2" s="1141"/>
      <c r="G2" s="1141"/>
      <c r="H2" s="1141"/>
      <c r="I2" s="978" t="s">
        <v>747</v>
      </c>
      <c r="J2" s="978" t="s">
        <v>222</v>
      </c>
      <c r="K2" s="978" t="s">
        <v>746</v>
      </c>
      <c r="L2" s="978" t="s">
        <v>686</v>
      </c>
      <c r="M2" s="978" t="s">
        <v>233</v>
      </c>
      <c r="N2" s="978" t="s">
        <v>744</v>
      </c>
      <c r="O2" s="978" t="s">
        <v>120</v>
      </c>
      <c r="P2" s="1139"/>
    </row>
    <row r="3" spans="1:16" ht="30">
      <c r="A3" s="1140"/>
      <c r="B3" s="978" t="s">
        <v>750</v>
      </c>
      <c r="C3" s="978" t="s">
        <v>751</v>
      </c>
      <c r="D3" s="978" t="s">
        <v>192</v>
      </c>
      <c r="E3" s="978" t="s">
        <v>193</v>
      </c>
      <c r="F3" s="978" t="s">
        <v>194</v>
      </c>
      <c r="G3" s="978" t="s">
        <v>196</v>
      </c>
      <c r="H3" s="978" t="s">
        <v>197</v>
      </c>
      <c r="I3" s="978"/>
      <c r="J3" s="978"/>
      <c r="K3" s="978"/>
      <c r="L3" s="978"/>
      <c r="M3" s="978"/>
      <c r="N3" s="978"/>
      <c r="O3" s="978"/>
      <c r="P3" s="1139"/>
    </row>
    <row r="4" spans="1:16" ht="110.25" customHeight="1">
      <c r="A4" s="992" t="s">
        <v>237</v>
      </c>
      <c r="B4" s="990" t="s">
        <v>871</v>
      </c>
      <c r="C4" s="995" t="s">
        <v>710</v>
      </c>
      <c r="D4" s="995" t="s">
        <v>710</v>
      </c>
      <c r="E4" s="995" t="s">
        <v>710</v>
      </c>
      <c r="F4" s="995" t="s">
        <v>710</v>
      </c>
      <c r="G4" s="995" t="s">
        <v>710</v>
      </c>
      <c r="H4" s="995" t="s">
        <v>710</v>
      </c>
      <c r="I4" s="995" t="s">
        <v>710</v>
      </c>
      <c r="J4" s="995" t="s">
        <v>710</v>
      </c>
      <c r="K4" s="995" t="s">
        <v>710</v>
      </c>
      <c r="L4" s="995" t="s">
        <v>710</v>
      </c>
      <c r="M4" s="995" t="s">
        <v>710</v>
      </c>
      <c r="N4" s="995" t="s">
        <v>710</v>
      </c>
      <c r="O4" s="995" t="s">
        <v>710</v>
      </c>
      <c r="P4" s="991" t="s">
        <v>755</v>
      </c>
    </row>
    <row r="5" spans="1:16" ht="135">
      <c r="A5" s="993" t="s">
        <v>238</v>
      </c>
      <c r="B5" s="990" t="s">
        <v>871</v>
      </c>
      <c r="C5" s="995" t="s">
        <v>710</v>
      </c>
      <c r="D5" s="995" t="s">
        <v>710</v>
      </c>
      <c r="E5" s="995" t="s">
        <v>710</v>
      </c>
      <c r="F5" s="995" t="s">
        <v>710</v>
      </c>
      <c r="G5" s="995" t="s">
        <v>710</v>
      </c>
      <c r="H5" s="995" t="s">
        <v>710</v>
      </c>
      <c r="I5" s="995" t="s">
        <v>710</v>
      </c>
      <c r="J5" s="995" t="s">
        <v>710</v>
      </c>
      <c r="K5" s="995" t="s">
        <v>710</v>
      </c>
      <c r="L5" s="995" t="s">
        <v>710</v>
      </c>
      <c r="M5" s="995" t="s">
        <v>710</v>
      </c>
      <c r="N5" s="995" t="s">
        <v>710</v>
      </c>
      <c r="O5" s="995" t="s">
        <v>710</v>
      </c>
      <c r="P5" s="991" t="s">
        <v>755</v>
      </c>
    </row>
    <row r="6" spans="1:16" ht="135">
      <c r="A6" s="993" t="s">
        <v>239</v>
      </c>
      <c r="B6" s="990" t="s">
        <v>871</v>
      </c>
      <c r="C6" s="995" t="s">
        <v>710</v>
      </c>
      <c r="D6" s="995" t="s">
        <v>710</v>
      </c>
      <c r="E6" s="995" t="s">
        <v>710</v>
      </c>
      <c r="F6" s="995" t="s">
        <v>710</v>
      </c>
      <c r="G6" s="995" t="s">
        <v>710</v>
      </c>
      <c r="H6" s="995" t="s">
        <v>710</v>
      </c>
      <c r="I6" s="995" t="s">
        <v>710</v>
      </c>
      <c r="J6" s="995" t="s">
        <v>710</v>
      </c>
      <c r="K6" s="995" t="s">
        <v>710</v>
      </c>
      <c r="L6" s="995" t="s">
        <v>710</v>
      </c>
      <c r="M6" s="995" t="s">
        <v>710</v>
      </c>
      <c r="N6" s="995" t="s">
        <v>710</v>
      </c>
      <c r="O6" s="995" t="s">
        <v>710</v>
      </c>
      <c r="P6" s="991" t="s">
        <v>755</v>
      </c>
    </row>
    <row r="7" spans="1:16" ht="135">
      <c r="A7" s="993" t="s">
        <v>686</v>
      </c>
      <c r="B7" s="995" t="s">
        <v>710</v>
      </c>
      <c r="C7" s="995" t="s">
        <v>710</v>
      </c>
      <c r="D7" s="995" t="s">
        <v>710</v>
      </c>
      <c r="E7" s="995" t="s">
        <v>710</v>
      </c>
      <c r="F7" s="995" t="s">
        <v>710</v>
      </c>
      <c r="G7" s="995" t="s">
        <v>710</v>
      </c>
      <c r="H7" s="995" t="s">
        <v>710</v>
      </c>
      <c r="I7" s="995" t="s">
        <v>710</v>
      </c>
      <c r="J7" s="995" t="s">
        <v>710</v>
      </c>
      <c r="K7" s="995" t="s">
        <v>710</v>
      </c>
      <c r="L7" s="995" t="s">
        <v>710</v>
      </c>
      <c r="M7" s="995" t="s">
        <v>710</v>
      </c>
      <c r="N7" s="995" t="s">
        <v>710</v>
      </c>
      <c r="O7" s="995" t="s">
        <v>710</v>
      </c>
      <c r="P7" s="991" t="s">
        <v>755</v>
      </c>
    </row>
    <row r="8" spans="1:16" ht="210">
      <c r="A8" s="992" t="s">
        <v>240</v>
      </c>
      <c r="B8" s="990" t="s">
        <v>756</v>
      </c>
      <c r="C8" s="990" t="s">
        <v>756</v>
      </c>
      <c r="D8" s="990" t="s">
        <v>756</v>
      </c>
      <c r="E8" s="990" t="s">
        <v>756</v>
      </c>
      <c r="F8" s="990" t="s">
        <v>756</v>
      </c>
      <c r="G8" s="990" t="s">
        <v>756</v>
      </c>
      <c r="H8" s="990" t="s">
        <v>756</v>
      </c>
      <c r="I8" s="990" t="s">
        <v>756</v>
      </c>
      <c r="J8" s="990" t="s">
        <v>756</v>
      </c>
      <c r="K8" s="995" t="s">
        <v>710</v>
      </c>
      <c r="L8" s="995" t="s">
        <v>710</v>
      </c>
      <c r="M8" s="995" t="s">
        <v>710</v>
      </c>
      <c r="N8" s="990" t="s">
        <v>757</v>
      </c>
      <c r="O8" s="990" t="s">
        <v>757</v>
      </c>
      <c r="P8" s="996"/>
    </row>
    <row r="9" spans="1:16" ht="210">
      <c r="A9" s="994" t="s">
        <v>742</v>
      </c>
      <c r="B9" s="990" t="s">
        <v>757</v>
      </c>
      <c r="C9" s="990" t="s">
        <v>757</v>
      </c>
      <c r="D9" s="990" t="s">
        <v>757</v>
      </c>
      <c r="E9" s="990" t="s">
        <v>757</v>
      </c>
      <c r="F9" s="990" t="s">
        <v>757</v>
      </c>
      <c r="G9" s="990" t="s">
        <v>757</v>
      </c>
      <c r="H9" s="990" t="s">
        <v>757</v>
      </c>
      <c r="I9" s="990" t="s">
        <v>757</v>
      </c>
      <c r="J9" s="990" t="s">
        <v>757</v>
      </c>
      <c r="K9" s="995" t="s">
        <v>710</v>
      </c>
      <c r="L9" s="990" t="s">
        <v>757</v>
      </c>
      <c r="M9" s="990" t="s">
        <v>757</v>
      </c>
      <c r="N9" s="990" t="s">
        <v>757</v>
      </c>
      <c r="O9" s="990" t="s">
        <v>757</v>
      </c>
      <c r="P9" s="996"/>
    </row>
    <row r="10" spans="1:16">
      <c r="A10" s="993" t="s">
        <v>109</v>
      </c>
      <c r="B10" s="997"/>
      <c r="C10" s="997"/>
      <c r="D10" s="997"/>
      <c r="E10" s="997"/>
      <c r="F10" s="997"/>
      <c r="G10" s="997"/>
      <c r="H10" s="997"/>
      <c r="I10" s="997"/>
      <c r="J10" s="997"/>
      <c r="K10" s="997"/>
      <c r="L10" s="997"/>
      <c r="M10" s="997"/>
      <c r="N10" s="997"/>
      <c r="O10" s="997"/>
      <c r="P10" s="997"/>
    </row>
    <row r="11" spans="1:16">
      <c r="A11" s="847"/>
      <c r="B11" s="847"/>
      <c r="C11" s="847"/>
      <c r="D11" s="847"/>
      <c r="E11" s="847"/>
      <c r="F11" s="847"/>
      <c r="G11" s="847"/>
      <c r="H11" s="847"/>
      <c r="I11" s="847"/>
      <c r="J11" s="847"/>
      <c r="K11" s="847"/>
      <c r="L11" s="847"/>
      <c r="M11" s="847"/>
      <c r="N11" s="847"/>
      <c r="O11" s="847"/>
      <c r="P11" s="847"/>
    </row>
    <row r="12" spans="1:16" ht="150">
      <c r="A12" s="456" t="s">
        <v>753</v>
      </c>
      <c r="B12" s="736" t="s">
        <v>752</v>
      </c>
      <c r="C12" s="998" t="s">
        <v>758</v>
      </c>
      <c r="D12" s="847"/>
      <c r="E12" s="847"/>
      <c r="F12" s="847"/>
      <c r="G12" s="847"/>
      <c r="H12" s="847"/>
      <c r="I12" s="847"/>
      <c r="J12" s="847"/>
      <c r="K12" s="847"/>
      <c r="L12" s="847"/>
      <c r="M12" s="847"/>
      <c r="N12" s="847"/>
      <c r="O12" s="847"/>
      <c r="P12" s="847"/>
    </row>
    <row r="13" spans="1:16">
      <c r="A13" s="847"/>
      <c r="B13" s="847"/>
      <c r="C13" s="847"/>
      <c r="D13" s="847"/>
      <c r="E13" s="847"/>
      <c r="F13" s="847"/>
      <c r="G13" s="847"/>
      <c r="H13" s="847"/>
      <c r="I13" s="847"/>
      <c r="J13" s="847"/>
      <c r="K13" s="847"/>
      <c r="L13" s="847"/>
      <c r="M13" s="847"/>
      <c r="N13" s="847"/>
      <c r="O13" s="847"/>
      <c r="P13" s="847"/>
    </row>
    <row r="14" spans="1:16" ht="15.75">
      <c r="A14" s="1140" t="s">
        <v>241</v>
      </c>
      <c r="B14" s="1139" t="s">
        <v>341</v>
      </c>
      <c r="C14" s="1139"/>
      <c r="D14" s="1141" t="s">
        <v>342</v>
      </c>
      <c r="E14" s="1141"/>
      <c r="F14" s="1141"/>
      <c r="G14" s="1141"/>
      <c r="H14" s="1141"/>
      <c r="I14" s="1141"/>
      <c r="J14" s="1141"/>
      <c r="K14" s="1141"/>
      <c r="L14" s="1141"/>
      <c r="M14" s="1141"/>
      <c r="N14" s="1141"/>
      <c r="O14" s="1141"/>
      <c r="P14" s="1139" t="s">
        <v>740</v>
      </c>
    </row>
    <row r="15" spans="1:16">
      <c r="A15" s="1140"/>
      <c r="B15" s="1139"/>
      <c r="C15" s="1139"/>
      <c r="D15" s="1142" t="s">
        <v>190</v>
      </c>
      <c r="E15" s="1142"/>
      <c r="F15" s="1142"/>
      <c r="G15" s="1142"/>
      <c r="H15" s="1142"/>
      <c r="I15" s="1139" t="s">
        <v>747</v>
      </c>
      <c r="J15" s="1139" t="s">
        <v>222</v>
      </c>
      <c r="K15" s="1139" t="s">
        <v>746</v>
      </c>
      <c r="L15" s="1139" t="s">
        <v>686</v>
      </c>
      <c r="M15" s="1139" t="s">
        <v>233</v>
      </c>
      <c r="N15" s="1139" t="s">
        <v>745</v>
      </c>
      <c r="O15" s="1139" t="s">
        <v>120</v>
      </c>
      <c r="P15" s="1139"/>
    </row>
    <row r="16" spans="1:16" ht="30">
      <c r="A16" s="1140"/>
      <c r="B16" s="978" t="s">
        <v>748</v>
      </c>
      <c r="C16" s="978" t="s">
        <v>749</v>
      </c>
      <c r="D16" s="978" t="s">
        <v>192</v>
      </c>
      <c r="E16" s="978" t="s">
        <v>193</v>
      </c>
      <c r="F16" s="978" t="s">
        <v>194</v>
      </c>
      <c r="G16" s="978" t="s">
        <v>196</v>
      </c>
      <c r="H16" s="978" t="s">
        <v>197</v>
      </c>
      <c r="I16" s="1139"/>
      <c r="J16" s="1139"/>
      <c r="K16" s="1139"/>
      <c r="L16" s="1139"/>
      <c r="M16" s="1139"/>
      <c r="N16" s="1139"/>
      <c r="O16" s="1143"/>
      <c r="P16" s="1139"/>
    </row>
    <row r="17" spans="1:16" ht="210">
      <c r="A17" s="986" t="s">
        <v>240</v>
      </c>
      <c r="B17" s="990" t="s">
        <v>757</v>
      </c>
      <c r="C17" s="990" t="s">
        <v>757</v>
      </c>
      <c r="D17" s="990" t="s">
        <v>757</v>
      </c>
      <c r="E17" s="990" t="s">
        <v>757</v>
      </c>
      <c r="F17" s="990" t="s">
        <v>757</v>
      </c>
      <c r="G17" s="990" t="s">
        <v>757</v>
      </c>
      <c r="H17" s="990" t="s">
        <v>757</v>
      </c>
      <c r="I17" s="990" t="s">
        <v>757</v>
      </c>
      <c r="J17" s="990" t="s">
        <v>757</v>
      </c>
      <c r="K17" s="995" t="s">
        <v>710</v>
      </c>
      <c r="L17" s="995" t="s">
        <v>710</v>
      </c>
      <c r="M17" s="995" t="s">
        <v>710</v>
      </c>
      <c r="N17" s="990" t="s">
        <v>757</v>
      </c>
      <c r="O17" s="990" t="s">
        <v>757</v>
      </c>
      <c r="P17" s="989"/>
    </row>
    <row r="18" spans="1:16" ht="45">
      <c r="A18" s="987" t="s">
        <v>246</v>
      </c>
      <c r="B18" s="991" t="s">
        <v>720</v>
      </c>
      <c r="C18" s="991" t="s">
        <v>720</v>
      </c>
      <c r="D18" s="991" t="s">
        <v>720</v>
      </c>
      <c r="E18" s="991" t="s">
        <v>720</v>
      </c>
      <c r="F18" s="991" t="s">
        <v>720</v>
      </c>
      <c r="G18" s="991" t="s">
        <v>720</v>
      </c>
      <c r="H18" s="991" t="s">
        <v>720</v>
      </c>
      <c r="I18" s="991" t="s">
        <v>720</v>
      </c>
      <c r="J18" s="991" t="s">
        <v>720</v>
      </c>
      <c r="K18" s="991" t="s">
        <v>720</v>
      </c>
      <c r="L18" s="991" t="s">
        <v>720</v>
      </c>
      <c r="M18" s="991" t="s">
        <v>720</v>
      </c>
      <c r="N18" s="991" t="s">
        <v>720</v>
      </c>
      <c r="O18" s="991" t="s">
        <v>720</v>
      </c>
      <c r="P18" s="991" t="s">
        <v>720</v>
      </c>
    </row>
    <row r="19" spans="1:16" ht="45">
      <c r="A19" s="985" t="s">
        <v>743</v>
      </c>
      <c r="B19" s="991" t="s">
        <v>720</v>
      </c>
      <c r="C19" s="991" t="s">
        <v>720</v>
      </c>
      <c r="D19" s="991" t="s">
        <v>720</v>
      </c>
      <c r="E19" s="991" t="s">
        <v>720</v>
      </c>
      <c r="F19" s="991" t="s">
        <v>720</v>
      </c>
      <c r="G19" s="991" t="s">
        <v>720</v>
      </c>
      <c r="H19" s="991" t="s">
        <v>720</v>
      </c>
      <c r="I19" s="991" t="s">
        <v>720</v>
      </c>
      <c r="J19" s="991" t="s">
        <v>720</v>
      </c>
      <c r="K19" s="991" t="s">
        <v>720</v>
      </c>
      <c r="L19" s="991" t="s">
        <v>720</v>
      </c>
      <c r="M19" s="991" t="s">
        <v>720</v>
      </c>
      <c r="N19" s="991" t="s">
        <v>720</v>
      </c>
      <c r="O19" s="991" t="s">
        <v>720</v>
      </c>
      <c r="P19" s="991" t="s">
        <v>720</v>
      </c>
    </row>
    <row r="20" spans="1:16">
      <c r="A20" s="988" t="s">
        <v>109</v>
      </c>
      <c r="B20" s="981"/>
      <c r="C20" s="981"/>
      <c r="D20" s="981"/>
      <c r="E20" s="981"/>
      <c r="F20" s="981"/>
      <c r="G20" s="981"/>
      <c r="H20" s="981"/>
      <c r="I20" s="981"/>
      <c r="J20" s="981"/>
      <c r="K20" s="981"/>
      <c r="L20" s="981"/>
      <c r="M20" s="981"/>
      <c r="N20" s="981"/>
      <c r="O20" s="981"/>
      <c r="P20" s="981"/>
    </row>
    <row r="21" spans="1:16">
      <c r="A21" s="840"/>
      <c r="B21" s="840"/>
      <c r="C21" s="840"/>
      <c r="D21" s="840"/>
      <c r="E21" s="840"/>
      <c r="F21" s="840"/>
      <c r="G21" s="840"/>
      <c r="H21" s="840"/>
      <c r="I21" s="840"/>
      <c r="J21" s="840"/>
      <c r="K21" s="840"/>
      <c r="L21" s="840"/>
      <c r="M21" s="840"/>
      <c r="N21" s="840"/>
      <c r="O21" s="840"/>
      <c r="P21" s="840"/>
    </row>
    <row r="22" spans="1:16" ht="90">
      <c r="A22" s="456" t="s">
        <v>754</v>
      </c>
      <c r="B22" s="736" t="s">
        <v>752</v>
      </c>
      <c r="C22" s="998" t="s">
        <v>759</v>
      </c>
      <c r="D22" s="840"/>
      <c r="E22" s="840"/>
      <c r="F22" s="840"/>
      <c r="G22" s="840"/>
      <c r="H22" s="840"/>
      <c r="I22" s="840"/>
      <c r="J22" s="840"/>
      <c r="K22" s="840"/>
      <c r="L22" s="840"/>
      <c r="M22" s="840"/>
      <c r="N22" s="840"/>
      <c r="O22" s="840"/>
      <c r="P22" s="84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B21" sqref="B21"/>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553</v>
      </c>
      <c r="B6" s="75" t="s">
        <v>554</v>
      </c>
      <c r="C6" s="426" t="s">
        <v>537</v>
      </c>
    </row>
    <row r="7" spans="1:3">
      <c r="A7" s="124"/>
      <c r="B7" s="128"/>
      <c r="C7" s="122"/>
    </row>
    <row r="8" spans="1:3">
      <c r="A8" s="113" t="s">
        <v>556</v>
      </c>
      <c r="B8" s="75" t="s">
        <v>555</v>
      </c>
      <c r="C8" s="426" t="s">
        <v>369</v>
      </c>
    </row>
    <row r="9" spans="1:3">
      <c r="A9" s="124"/>
      <c r="B9" s="128"/>
      <c r="C9" s="122"/>
    </row>
    <row r="10" spans="1:3">
      <c r="A10" s="113" t="s">
        <v>315</v>
      </c>
      <c r="B10" s="75" t="s">
        <v>367</v>
      </c>
      <c r="C10" s="114" t="s">
        <v>369</v>
      </c>
    </row>
    <row r="11" spans="1:3">
      <c r="A11" s="124"/>
      <c r="B11" s="128"/>
      <c r="C11" s="122"/>
    </row>
    <row r="12" spans="1:3" ht="30">
      <c r="A12" s="113" t="s">
        <v>384</v>
      </c>
      <c r="B12" s="75" t="s">
        <v>496</v>
      </c>
      <c r="C12" s="306" t="s">
        <v>567</v>
      </c>
    </row>
    <row r="13" spans="1:3" s="11" customFormat="1">
      <c r="A13" s="139"/>
      <c r="B13" s="157"/>
      <c r="C13" s="158"/>
    </row>
    <row r="14" spans="1:3" ht="21">
      <c r="A14" s="125" t="s">
        <v>446</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59.285156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21" t="s">
        <v>368</v>
      </c>
      <c r="B1" s="1144" t="s">
        <v>188</v>
      </c>
      <c r="C1" s="1145"/>
      <c r="D1" s="1145"/>
      <c r="E1" s="1145"/>
      <c r="F1" s="1145"/>
      <c r="G1" s="1145"/>
      <c r="H1" s="1145"/>
      <c r="I1" s="1145"/>
      <c r="J1" s="1145"/>
      <c r="K1" s="1145"/>
      <c r="L1" s="1145"/>
      <c r="M1" s="1145"/>
      <c r="N1" s="1145"/>
      <c r="O1" s="1145"/>
      <c r="P1" s="1145"/>
    </row>
    <row r="2" spans="1:16" ht="15" customHeight="1" outlineLevel="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outlineLevel="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36" t="s">
        <v>562</v>
      </c>
      <c r="B4" s="459"/>
      <c r="C4" s="459"/>
      <c r="D4" s="459"/>
      <c r="E4" s="459"/>
      <c r="F4" s="459"/>
      <c r="G4" s="490"/>
      <c r="H4" s="490"/>
      <c r="I4" s="459"/>
      <c r="J4" s="459"/>
      <c r="K4" s="459"/>
      <c r="L4" s="459"/>
      <c r="M4" s="459"/>
      <c r="N4" s="459"/>
      <c r="O4" s="459"/>
      <c r="P4" s="459"/>
    </row>
    <row r="5" spans="1:16" outlineLevel="1">
      <c r="A5" s="636" t="s">
        <v>563</v>
      </c>
      <c r="B5" s="459"/>
      <c r="C5" s="459"/>
      <c r="D5" s="459"/>
      <c r="E5" s="459"/>
      <c r="F5" s="459"/>
      <c r="G5" s="490"/>
      <c r="H5" s="490"/>
      <c r="I5" s="459"/>
      <c r="J5" s="459"/>
      <c r="K5" s="459"/>
      <c r="L5" s="459"/>
      <c r="M5" s="459"/>
      <c r="N5" s="459"/>
      <c r="O5" s="459"/>
      <c r="P5" s="459"/>
    </row>
    <row r="6" spans="1:16" outlineLevel="1">
      <c r="A6" s="636" t="s">
        <v>564</v>
      </c>
      <c r="B6" s="459"/>
      <c r="C6" s="459"/>
      <c r="D6" s="459"/>
      <c r="E6" s="459"/>
      <c r="F6" s="459"/>
      <c r="G6" s="490"/>
      <c r="H6" s="490"/>
      <c r="I6" s="459"/>
      <c r="J6" s="459"/>
      <c r="K6" s="459"/>
      <c r="L6" s="459"/>
      <c r="M6" s="459"/>
      <c r="N6" s="459"/>
      <c r="O6" s="459"/>
      <c r="P6" s="459"/>
    </row>
    <row r="7" spans="1:16" outlineLevel="1">
      <c r="A7" s="461"/>
      <c r="B7" s="459"/>
      <c r="C7" s="459"/>
      <c r="D7" s="459"/>
      <c r="E7" s="459"/>
      <c r="F7" s="459"/>
      <c r="G7" s="490"/>
      <c r="H7" s="490"/>
      <c r="I7" s="459"/>
      <c r="J7" s="459"/>
      <c r="K7" s="459"/>
      <c r="L7" s="459"/>
      <c r="M7" s="459"/>
      <c r="N7" s="459"/>
      <c r="O7" s="459"/>
      <c r="P7" s="459"/>
    </row>
    <row r="8" spans="1:16" outlineLevel="1">
      <c r="A8" s="637" t="s">
        <v>565</v>
      </c>
      <c r="B8" s="459"/>
      <c r="C8" s="459"/>
      <c r="D8" s="459"/>
      <c r="E8" s="459"/>
      <c r="F8" s="459"/>
      <c r="G8" s="490"/>
      <c r="H8" s="490"/>
      <c r="I8" s="459"/>
      <c r="J8" s="459"/>
      <c r="K8" s="459"/>
      <c r="L8" s="459"/>
      <c r="M8" s="459"/>
      <c r="N8" s="459"/>
      <c r="O8" s="459"/>
      <c r="P8" s="459"/>
    </row>
    <row r="9" spans="1:16" outlineLevel="1">
      <c r="A9" s="461"/>
      <c r="B9" s="459"/>
      <c r="C9" s="459"/>
      <c r="D9" s="459"/>
      <c r="E9" s="459"/>
      <c r="F9" s="459"/>
      <c r="G9" s="490"/>
      <c r="H9" s="490"/>
      <c r="I9" s="459"/>
      <c r="J9" s="459"/>
      <c r="K9" s="459"/>
      <c r="L9" s="459"/>
      <c r="M9" s="459"/>
      <c r="N9" s="459"/>
      <c r="O9" s="459"/>
      <c r="P9" s="459"/>
    </row>
    <row r="10" spans="1:16" outlineLevel="1">
      <c r="A10" s="461" t="s">
        <v>566</v>
      </c>
      <c r="B10" s="459"/>
      <c r="C10" s="459"/>
      <c r="D10" s="459"/>
      <c r="E10" s="459"/>
      <c r="F10" s="459"/>
      <c r="G10" s="490"/>
      <c r="H10" s="490"/>
      <c r="I10" s="459"/>
      <c r="J10" s="459"/>
      <c r="K10" s="459"/>
      <c r="L10" s="459"/>
      <c r="M10" s="459"/>
      <c r="N10" s="459"/>
      <c r="O10" s="459"/>
      <c r="P10" s="459"/>
    </row>
    <row r="11" spans="1:16" outlineLevel="1">
      <c r="A11" s="461"/>
      <c r="B11" s="459"/>
      <c r="C11" s="459"/>
      <c r="D11" s="459"/>
      <c r="E11" s="459"/>
      <c r="F11" s="459"/>
      <c r="G11" s="490"/>
      <c r="H11" s="490"/>
      <c r="I11" s="459"/>
      <c r="J11" s="459"/>
      <c r="K11" s="459"/>
      <c r="L11" s="459"/>
      <c r="M11" s="459"/>
      <c r="N11" s="459"/>
      <c r="O11" s="459"/>
      <c r="P11" s="459"/>
    </row>
    <row r="12" spans="1:16" ht="15.75" outlineLevel="1" thickBot="1">
      <c r="B12" s="459"/>
      <c r="C12" s="459"/>
      <c r="D12" s="459"/>
      <c r="E12" s="459"/>
      <c r="F12" s="459"/>
      <c r="G12" s="490"/>
      <c r="H12" s="490"/>
      <c r="I12" s="459"/>
      <c r="J12" s="459"/>
      <c r="K12" s="459"/>
      <c r="L12" s="459"/>
      <c r="M12" s="459"/>
      <c r="N12" s="459"/>
      <c r="O12" s="459"/>
      <c r="P12" s="459"/>
    </row>
    <row r="13" spans="1:16" ht="25.5" customHeight="1" outlineLevel="1" thickBot="1">
      <c r="A13" s="462" t="s">
        <v>551</v>
      </c>
      <c r="B13" s="444"/>
      <c r="C13" s="463"/>
      <c r="D13" s="463"/>
      <c r="E13" s="463"/>
      <c r="F13" s="463"/>
      <c r="G13" s="463"/>
      <c r="H13" s="463"/>
      <c r="I13" s="463"/>
      <c r="J13" s="463"/>
      <c r="K13" s="463"/>
      <c r="L13" s="463"/>
      <c r="M13" s="463"/>
      <c r="N13" s="463"/>
      <c r="O13" s="737" t="s">
        <v>583</v>
      </c>
      <c r="P13" s="737" t="s">
        <v>582</v>
      </c>
    </row>
    <row r="14" spans="1:16" outlineLevel="1"/>
    <row r="15" spans="1:16" s="455" customFormat="1" outlineLevel="1">
      <c r="A15" s="464" t="s">
        <v>293</v>
      </c>
      <c r="B15" s="465">
        <f>SUM(B4:B12)</f>
        <v>0</v>
      </c>
      <c r="C15" s="465">
        <f t="shared" ref="C15:P15" si="0">SUM(C4:C13)</f>
        <v>0</v>
      </c>
      <c r="D15" s="465">
        <f t="shared" si="0"/>
        <v>0</v>
      </c>
      <c r="E15" s="465">
        <f t="shared" si="0"/>
        <v>0</v>
      </c>
      <c r="F15" s="465">
        <f t="shared" si="0"/>
        <v>0</v>
      </c>
      <c r="G15" s="465"/>
      <c r="H15" s="465"/>
      <c r="I15" s="465">
        <f t="shared" si="0"/>
        <v>0</v>
      </c>
      <c r="J15" s="465">
        <f t="shared" si="0"/>
        <v>0</v>
      </c>
      <c r="K15" s="465">
        <f t="shared" si="0"/>
        <v>0</v>
      </c>
      <c r="L15" s="465">
        <f t="shared" si="0"/>
        <v>0</v>
      </c>
      <c r="M15" s="465">
        <f>SUM(M4:M13)</f>
        <v>0</v>
      </c>
      <c r="N15" s="465">
        <f t="shared" si="0"/>
        <v>0</v>
      </c>
      <c r="O15" s="465">
        <f>SUM(O4:O13)</f>
        <v>0</v>
      </c>
      <c r="P15" s="465">
        <f t="shared" si="0"/>
        <v>0</v>
      </c>
    </row>
    <row r="16" spans="1:16" outlineLevel="1">
      <c r="B16" s="468"/>
      <c r="C16" s="468"/>
      <c r="D16" s="468"/>
      <c r="E16" s="468"/>
      <c r="F16" s="468"/>
      <c r="G16" s="468"/>
      <c r="H16" s="468"/>
      <c r="I16" s="468"/>
      <c r="J16" s="468"/>
      <c r="K16" s="468"/>
      <c r="L16" s="468"/>
      <c r="M16" s="468"/>
      <c r="N16" s="468"/>
      <c r="O16" s="468"/>
      <c r="P16" s="468"/>
    </row>
    <row r="17" spans="1:16" outlineLevel="1">
      <c r="A17" s="469" t="s">
        <v>560</v>
      </c>
      <c r="B17" s="492">
        <f ca="1">'EF ele_warmte'!B12</f>
        <v>0.18511569550327223</v>
      </c>
      <c r="C17" s="492">
        <f ca="1">'EF ele_warmte'!B22</f>
        <v>0.23764705882352943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8"/>
      <c r="C18" s="468"/>
      <c r="D18" s="468"/>
      <c r="E18" s="468"/>
      <c r="F18" s="468"/>
      <c r="G18" s="468"/>
      <c r="H18" s="468"/>
      <c r="I18" s="468"/>
      <c r="J18" s="468"/>
      <c r="K18" s="468"/>
      <c r="L18" s="468"/>
      <c r="M18" s="468"/>
      <c r="N18" s="468"/>
      <c r="O18" s="468"/>
      <c r="P18" s="468"/>
    </row>
    <row r="19" spans="1:16" outlineLevel="1">
      <c r="A19" s="464" t="s">
        <v>206</v>
      </c>
      <c r="B19" s="470">
        <f ca="1">B15*B17</f>
        <v>0</v>
      </c>
      <c r="C19" s="470">
        <f ca="1">C15*C17</f>
        <v>0</v>
      </c>
      <c r="D19" s="470">
        <f>D15*D17</f>
        <v>0</v>
      </c>
      <c r="E19" s="470">
        <f>E15*E17</f>
        <v>0</v>
      </c>
      <c r="F19" s="470">
        <f>F15*F17</f>
        <v>0</v>
      </c>
      <c r="G19" s="470"/>
      <c r="H19" s="470"/>
      <c r="I19" s="470">
        <f t="shared" ref="I19:P19" si="1">I15*I17</f>
        <v>0</v>
      </c>
      <c r="J19" s="470">
        <f t="shared" si="1"/>
        <v>0</v>
      </c>
      <c r="K19" s="470">
        <f t="shared" si="1"/>
        <v>0</v>
      </c>
      <c r="L19" s="470">
        <f t="shared" si="1"/>
        <v>0</v>
      </c>
      <c r="M19" s="470">
        <f t="shared" si="1"/>
        <v>0</v>
      </c>
      <c r="N19" s="470">
        <f t="shared" si="1"/>
        <v>0</v>
      </c>
      <c r="O19" s="470">
        <f t="shared" si="1"/>
        <v>0</v>
      </c>
      <c r="P19" s="470">
        <f t="shared" si="1"/>
        <v>0</v>
      </c>
    </row>
    <row r="22" spans="1:16" s="444" customFormat="1" ht="15" customHeight="1" outlineLevel="1">
      <c r="A22" s="471" t="s">
        <v>459</v>
      </c>
      <c r="B22" s="472"/>
      <c r="C22" s="473"/>
      <c r="D22" s="474"/>
      <c r="E22" s="475"/>
    </row>
    <row r="23" spans="1:16" s="48" customFormat="1" ht="15" customHeight="1" outlineLevel="1">
      <c r="A23" s="476"/>
      <c r="B23" s="477"/>
      <c r="C23" s="478" t="s">
        <v>363</v>
      </c>
      <c r="D23" s="478" t="s">
        <v>175</v>
      </c>
      <c r="E23" s="479"/>
    </row>
    <row r="24" spans="1:16" s="444" customFormat="1" ht="15" customHeight="1" outlineLevel="1">
      <c r="A24" s="480" t="s">
        <v>254</v>
      </c>
      <c r="B24" s="47">
        <f>EigenZB</f>
        <v>0</v>
      </c>
      <c r="C24" s="481"/>
      <c r="D24" s="845" t="s">
        <v>603</v>
      </c>
      <c r="E24" s="445"/>
    </row>
    <row r="25" spans="1:16" s="444" customFormat="1" outlineLevel="1">
      <c r="A25" s="480" t="s">
        <v>426</v>
      </c>
      <c r="B25" s="307">
        <v>13.15681996793146</v>
      </c>
      <c r="C25" s="43"/>
      <c r="D25" s="301" t="s">
        <v>793</v>
      </c>
      <c r="E25" s="458"/>
    </row>
    <row r="26" spans="1:16" s="444" customFormat="1" outlineLevel="1">
      <c r="A26" s="741" t="s">
        <v>427</v>
      </c>
      <c r="B26" s="312">
        <f>1.34/3.6</f>
        <v>0.37222222222222223</v>
      </c>
      <c r="C26" s="43" t="s">
        <v>208</v>
      </c>
      <c r="D26" s="301" t="s">
        <v>794</v>
      </c>
      <c r="E26" s="458"/>
    </row>
    <row r="27" spans="1:16" s="444" customFormat="1" outlineLevel="1">
      <c r="A27" s="482" t="s">
        <v>574</v>
      </c>
      <c r="B27" s="743">
        <f>B24*B25*B26</f>
        <v>0</v>
      </c>
      <c r="C27" s="483" t="s">
        <v>575</v>
      </c>
      <c r="D27" s="484"/>
      <c r="E27" s="485"/>
    </row>
    <row r="28" spans="1:16" s="444" customFormat="1" outlineLevel="1">
      <c r="A28" s="48"/>
      <c r="B28" s="48"/>
      <c r="C28" s="486"/>
      <c r="D28" s="481"/>
    </row>
    <row r="29" spans="1:16" s="444" customFormat="1" outlineLevel="1">
      <c r="A29" s="487" t="s">
        <v>460</v>
      </c>
      <c r="B29" s="472"/>
      <c r="C29" s="473"/>
      <c r="D29" s="474"/>
      <c r="E29" s="475"/>
    </row>
    <row r="30" spans="1:16" s="48" customFormat="1" outlineLevel="1">
      <c r="A30" s="488"/>
      <c r="B30" s="477"/>
      <c r="C30" s="478" t="s">
        <v>363</v>
      </c>
      <c r="D30" s="478" t="s">
        <v>175</v>
      </c>
      <c r="E30" s="479"/>
    </row>
    <row r="31" spans="1:16" s="444" customFormat="1" outlineLevel="1">
      <c r="A31" s="480" t="s">
        <v>425</v>
      </c>
      <c r="B31" s="47">
        <f>EigenWP</f>
        <v>0</v>
      </c>
      <c r="C31" s="481"/>
      <c r="D31" s="845" t="s">
        <v>603</v>
      </c>
      <c r="E31" s="445"/>
    </row>
    <row r="32" spans="1:16" s="444" customFormat="1" outlineLevel="1">
      <c r="A32" s="480" t="s">
        <v>423</v>
      </c>
      <c r="B32" s="524">
        <v>37.963784638354454</v>
      </c>
      <c r="C32" s="32" t="s">
        <v>251</v>
      </c>
      <c r="D32" s="301" t="s">
        <v>793</v>
      </c>
      <c r="E32" s="445"/>
    </row>
    <row r="33" spans="1:5" s="444" customFormat="1" outlineLevel="1">
      <c r="A33" s="480" t="s">
        <v>424</v>
      </c>
      <c r="B33" s="524">
        <v>1887.1743212997605</v>
      </c>
      <c r="C33" s="32" t="s">
        <v>253</v>
      </c>
      <c r="D33" s="301" t="s">
        <v>793</v>
      </c>
      <c r="E33" s="445"/>
    </row>
    <row r="34" spans="1:5" s="444" customFormat="1" outlineLevel="1">
      <c r="A34" s="741" t="s">
        <v>364</v>
      </c>
      <c r="B34" s="524">
        <v>3.75</v>
      </c>
      <c r="C34" s="32"/>
      <c r="D34" s="301" t="s">
        <v>794</v>
      </c>
      <c r="E34" s="445"/>
    </row>
    <row r="35" spans="1:5" s="444" customFormat="1" outlineLevel="1">
      <c r="A35" s="482" t="s">
        <v>574</v>
      </c>
      <c r="B35" s="742">
        <f>B31*B32*B33/1000-B31*B32*B33/1000/B34</f>
        <v>0</v>
      </c>
      <c r="C35" s="489" t="s">
        <v>575</v>
      </c>
      <c r="D35" s="484"/>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21" t="s">
        <v>368</v>
      </c>
      <c r="B1" s="1144" t="s">
        <v>188</v>
      </c>
      <c r="C1" s="1145"/>
      <c r="D1" s="1145"/>
      <c r="E1" s="1145"/>
      <c r="F1" s="1145"/>
      <c r="G1" s="1145"/>
      <c r="H1" s="1145"/>
      <c r="I1" s="1145"/>
      <c r="J1" s="1145"/>
      <c r="K1" s="1145"/>
      <c r="L1" s="1145"/>
      <c r="M1" s="1145"/>
      <c r="N1" s="1145"/>
      <c r="O1" s="1145"/>
      <c r="P1" s="1145"/>
    </row>
    <row r="2" spans="1:16" ht="15" customHeight="1" outlineLevel="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outlineLevel="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61"/>
      <c r="B4" s="459"/>
      <c r="C4" s="490"/>
      <c r="D4" s="490"/>
      <c r="E4" s="490"/>
      <c r="F4" s="490"/>
      <c r="G4" s="490"/>
      <c r="H4" s="490"/>
      <c r="I4" s="490"/>
      <c r="J4" s="490"/>
      <c r="K4" s="490"/>
      <c r="L4" s="490"/>
      <c r="M4" s="490"/>
      <c r="N4" s="490"/>
      <c r="O4" s="490"/>
      <c r="P4" s="490"/>
    </row>
    <row r="5" spans="1:16" outlineLevel="1">
      <c r="A5" s="461"/>
      <c r="B5" s="459"/>
      <c r="C5" s="490"/>
      <c r="D5" s="490"/>
      <c r="E5" s="490"/>
      <c r="F5" s="490"/>
      <c r="G5" s="490"/>
      <c r="H5" s="490"/>
      <c r="I5" s="490"/>
      <c r="J5" s="490"/>
      <c r="K5" s="490"/>
      <c r="L5" s="490"/>
      <c r="M5" s="490"/>
      <c r="N5" s="490"/>
      <c r="O5" s="490"/>
      <c r="P5" s="490"/>
    </row>
    <row r="6" spans="1:16" outlineLevel="1">
      <c r="A6" s="461"/>
      <c r="B6" s="459"/>
      <c r="C6" s="490"/>
      <c r="D6" s="490"/>
      <c r="E6" s="490"/>
      <c r="F6" s="490"/>
      <c r="G6" s="490"/>
      <c r="H6" s="490"/>
      <c r="I6" s="490"/>
      <c r="J6" s="490"/>
      <c r="K6" s="490"/>
      <c r="L6" s="490"/>
      <c r="M6" s="490"/>
      <c r="N6" s="490"/>
      <c r="O6" s="490"/>
      <c r="P6" s="490"/>
    </row>
    <row r="7" spans="1:16" outlineLevel="1">
      <c r="A7" s="461"/>
      <c r="B7" s="459"/>
      <c r="C7" s="490"/>
      <c r="D7" s="490"/>
      <c r="E7" s="490"/>
      <c r="F7" s="490"/>
      <c r="G7" s="490"/>
      <c r="H7" s="490"/>
      <c r="I7" s="490"/>
      <c r="J7" s="490"/>
      <c r="K7" s="490"/>
      <c r="L7" s="490"/>
      <c r="M7" s="490"/>
      <c r="N7" s="490"/>
      <c r="O7" s="490"/>
      <c r="P7" s="490"/>
    </row>
    <row r="8" spans="1:16" outlineLevel="1">
      <c r="A8" s="637"/>
      <c r="B8" s="459"/>
      <c r="C8" s="490"/>
      <c r="D8" s="490"/>
      <c r="E8" s="490"/>
      <c r="F8" s="490"/>
      <c r="G8" s="490"/>
      <c r="H8" s="490"/>
      <c r="I8" s="490"/>
      <c r="J8" s="490"/>
      <c r="K8" s="490"/>
      <c r="L8" s="490"/>
      <c r="M8" s="490"/>
      <c r="N8" s="490"/>
      <c r="O8" s="490"/>
      <c r="P8" s="490"/>
    </row>
    <row r="9" spans="1:16" outlineLevel="1">
      <c r="A9" s="461"/>
      <c r="B9" s="459"/>
      <c r="C9" s="490"/>
      <c r="D9" s="490"/>
      <c r="E9" s="490"/>
      <c r="F9" s="490"/>
      <c r="G9" s="490"/>
      <c r="H9" s="490"/>
      <c r="I9" s="490"/>
      <c r="J9" s="490"/>
      <c r="K9" s="490"/>
      <c r="L9" s="490"/>
      <c r="M9" s="490"/>
      <c r="N9" s="490"/>
      <c r="O9" s="490"/>
      <c r="P9" s="490"/>
    </row>
    <row r="10" spans="1:16" outlineLevel="1">
      <c r="A10" s="461"/>
      <c r="B10" s="459"/>
      <c r="C10" s="490"/>
      <c r="D10" s="490"/>
      <c r="E10" s="490"/>
      <c r="F10" s="490"/>
      <c r="G10" s="490"/>
      <c r="H10" s="490"/>
      <c r="I10" s="490"/>
      <c r="J10" s="490"/>
      <c r="K10" s="490"/>
      <c r="L10" s="490"/>
      <c r="M10" s="490"/>
      <c r="N10" s="490"/>
      <c r="O10" s="490"/>
      <c r="P10" s="490"/>
    </row>
    <row r="11" spans="1:16" outlineLevel="1">
      <c r="A11" s="461"/>
      <c r="B11" s="459"/>
      <c r="C11" s="490"/>
      <c r="D11" s="490"/>
      <c r="E11" s="490"/>
      <c r="F11" s="490"/>
      <c r="G11" s="490"/>
      <c r="H11" s="490"/>
      <c r="I11" s="490"/>
      <c r="J11" s="490"/>
      <c r="K11" s="490"/>
      <c r="L11" s="490"/>
      <c r="M11" s="490"/>
      <c r="N11" s="490"/>
      <c r="O11" s="490"/>
      <c r="P11" s="490"/>
    </row>
    <row r="12" spans="1:16" ht="15.75" outlineLevel="1" thickBot="1">
      <c r="A12" s="461"/>
      <c r="B12" s="459"/>
      <c r="C12" s="490"/>
      <c r="D12" s="490"/>
      <c r="E12" s="490"/>
      <c r="F12" s="490"/>
      <c r="G12" s="490"/>
      <c r="H12" s="490"/>
      <c r="I12" s="490"/>
      <c r="J12" s="490"/>
      <c r="K12" s="490"/>
      <c r="L12" s="490"/>
      <c r="M12" s="490"/>
      <c r="N12" s="490"/>
      <c r="O12" s="490"/>
      <c r="P12" s="490"/>
    </row>
    <row r="13" spans="1:16" ht="25.5" customHeight="1" outlineLevel="1" thickBot="1">
      <c r="A13" s="462" t="s">
        <v>551</v>
      </c>
      <c r="B13" s="444"/>
      <c r="C13" s="463"/>
      <c r="D13" s="463"/>
      <c r="E13" s="463"/>
      <c r="F13" s="463"/>
      <c r="G13" s="463"/>
      <c r="H13" s="463"/>
      <c r="I13" s="463"/>
      <c r="J13" s="463"/>
      <c r="K13" s="463"/>
      <c r="L13" s="463"/>
      <c r="M13" s="463"/>
      <c r="N13" s="463"/>
      <c r="O13" s="1150"/>
      <c r="P13" s="1150"/>
    </row>
    <row r="14" spans="1:16" outlineLevel="1">
      <c r="A14" s="461"/>
      <c r="B14" s="52"/>
      <c r="C14" s="490"/>
      <c r="D14" s="490"/>
      <c r="E14" s="490"/>
      <c r="F14" s="490"/>
      <c r="G14" s="490"/>
      <c r="H14" s="490"/>
      <c r="I14" s="490"/>
      <c r="J14" s="490"/>
      <c r="K14" s="490"/>
      <c r="L14" s="490"/>
      <c r="M14" s="490"/>
      <c r="N14" s="490"/>
      <c r="O14" s="490"/>
      <c r="P14" s="490"/>
    </row>
    <row r="15" spans="1:16" s="455" customFormat="1" outlineLevel="1">
      <c r="A15" s="464" t="s">
        <v>294</v>
      </c>
      <c r="B15" s="465">
        <f>SUM(B4:B12)</f>
        <v>0</v>
      </c>
      <c r="C15" s="466"/>
      <c r="D15" s="466"/>
      <c r="E15" s="466"/>
      <c r="F15" s="466"/>
      <c r="G15" s="466"/>
      <c r="H15" s="466"/>
      <c r="I15" s="466"/>
      <c r="J15" s="466"/>
      <c r="K15" s="466"/>
      <c r="L15" s="466"/>
      <c r="M15" s="466"/>
      <c r="N15" s="466"/>
      <c r="O15" s="467"/>
      <c r="P15" s="467"/>
    </row>
    <row r="16" spans="1:16" outlineLevel="1">
      <c r="B16" s="468"/>
      <c r="C16" s="468"/>
      <c r="D16" s="468"/>
      <c r="E16" s="468"/>
      <c r="F16" s="468"/>
      <c r="G16" s="468"/>
      <c r="H16" s="468"/>
      <c r="I16" s="468"/>
      <c r="J16" s="468"/>
      <c r="K16" s="468"/>
      <c r="L16" s="468"/>
      <c r="M16" s="468"/>
      <c r="N16" s="468"/>
      <c r="O16" s="468"/>
      <c r="P16" s="468"/>
    </row>
    <row r="17" spans="1:16" outlineLevel="1">
      <c r="A17" s="469" t="s">
        <v>560</v>
      </c>
      <c r="B17" s="492">
        <f ca="1">'EF ele_warmte'!B12</f>
        <v>0.18511569550327223</v>
      </c>
      <c r="C17" s="492">
        <f ca="1">'EF ele_warmte'!B22</f>
        <v>0.23764705882352943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8"/>
      <c r="C18" s="468"/>
      <c r="D18" s="468"/>
      <c r="E18" s="468"/>
      <c r="F18" s="468"/>
      <c r="G18" s="468"/>
      <c r="H18" s="468"/>
      <c r="I18" s="468"/>
      <c r="J18" s="468"/>
      <c r="K18" s="468"/>
      <c r="L18" s="468"/>
      <c r="M18" s="468"/>
      <c r="N18" s="468"/>
      <c r="O18" s="468"/>
      <c r="P18" s="468"/>
    </row>
    <row r="19" spans="1:16" outlineLevel="1">
      <c r="A19" s="464" t="s">
        <v>206</v>
      </c>
      <c r="B19" s="470">
        <f ca="1">B15*B17</f>
        <v>0</v>
      </c>
      <c r="C19" s="470"/>
      <c r="D19" s="470"/>
      <c r="E19" s="470"/>
      <c r="F19" s="470"/>
      <c r="G19" s="470"/>
      <c r="H19" s="470"/>
      <c r="I19" s="470"/>
      <c r="J19" s="470"/>
      <c r="K19" s="470"/>
      <c r="L19" s="470"/>
      <c r="M19" s="470"/>
      <c r="N19" s="470"/>
      <c r="O19" s="470"/>
      <c r="P19" s="47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21" t="s">
        <v>315</v>
      </c>
      <c r="B1" s="1144" t="s">
        <v>188</v>
      </c>
      <c r="C1" s="1145"/>
      <c r="D1" s="1145"/>
      <c r="E1" s="1145"/>
      <c r="F1" s="1145"/>
      <c r="G1" s="1145"/>
      <c r="H1" s="1145"/>
      <c r="I1" s="1145"/>
      <c r="J1" s="1145"/>
      <c r="K1" s="1145"/>
      <c r="L1" s="1145"/>
      <c r="M1" s="1145"/>
      <c r="N1" s="1145"/>
      <c r="O1" s="1145"/>
      <c r="P1" s="1145"/>
    </row>
    <row r="2" spans="1:16" ht="15" customHeight="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9"/>
      <c r="C4" s="490"/>
      <c r="D4" s="460"/>
      <c r="E4" s="460"/>
      <c r="F4" s="490"/>
      <c r="G4" s="460"/>
      <c r="H4" s="460"/>
      <c r="I4" s="490"/>
      <c r="J4" s="490"/>
      <c r="K4" s="490"/>
      <c r="L4" s="490"/>
      <c r="M4" s="490"/>
      <c r="N4" s="490"/>
      <c r="O4" s="490"/>
      <c r="P4" s="490"/>
    </row>
    <row r="5" spans="1:16">
      <c r="B5" s="459"/>
      <c r="C5" s="52"/>
      <c r="D5" s="459"/>
      <c r="E5" s="459"/>
      <c r="F5" s="52"/>
      <c r="G5" s="459"/>
      <c r="H5" s="459"/>
      <c r="I5" s="52"/>
      <c r="J5" s="52"/>
      <c r="K5" s="52"/>
      <c r="L5" s="52"/>
      <c r="M5" s="52"/>
      <c r="N5" s="52"/>
      <c r="O5" s="52"/>
      <c r="P5" s="52"/>
    </row>
    <row r="6" spans="1:16">
      <c r="B6" s="459"/>
      <c r="C6" s="52"/>
      <c r="D6" s="459"/>
      <c r="E6" s="459"/>
      <c r="F6" s="52"/>
      <c r="G6" s="459"/>
      <c r="H6" s="459"/>
      <c r="I6" s="52"/>
      <c r="J6" s="52"/>
      <c r="K6" s="52"/>
      <c r="L6" s="52"/>
      <c r="M6" s="52"/>
      <c r="N6" s="52"/>
      <c r="O6" s="52"/>
      <c r="P6" s="52"/>
    </row>
    <row r="7" spans="1:16">
      <c r="B7" s="459"/>
      <c r="C7" s="52"/>
      <c r="D7" s="459"/>
      <c r="E7" s="459"/>
      <c r="F7" s="52"/>
      <c r="G7" s="459"/>
      <c r="H7" s="459"/>
      <c r="I7" s="52"/>
      <c r="J7" s="52"/>
      <c r="K7" s="52"/>
      <c r="L7" s="52"/>
      <c r="M7" s="52"/>
      <c r="N7" s="52"/>
      <c r="O7" s="52"/>
      <c r="P7" s="52"/>
    </row>
    <row r="8" spans="1:16">
      <c r="A8" s="455"/>
      <c r="B8" s="459"/>
      <c r="C8" s="52"/>
      <c r="D8" s="459"/>
      <c r="E8" s="459"/>
      <c r="F8" s="52"/>
      <c r="G8" s="459"/>
      <c r="H8" s="459"/>
      <c r="I8" s="52"/>
      <c r="J8" s="52"/>
      <c r="K8" s="52"/>
      <c r="L8" s="52"/>
      <c r="M8" s="52"/>
      <c r="N8" s="52"/>
      <c r="O8" s="52"/>
      <c r="P8" s="52"/>
    </row>
    <row r="9" spans="1:16">
      <c r="B9" s="459"/>
      <c r="C9" s="52"/>
      <c r="D9" s="459"/>
      <c r="E9" s="459"/>
      <c r="F9" s="52"/>
      <c r="G9" s="459"/>
      <c r="H9" s="459"/>
      <c r="I9" s="52"/>
      <c r="J9" s="52"/>
      <c r="K9" s="52"/>
      <c r="L9" s="52"/>
      <c r="M9" s="52"/>
      <c r="N9" s="52"/>
      <c r="O9" s="52"/>
      <c r="P9" s="52"/>
    </row>
    <row r="10" spans="1:16">
      <c r="B10" s="459"/>
      <c r="C10" s="52"/>
      <c r="D10" s="459"/>
      <c r="E10" s="459"/>
      <c r="F10" s="52"/>
      <c r="G10" s="459"/>
      <c r="H10" s="459"/>
      <c r="I10" s="52"/>
      <c r="J10" s="52"/>
      <c r="K10" s="52"/>
      <c r="L10" s="52"/>
      <c r="M10" s="52"/>
      <c r="N10" s="52"/>
      <c r="O10" s="52"/>
      <c r="P10" s="52"/>
    </row>
    <row r="11" spans="1:16">
      <c r="B11" s="459"/>
      <c r="C11" s="52"/>
      <c r="D11" s="459"/>
      <c r="E11" s="459"/>
      <c r="F11" s="52"/>
      <c r="G11" s="459"/>
      <c r="H11" s="459"/>
      <c r="I11" s="52"/>
      <c r="J11" s="52"/>
      <c r="K11" s="52"/>
      <c r="L11" s="52"/>
      <c r="M11" s="52"/>
      <c r="N11" s="52"/>
      <c r="O11" s="52"/>
      <c r="P11" s="52"/>
    </row>
    <row r="12" spans="1:16">
      <c r="B12" s="459"/>
      <c r="C12" s="52"/>
      <c r="D12" s="459"/>
      <c r="E12" s="459"/>
      <c r="F12" s="52"/>
      <c r="G12" s="459"/>
      <c r="H12" s="459"/>
      <c r="I12" s="52"/>
      <c r="J12" s="52"/>
      <c r="K12" s="52"/>
      <c r="L12" s="52"/>
      <c r="M12" s="52"/>
      <c r="N12" s="52"/>
      <c r="O12" s="52"/>
      <c r="P12" s="52"/>
    </row>
    <row r="13" spans="1:16">
      <c r="B13" s="459"/>
      <c r="C13" s="52"/>
      <c r="D13" s="459"/>
      <c r="E13" s="459"/>
      <c r="F13" s="52"/>
      <c r="G13" s="459"/>
      <c r="H13" s="459"/>
      <c r="I13" s="52"/>
      <c r="J13" s="52"/>
      <c r="K13" s="52"/>
      <c r="L13" s="52"/>
      <c r="M13" s="52"/>
      <c r="N13" s="52"/>
      <c r="O13" s="52"/>
      <c r="P13" s="52"/>
    </row>
    <row r="14" spans="1:16">
      <c r="B14" s="459"/>
      <c r="C14" s="52"/>
      <c r="D14" s="459"/>
      <c r="E14" s="459"/>
      <c r="F14" s="52"/>
      <c r="G14" s="459"/>
      <c r="H14" s="459"/>
      <c r="I14" s="52"/>
      <c r="J14" s="52"/>
      <c r="K14" s="52"/>
      <c r="L14" s="52"/>
      <c r="M14" s="52"/>
      <c r="N14" s="52"/>
      <c r="O14" s="52"/>
      <c r="P14" s="52"/>
    </row>
    <row r="15" spans="1:16">
      <c r="B15" s="459"/>
      <c r="C15" s="52"/>
      <c r="D15" s="459"/>
      <c r="E15" s="459"/>
      <c r="F15" s="52"/>
      <c r="G15" s="459"/>
      <c r="H15" s="459"/>
      <c r="I15" s="52"/>
      <c r="J15" s="52"/>
      <c r="K15" s="52"/>
      <c r="L15" s="52"/>
      <c r="M15" s="52"/>
      <c r="N15" s="52"/>
      <c r="O15" s="52"/>
      <c r="P15" s="52"/>
    </row>
    <row r="16" spans="1:16">
      <c r="B16" s="459"/>
      <c r="C16" s="52"/>
      <c r="D16" s="459"/>
      <c r="E16" s="459"/>
      <c r="F16" s="52"/>
      <c r="G16" s="459"/>
      <c r="H16" s="459"/>
      <c r="I16" s="52"/>
      <c r="J16" s="52"/>
      <c r="K16" s="52"/>
      <c r="L16" s="52"/>
      <c r="M16" s="52"/>
      <c r="N16" s="52"/>
      <c r="O16" s="52"/>
      <c r="P16" s="52"/>
    </row>
    <row r="17" spans="1:16">
      <c r="B17" s="459"/>
      <c r="C17" s="52"/>
      <c r="D17" s="459"/>
      <c r="E17" s="459"/>
      <c r="F17" s="52"/>
      <c r="G17" s="459"/>
      <c r="H17" s="459"/>
      <c r="I17" s="52"/>
      <c r="J17" s="52"/>
      <c r="K17" s="52"/>
      <c r="L17" s="52"/>
      <c r="M17" s="52"/>
      <c r="N17" s="52"/>
      <c r="O17" s="52"/>
      <c r="P17" s="52"/>
    </row>
    <row r="18" spans="1:16">
      <c r="B18" s="459"/>
      <c r="C18" s="52"/>
      <c r="D18" s="459"/>
      <c r="E18" s="459"/>
      <c r="F18" s="52"/>
      <c r="G18" s="459"/>
      <c r="H18" s="459"/>
      <c r="I18" s="52"/>
      <c r="J18" s="52"/>
      <c r="K18" s="52"/>
      <c r="L18" s="52"/>
      <c r="M18" s="52"/>
      <c r="N18" s="52"/>
      <c r="O18" s="52"/>
      <c r="P18" s="52"/>
    </row>
    <row r="19" spans="1:16">
      <c r="B19" s="459"/>
      <c r="C19" s="52"/>
      <c r="D19" s="459"/>
      <c r="E19" s="459"/>
      <c r="F19" s="52"/>
      <c r="G19" s="459"/>
      <c r="H19" s="459"/>
      <c r="I19" s="52"/>
      <c r="J19" s="52"/>
      <c r="K19" s="52"/>
      <c r="L19" s="52"/>
      <c r="M19" s="52"/>
      <c r="N19" s="52"/>
      <c r="O19" s="52"/>
      <c r="P19" s="52"/>
    </row>
    <row r="20" spans="1:16">
      <c r="B20" s="459"/>
      <c r="C20" s="52"/>
      <c r="D20" s="459"/>
      <c r="E20" s="459"/>
      <c r="F20" s="52"/>
      <c r="G20" s="459"/>
      <c r="H20" s="459"/>
      <c r="I20" s="52"/>
      <c r="J20" s="52"/>
      <c r="K20" s="52"/>
      <c r="L20" s="52"/>
      <c r="M20" s="52"/>
      <c r="N20" s="52"/>
      <c r="O20" s="52"/>
      <c r="P20" s="52"/>
    </row>
    <row r="21" spans="1:16">
      <c r="B21" s="459"/>
      <c r="C21" s="52"/>
      <c r="D21" s="459"/>
      <c r="E21" s="459"/>
      <c r="F21" s="52"/>
      <c r="G21" s="459"/>
      <c r="H21" s="459"/>
      <c r="I21" s="52"/>
      <c r="J21" s="52"/>
      <c r="K21" s="52"/>
      <c r="L21" s="52"/>
      <c r="M21" s="52"/>
      <c r="N21" s="52"/>
      <c r="O21" s="52"/>
      <c r="P21" s="52"/>
    </row>
    <row r="22" spans="1:16">
      <c r="B22" s="459"/>
      <c r="C22" s="52"/>
      <c r="D22" s="459"/>
      <c r="E22" s="459"/>
      <c r="F22" s="52"/>
      <c r="G22" s="459"/>
      <c r="H22" s="459"/>
      <c r="I22" s="52"/>
      <c r="J22" s="52"/>
      <c r="K22" s="52"/>
      <c r="L22" s="52"/>
      <c r="M22" s="52"/>
      <c r="N22" s="52"/>
      <c r="O22" s="52"/>
      <c r="P22" s="52"/>
    </row>
    <row r="23" spans="1:16" ht="15.75" thickBot="1">
      <c r="B23" s="459"/>
      <c r="C23" s="52"/>
      <c r="D23" s="459"/>
      <c r="E23" s="459"/>
      <c r="F23" s="52"/>
      <c r="G23" s="459"/>
      <c r="H23" s="459"/>
      <c r="I23" s="52"/>
      <c r="J23" s="52"/>
      <c r="K23" s="52"/>
      <c r="L23" s="52"/>
      <c r="M23" s="52"/>
      <c r="N23" s="52"/>
      <c r="O23" s="52"/>
      <c r="P23" s="52"/>
    </row>
    <row r="24" spans="1:16" ht="15.75" thickBot="1">
      <c r="A24" s="462" t="s">
        <v>551</v>
      </c>
    </row>
    <row r="26" spans="1:16" s="455" customFormat="1">
      <c r="A26" s="464" t="s">
        <v>500</v>
      </c>
      <c r="B26" s="464">
        <f t="shared" ref="B26:H26" si="0">SUM(B4:B23)</f>
        <v>0</v>
      </c>
      <c r="C26" s="464"/>
      <c r="D26" s="464">
        <f t="shared" si="0"/>
        <v>0</v>
      </c>
      <c r="E26" s="464">
        <f t="shared" si="0"/>
        <v>0</v>
      </c>
      <c r="F26" s="464"/>
      <c r="G26" s="464">
        <f t="shared" si="0"/>
        <v>0</v>
      </c>
      <c r="H26" s="464">
        <f t="shared" si="0"/>
        <v>0</v>
      </c>
      <c r="I26" s="464"/>
      <c r="J26" s="464"/>
      <c r="K26" s="464"/>
      <c r="L26" s="464"/>
      <c r="M26" s="464"/>
      <c r="N26" s="464"/>
      <c r="O26" s="464"/>
      <c r="P26" s="464"/>
    </row>
    <row r="27" spans="1:16" s="455" customFormat="1">
      <c r="A27" s="464" t="s">
        <v>557</v>
      </c>
      <c r="B27" s="464">
        <f>B26</f>
        <v>0</v>
      </c>
      <c r="C27" s="464"/>
      <c r="D27" s="464">
        <f>D26</f>
        <v>0</v>
      </c>
      <c r="E27" s="464">
        <f>E26</f>
        <v>0</v>
      </c>
      <c r="F27" s="464"/>
      <c r="G27" s="464">
        <f>(1-transport!C35)*'Eigen vloot'!G26</f>
        <v>0</v>
      </c>
      <c r="H27" s="464">
        <f>(1-transport!C42)*'Eigen vloot'!H26</f>
        <v>0</v>
      </c>
      <c r="I27" s="464"/>
      <c r="J27" s="464"/>
      <c r="K27" s="464"/>
      <c r="L27" s="464"/>
      <c r="M27" s="638">
        <f>G26*transport!C35+'Eigen vloot'!H26*transport!C42</f>
        <v>0</v>
      </c>
      <c r="N27" s="464"/>
      <c r="O27" s="464"/>
      <c r="P27" s="464"/>
    </row>
    <row r="29" spans="1:16">
      <c r="A29" s="469" t="s">
        <v>560</v>
      </c>
      <c r="B29" s="493">
        <f ca="1">'EF ele_warmte'!B12</f>
        <v>0.18511569550327223</v>
      </c>
      <c r="C29" s="493">
        <f ca="1">'EF ele_warmte'!B22</f>
        <v>0.23764705882352943</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4" t="s">
        <v>206</v>
      </c>
      <c r="B31" s="639">
        <f ca="1">B27*B29</f>
        <v>0</v>
      </c>
      <c r="C31" s="639"/>
      <c r="D31" s="639">
        <f>D27*D29</f>
        <v>0</v>
      </c>
      <c r="E31" s="639">
        <f>E27*E29</f>
        <v>0</v>
      </c>
      <c r="F31" s="639"/>
      <c r="G31" s="639">
        <f>G27*G29</f>
        <v>0</v>
      </c>
      <c r="H31" s="639">
        <f>H27*H29</f>
        <v>0</v>
      </c>
      <c r="I31" s="639"/>
      <c r="J31" s="639"/>
      <c r="K31" s="639"/>
      <c r="L31" s="639"/>
      <c r="M31" s="639">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497</v>
      </c>
      <c r="B2" s="494"/>
      <c r="C2" s="182"/>
      <c r="D2" s="183"/>
    </row>
    <row r="3" spans="1:11">
      <c r="A3" s="101"/>
      <c r="B3" s="495"/>
      <c r="C3" s="140" t="s">
        <v>175</v>
      </c>
      <c r="D3" s="143" t="s">
        <v>373</v>
      </c>
    </row>
    <row r="4" spans="1:11">
      <c r="A4" s="44" t="s">
        <v>417</v>
      </c>
      <c r="B4" s="47"/>
      <c r="C4" s="32"/>
      <c r="D4" s="142" t="s">
        <v>375</v>
      </c>
    </row>
    <row r="5" spans="1:11">
      <c r="A5" s="44"/>
      <c r="B5" s="48"/>
      <c r="C5" s="32"/>
      <c r="D5" s="142"/>
    </row>
    <row r="6" spans="1:11" s="10" customFormat="1" ht="21.75" thickBot="1">
      <c r="A6" s="186" t="s">
        <v>450</v>
      </c>
      <c r="B6" s="496"/>
      <c r="C6" s="187"/>
      <c r="D6" s="188"/>
    </row>
    <row r="7" spans="1:11" s="43" customFormat="1" ht="15.75" thickBot="1">
      <c r="B7" s="444"/>
    </row>
    <row r="8" spans="1:11" s="43" customFormat="1">
      <c r="A8" s="181" t="s">
        <v>510</v>
      </c>
      <c r="B8" s="494"/>
      <c r="C8" s="182"/>
      <c r="D8" s="183"/>
    </row>
    <row r="9" spans="1:11" s="32" customFormat="1">
      <c r="A9" s="46"/>
      <c r="B9" s="497"/>
      <c r="C9" s="42"/>
      <c r="D9" s="295"/>
    </row>
    <row r="10" spans="1:11">
      <c r="A10" s="296" t="s">
        <v>539</v>
      </c>
      <c r="B10" s="495"/>
      <c r="C10" s="140" t="s">
        <v>175</v>
      </c>
      <c r="D10" s="143" t="s">
        <v>373</v>
      </c>
      <c r="I10" s="1151"/>
      <c r="K10" s="58"/>
    </row>
    <row r="11" spans="1:11" s="43" customFormat="1">
      <c r="A11" s="44" t="s">
        <v>540</v>
      </c>
      <c r="B11" s="47"/>
      <c r="D11" s="141" t="s">
        <v>374</v>
      </c>
      <c r="I11" s="1151"/>
      <c r="K11" s="58"/>
    </row>
    <row r="12" spans="1:11" s="43" customFormat="1">
      <c r="A12" s="44" t="s">
        <v>541</v>
      </c>
      <c r="B12" s="47"/>
      <c r="D12" s="141" t="s">
        <v>374</v>
      </c>
      <c r="I12" s="1151"/>
      <c r="K12" s="58"/>
    </row>
    <row r="13" spans="1:11" s="43" customFormat="1">
      <c r="A13" s="44"/>
      <c r="B13" s="444"/>
      <c r="D13" s="96"/>
      <c r="I13" s="1151"/>
    </row>
    <row r="14" spans="1:11" s="43" customFormat="1">
      <c r="A14" s="296" t="s">
        <v>538</v>
      </c>
      <c r="B14" s="495"/>
      <c r="C14" s="140" t="s">
        <v>175</v>
      </c>
      <c r="D14" s="143" t="s">
        <v>373</v>
      </c>
      <c r="I14" s="1151"/>
    </row>
    <row r="15" spans="1:11" s="43" customFormat="1">
      <c r="A15" s="44" t="s">
        <v>70</v>
      </c>
      <c r="B15" s="47"/>
      <c r="D15" s="141" t="s">
        <v>374</v>
      </c>
      <c r="I15" s="1151"/>
      <c r="J15" s="1151"/>
    </row>
    <row r="16" spans="1:11" s="43" customFormat="1">
      <c r="A16" s="44" t="s">
        <v>502</v>
      </c>
      <c r="B16" s="47"/>
      <c r="D16" s="141" t="s">
        <v>374</v>
      </c>
      <c r="I16" s="1151"/>
      <c r="J16" s="1151"/>
    </row>
    <row r="17" spans="1:11" s="43" customFormat="1">
      <c r="A17" s="44" t="s">
        <v>77</v>
      </c>
      <c r="B17" s="47"/>
      <c r="D17" s="141" t="s">
        <v>374</v>
      </c>
      <c r="I17" s="1151"/>
      <c r="J17" s="1151"/>
    </row>
    <row r="18" spans="1:11" s="43" customFormat="1">
      <c r="A18" s="44" t="s">
        <v>503</v>
      </c>
      <c r="B18" s="47"/>
      <c r="D18" s="141" t="s">
        <v>374</v>
      </c>
      <c r="I18" s="1151"/>
      <c r="J18" s="1151"/>
      <c r="K18" s="58"/>
    </row>
    <row r="19" spans="1:11" s="43" customFormat="1">
      <c r="A19" s="44" t="s">
        <v>76</v>
      </c>
      <c r="B19" s="47"/>
      <c r="D19" s="141" t="s">
        <v>374</v>
      </c>
      <c r="I19" s="1151"/>
      <c r="J19" s="1152"/>
      <c r="K19" s="58"/>
    </row>
    <row r="20" spans="1:11" s="43" customFormat="1">
      <c r="A20" s="32" t="s">
        <v>504</v>
      </c>
      <c r="B20" s="47"/>
      <c r="D20" s="141" t="s">
        <v>374</v>
      </c>
      <c r="I20" s="297"/>
      <c r="J20" s="298"/>
      <c r="K20" s="58"/>
    </row>
    <row r="21" spans="1:11" s="43" customFormat="1">
      <c r="A21" s="32" t="s">
        <v>505</v>
      </c>
      <c r="B21" s="47"/>
      <c r="D21" s="141" t="s">
        <v>374</v>
      </c>
      <c r="I21" s="297"/>
      <c r="J21" s="298"/>
      <c r="K21" s="58"/>
    </row>
    <row r="22" spans="1:11" s="43" customFormat="1">
      <c r="A22" s="32" t="s">
        <v>506</v>
      </c>
      <c r="B22" s="47"/>
      <c r="D22" s="141" t="s">
        <v>374</v>
      </c>
      <c r="I22" s="297"/>
      <c r="J22" s="298"/>
      <c r="K22" s="58"/>
    </row>
    <row r="23" spans="1:11">
      <c r="A23" s="32" t="s">
        <v>507</v>
      </c>
      <c r="B23" s="47"/>
      <c r="C23" s="43"/>
      <c r="D23" s="141" t="s">
        <v>374</v>
      </c>
      <c r="I23" s="58"/>
      <c r="J23" s="58"/>
      <c r="K23" s="58"/>
    </row>
    <row r="24" spans="1:11">
      <c r="A24" s="32" t="s">
        <v>508</v>
      </c>
      <c r="B24" s="47"/>
      <c r="C24" s="43"/>
      <c r="D24" s="141" t="s">
        <v>374</v>
      </c>
      <c r="I24" s="58"/>
      <c r="J24" s="58"/>
      <c r="K24" s="58"/>
    </row>
    <row r="25" spans="1:11">
      <c r="A25" s="58"/>
      <c r="B25" s="48"/>
      <c r="C25" s="43"/>
      <c r="D25" s="141"/>
      <c r="I25" s="58"/>
      <c r="J25" s="58"/>
      <c r="K25" s="58"/>
    </row>
    <row r="26" spans="1:11" ht="21.75" thickBot="1">
      <c r="A26" s="186" t="s">
        <v>549</v>
      </c>
      <c r="B26" s="498"/>
      <c r="C26" s="108"/>
      <c r="D26" s="109"/>
      <c r="I26" s="58"/>
      <c r="J26" s="58"/>
      <c r="K26" s="58"/>
    </row>
    <row r="28" spans="1:11" ht="15.75" thickBot="1"/>
    <row r="29" spans="1:11" s="43" customFormat="1">
      <c r="A29" s="181" t="s">
        <v>498</v>
      </c>
      <c r="B29" s="494"/>
      <c r="C29" s="182"/>
      <c r="D29" s="183"/>
    </row>
    <row r="30" spans="1:11" s="32" customFormat="1">
      <c r="A30" s="46"/>
      <c r="B30" s="497"/>
      <c r="C30" s="42"/>
      <c r="D30" s="295"/>
    </row>
    <row r="31" spans="1:11">
      <c r="A31" s="296" t="s">
        <v>539</v>
      </c>
      <c r="B31" s="495"/>
      <c r="C31" s="140" t="s">
        <v>175</v>
      </c>
      <c r="D31" s="143" t="s">
        <v>373</v>
      </c>
    </row>
    <row r="32" spans="1:11">
      <c r="A32" s="433" t="s">
        <v>540</v>
      </c>
      <c r="B32" s="47"/>
      <c r="C32" s="48"/>
      <c r="D32" s="141" t="s">
        <v>374</v>
      </c>
    </row>
    <row r="33" spans="1:11">
      <c r="A33" s="44"/>
      <c r="B33" s="48"/>
      <c r="C33" s="48"/>
      <c r="D33" s="141"/>
    </row>
    <row r="34" spans="1:11" s="43" customFormat="1">
      <c r="A34" s="296" t="s">
        <v>538</v>
      </c>
      <c r="B34" s="495"/>
      <c r="C34" s="140" t="s">
        <v>175</v>
      </c>
      <c r="D34" s="143" t="s">
        <v>373</v>
      </c>
      <c r="I34"/>
    </row>
    <row r="35" spans="1:11" s="43" customFormat="1">
      <c r="A35" s="432" t="s">
        <v>70</v>
      </c>
      <c r="B35" s="47"/>
      <c r="D35" s="141" t="s">
        <v>374</v>
      </c>
      <c r="I35" s="1151"/>
      <c r="J35" s="1151"/>
    </row>
    <row r="36" spans="1:11" s="43" customFormat="1">
      <c r="A36" s="432" t="s">
        <v>502</v>
      </c>
      <c r="B36" s="47"/>
      <c r="D36" s="141" t="s">
        <v>374</v>
      </c>
      <c r="I36" s="1151"/>
      <c r="J36" s="1151"/>
    </row>
    <row r="37" spans="1:11" s="43" customFormat="1">
      <c r="A37" s="432" t="s">
        <v>77</v>
      </c>
      <c r="B37" s="47"/>
      <c r="D37" s="141" t="s">
        <v>374</v>
      </c>
      <c r="I37" s="1151"/>
      <c r="J37" s="1151"/>
    </row>
    <row r="38" spans="1:11" s="43" customFormat="1">
      <c r="A38" s="432" t="s">
        <v>503</v>
      </c>
      <c r="B38" s="47"/>
      <c r="D38" s="141" t="s">
        <v>374</v>
      </c>
      <c r="I38" s="1151"/>
      <c r="J38" s="1151"/>
      <c r="K38" s="58"/>
    </row>
    <row r="39" spans="1:11" s="43" customFormat="1">
      <c r="A39" s="432" t="s">
        <v>76</v>
      </c>
      <c r="B39" s="47"/>
      <c r="D39" s="141" t="s">
        <v>374</v>
      </c>
      <c r="I39" s="1151"/>
      <c r="J39" s="1152"/>
      <c r="K39" s="58"/>
    </row>
    <row r="40" spans="1:11" s="43" customFormat="1">
      <c r="A40" s="178" t="s">
        <v>504</v>
      </c>
      <c r="B40" s="48"/>
      <c r="D40" s="141" t="s">
        <v>374</v>
      </c>
      <c r="I40" s="297"/>
      <c r="J40" s="298"/>
      <c r="K40" s="58"/>
    </row>
    <row r="41" spans="1:11" s="43" customFormat="1">
      <c r="A41" s="178" t="s">
        <v>505</v>
      </c>
      <c r="B41" s="47"/>
      <c r="D41" s="141" t="s">
        <v>374</v>
      </c>
      <c r="I41" s="297"/>
      <c r="J41" s="298"/>
      <c r="K41" s="58"/>
    </row>
    <row r="42" spans="1:11" s="43" customFormat="1">
      <c r="A42" s="178" t="s">
        <v>506</v>
      </c>
      <c r="B42" s="47"/>
      <c r="D42" s="141" t="s">
        <v>374</v>
      </c>
      <c r="I42" s="297"/>
      <c r="J42" s="298"/>
      <c r="K42" s="58"/>
    </row>
    <row r="43" spans="1:11">
      <c r="A43" s="178" t="s">
        <v>507</v>
      </c>
      <c r="B43" s="47"/>
      <c r="C43" s="43"/>
      <c r="D43" s="141" t="s">
        <v>374</v>
      </c>
      <c r="I43" s="58"/>
      <c r="J43" s="58"/>
      <c r="K43" s="58"/>
    </row>
    <row r="44" spans="1:11">
      <c r="A44" s="178" t="s">
        <v>508</v>
      </c>
      <c r="B44" s="47"/>
      <c r="C44" s="43"/>
      <c r="D44" s="141" t="s">
        <v>374</v>
      </c>
      <c r="I44" s="58"/>
      <c r="J44" s="58"/>
      <c r="K44" s="58"/>
    </row>
    <row r="45" spans="1:11" s="840" customFormat="1">
      <c r="A45" s="178" t="s">
        <v>688</v>
      </c>
      <c r="B45" s="47"/>
      <c r="C45" s="43"/>
      <c r="D45" s="141" t="s">
        <v>374</v>
      </c>
      <c r="I45" s="58"/>
      <c r="J45" s="58"/>
      <c r="K45" s="58"/>
    </row>
    <row r="46" spans="1:11" s="840" customFormat="1">
      <c r="A46" s="178" t="s">
        <v>689</v>
      </c>
      <c r="B46" s="47"/>
      <c r="C46" s="43"/>
      <c r="D46" s="141" t="s">
        <v>374</v>
      </c>
      <c r="I46" s="58"/>
      <c r="J46" s="58"/>
      <c r="K46" s="58"/>
    </row>
    <row r="47" spans="1:11" s="15" customFormat="1" ht="21.75" thickBot="1">
      <c r="A47" s="926"/>
      <c r="B47" s="184"/>
      <c r="C47" s="152"/>
      <c r="D47" s="299"/>
      <c r="I47" s="58"/>
      <c r="J47" s="58"/>
      <c r="K47" s="58"/>
    </row>
    <row r="48" spans="1:11" s="15" customFormat="1">
      <c r="A48" s="58"/>
      <c r="B48" s="48"/>
      <c r="C48" s="32"/>
      <c r="D48" s="32"/>
      <c r="I48" s="58"/>
      <c r="J48" s="58"/>
      <c r="K48" s="58"/>
    </row>
    <row r="49" spans="1:4" ht="15.75" thickBot="1"/>
    <row r="50" spans="1:4" s="43" customFormat="1">
      <c r="A50" s="181" t="s">
        <v>372</v>
      </c>
      <c r="B50" s="494"/>
      <c r="C50" s="182"/>
      <c r="D50" s="183"/>
    </row>
    <row r="51" spans="1:4">
      <c r="A51" s="101"/>
      <c r="B51" s="495"/>
      <c r="C51" s="140" t="s">
        <v>175</v>
      </c>
      <c r="D51" s="143" t="s">
        <v>373</v>
      </c>
    </row>
    <row r="52" spans="1:4">
      <c r="A52" s="44" t="s">
        <v>542</v>
      </c>
      <c r="B52" s="47"/>
      <c r="C52" s="32"/>
      <c r="D52" s="142" t="s">
        <v>375</v>
      </c>
    </row>
    <row r="53" spans="1:4">
      <c r="A53" s="44" t="s">
        <v>543</v>
      </c>
      <c r="B53" s="47"/>
      <c r="C53" s="32"/>
      <c r="D53" s="142" t="s">
        <v>375</v>
      </c>
    </row>
    <row r="54" spans="1:4" ht="15.75" thickBot="1">
      <c r="A54" s="45"/>
      <c r="B54" s="184"/>
      <c r="C54" s="152"/>
      <c r="D54" s="189"/>
    </row>
    <row r="56" spans="1:4" ht="15.75" thickBot="1"/>
    <row r="57" spans="1:4" s="43" customFormat="1">
      <c r="A57" s="181" t="s">
        <v>499</v>
      </c>
      <c r="B57" s="494"/>
      <c r="C57" s="182"/>
      <c r="D57" s="183"/>
    </row>
    <row r="58" spans="1:4">
      <c r="A58" s="101"/>
      <c r="B58" s="495"/>
      <c r="C58" s="140" t="s">
        <v>175</v>
      </c>
      <c r="D58" s="143" t="s">
        <v>373</v>
      </c>
    </row>
    <row r="59" spans="1:4">
      <c r="A59" s="44" t="s">
        <v>544</v>
      </c>
      <c r="B59" s="47"/>
      <c r="C59" s="32"/>
      <c r="D59" s="141" t="s">
        <v>148</v>
      </c>
    </row>
    <row r="60" spans="1:4">
      <c r="A60" s="44" t="s">
        <v>545</v>
      </c>
      <c r="B60" s="47"/>
      <c r="C60" s="32"/>
      <c r="D60" s="141" t="s">
        <v>149</v>
      </c>
    </row>
    <row r="61" spans="1:4">
      <c r="A61" s="44" t="s">
        <v>546</v>
      </c>
      <c r="B61" s="47"/>
      <c r="C61" s="48"/>
      <c r="D61" s="141" t="s">
        <v>371</v>
      </c>
    </row>
    <row r="62" spans="1:4">
      <c r="A62" s="44" t="s">
        <v>547</v>
      </c>
      <c r="B62" s="47"/>
      <c r="C62" s="48"/>
      <c r="D62" s="141" t="s">
        <v>105</v>
      </c>
    </row>
    <row r="63" spans="1:4">
      <c r="A63" s="44"/>
      <c r="B63" s="48"/>
      <c r="C63" s="48"/>
      <c r="D63" s="141"/>
    </row>
    <row r="64" spans="1:4" ht="21.75" thickBot="1">
      <c r="A64" s="186" t="s">
        <v>501</v>
      </c>
      <c r="B64" s="184"/>
      <c r="C64" s="184"/>
      <c r="D64" s="185"/>
    </row>
    <row r="65" spans="2:2" s="43" customFormat="1">
      <c r="B65"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428</v>
      </c>
      <c r="B6" s="129" t="s">
        <v>429</v>
      </c>
      <c r="C6" s="130" t="s">
        <v>431</v>
      </c>
    </row>
    <row r="7" spans="1:3" s="11" customFormat="1">
      <c r="A7" s="123"/>
      <c r="B7" s="157"/>
      <c r="C7" s="158" t="s">
        <v>561</v>
      </c>
    </row>
    <row r="8" spans="1:3" s="11" customFormat="1">
      <c r="A8" s="131"/>
      <c r="B8" s="132"/>
      <c r="C8" s="133"/>
    </row>
    <row r="9" spans="1:3" s="11" customFormat="1">
      <c r="A9" s="113" t="s">
        <v>430</v>
      </c>
      <c r="B9" s="129" t="s">
        <v>433</v>
      </c>
      <c r="C9" s="130" t="s">
        <v>486</v>
      </c>
    </row>
    <row r="10" spans="1:3" s="11" customFormat="1">
      <c r="A10" s="131"/>
      <c r="B10" s="132"/>
      <c r="C10" s="133"/>
    </row>
    <row r="11" spans="1:3" s="11" customFormat="1" ht="18">
      <c r="A11" s="113" t="s">
        <v>432</v>
      </c>
      <c r="B11" s="129" t="s">
        <v>434</v>
      </c>
      <c r="C11" s="155" t="s">
        <v>484</v>
      </c>
    </row>
    <row r="12" spans="1:3" s="11" customFormat="1">
      <c r="A12" s="131"/>
      <c r="B12" s="132"/>
      <c r="C12" s="133"/>
    </row>
    <row r="13" spans="1:3" s="11" customFormat="1" ht="18">
      <c r="A13" s="113" t="s">
        <v>435</v>
      </c>
      <c r="B13" s="129" t="s">
        <v>436</v>
      </c>
      <c r="C13" s="156" t="s">
        <v>485</v>
      </c>
    </row>
    <row r="14" spans="1:3" s="11" customFormat="1">
      <c r="A14" s="131"/>
      <c r="B14" s="132"/>
      <c r="C14" s="133"/>
    </row>
    <row r="15" spans="1:3" s="11" customFormat="1" ht="18">
      <c r="A15" s="113" t="s">
        <v>437</v>
      </c>
      <c r="B15" t="s">
        <v>441</v>
      </c>
      <c r="C15" s="130" t="s">
        <v>487</v>
      </c>
    </row>
    <row r="16" spans="1:3" s="11" customFormat="1">
      <c r="A16" s="131"/>
      <c r="B16" s="132"/>
      <c r="C16" s="133"/>
    </row>
    <row r="17" spans="1:3" s="11" customFormat="1" ht="30">
      <c r="A17" s="113" t="s">
        <v>375</v>
      </c>
      <c r="B17" s="129" t="s">
        <v>442</v>
      </c>
      <c r="C17" s="130" t="s">
        <v>488</v>
      </c>
    </row>
    <row r="18" spans="1:3" s="11" customFormat="1">
      <c r="A18" s="131"/>
      <c r="B18" s="132"/>
      <c r="C18" s="133" t="s">
        <v>438</v>
      </c>
    </row>
    <row r="19" spans="1:3" s="11" customFormat="1" ht="30">
      <c r="A19" s="113" t="s">
        <v>439</v>
      </c>
      <c r="B19" s="129" t="s">
        <v>443</v>
      </c>
      <c r="C19" s="130" t="s">
        <v>489</v>
      </c>
    </row>
    <row r="20" spans="1:3" s="11" customFormat="1">
      <c r="A20" s="131"/>
      <c r="B20" s="132"/>
      <c r="C20" s="133"/>
    </row>
    <row r="21" spans="1:3" s="11" customFormat="1" ht="30">
      <c r="A21" s="113" t="s">
        <v>440</v>
      </c>
      <c r="B21" s="129" t="s">
        <v>780</v>
      </c>
      <c r="C21" s="130" t="s">
        <v>552</v>
      </c>
    </row>
    <row r="22" spans="1:3" s="11" customFormat="1">
      <c r="A22" s="139"/>
      <c r="B22" s="157"/>
      <c r="C22" s="158"/>
    </row>
    <row r="23" spans="1:3" ht="21">
      <c r="A23" s="125" t="s">
        <v>445</v>
      </c>
      <c r="B23" s="124"/>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7" bestFit="1" customWidth="1"/>
    <col min="2" max="2" width="59.42578125" style="1007" bestFit="1" customWidth="1"/>
    <col min="3" max="4" width="28.7109375" style="1007" customWidth="1"/>
    <col min="5" max="5" width="44.28515625" style="1007" customWidth="1"/>
    <col min="6" max="6" width="35" style="1007" bestFit="1" customWidth="1"/>
    <col min="7" max="16384" width="9.140625" style="1007"/>
  </cols>
  <sheetData>
    <row r="1" spans="1:6" ht="62.45" customHeight="1" thickTop="1" thickBot="1">
      <c r="A1" s="135" t="s">
        <v>880</v>
      </c>
      <c r="B1" s="1244">
        <v>2017</v>
      </c>
      <c r="C1" s="1245"/>
      <c r="D1" s="1245"/>
      <c r="E1" s="1245"/>
      <c r="F1" s="1246"/>
    </row>
    <row r="2" spans="1:6">
      <c r="A2" s="324"/>
      <c r="B2" s="324"/>
      <c r="C2" s="324"/>
      <c r="D2" s="324"/>
      <c r="E2" s="324"/>
      <c r="F2" s="324"/>
    </row>
    <row r="3" spans="1:6" ht="19.5">
      <c r="A3" s="1247" t="s">
        <v>0</v>
      </c>
      <c r="B3" s="324"/>
      <c r="C3" s="324"/>
      <c r="D3" s="324"/>
      <c r="E3" s="324"/>
      <c r="F3" s="324"/>
    </row>
    <row r="4" spans="1:6" ht="22.5">
      <c r="A4" s="1248" t="s">
        <v>880</v>
      </c>
      <c r="B4" s="324"/>
      <c r="C4" s="324"/>
      <c r="D4" s="324"/>
      <c r="E4" s="324"/>
      <c r="F4" s="324"/>
    </row>
    <row r="5" spans="1:6" ht="22.5">
      <c r="A5" s="1248" t="s">
        <v>881</v>
      </c>
      <c r="B5" s="324"/>
      <c r="C5" s="324"/>
      <c r="D5" s="324"/>
      <c r="E5" s="324"/>
      <c r="F5" s="324"/>
    </row>
    <row r="6" spans="1:6" ht="15.75" thickBot="1">
      <c r="A6" s="324"/>
      <c r="B6" s="324"/>
      <c r="C6" s="324"/>
      <c r="D6" s="324"/>
      <c r="E6" s="324"/>
      <c r="F6" s="324"/>
    </row>
    <row r="7" spans="1:6" ht="20.25" thickBot="1">
      <c r="A7" s="1249" t="s">
        <v>1</v>
      </c>
      <c r="B7" s="325"/>
      <c r="C7" s="325"/>
      <c r="D7" s="325"/>
      <c r="E7" s="325"/>
      <c r="F7" s="326"/>
    </row>
    <row r="8" spans="1:6" ht="16.5" thickTop="1" thickBot="1">
      <c r="A8" s="1250" t="s">
        <v>4</v>
      </c>
      <c r="B8" s="1251"/>
      <c r="C8" s="1251"/>
      <c r="D8" s="1245"/>
      <c r="E8" s="1245"/>
      <c r="F8" s="1246"/>
    </row>
    <row r="9" spans="1:6">
      <c r="A9" s="1252" t="s">
        <v>2</v>
      </c>
      <c r="B9" s="1253">
        <v>10399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49" t="s">
        <v>3</v>
      </c>
      <c r="B12" s="325"/>
      <c r="C12" s="325"/>
      <c r="D12" s="325"/>
      <c r="E12" s="325"/>
      <c r="F12" s="329"/>
    </row>
    <row r="13" spans="1:6" ht="16.5" thickTop="1" thickBot="1">
      <c r="A13" s="1254" t="s">
        <v>4</v>
      </c>
      <c r="B13" s="1255" t="s">
        <v>5</v>
      </c>
      <c r="C13" s="1255"/>
      <c r="D13" s="1255"/>
      <c r="E13" s="1255"/>
      <c r="F13" s="1256"/>
    </row>
    <row r="14" spans="1:6">
      <c r="A14" s="1257" t="s">
        <v>625</v>
      </c>
      <c r="B14" s="1258">
        <v>1979.6</v>
      </c>
      <c r="C14" s="324"/>
      <c r="D14" s="324"/>
      <c r="E14" s="324"/>
      <c r="F14" s="324"/>
    </row>
    <row r="15" spans="1:6">
      <c r="A15" s="1257" t="s">
        <v>177</v>
      </c>
      <c r="B15" s="1258">
        <v>1358</v>
      </c>
      <c r="C15" s="324"/>
      <c r="D15" s="324"/>
      <c r="E15" s="324"/>
      <c r="F15" s="324"/>
    </row>
    <row r="16" spans="1:6">
      <c r="A16" s="1257" t="s">
        <v>6</v>
      </c>
      <c r="B16" s="1258">
        <v>765</v>
      </c>
      <c r="C16" s="324"/>
      <c r="D16" s="324"/>
      <c r="E16" s="324"/>
      <c r="F16" s="324"/>
    </row>
    <row r="17" spans="1:6">
      <c r="A17" s="1257" t="s">
        <v>7</v>
      </c>
      <c r="B17" s="1258">
        <v>51</v>
      </c>
      <c r="C17" s="324"/>
      <c r="D17" s="324"/>
      <c r="E17" s="324"/>
      <c r="F17" s="324"/>
    </row>
    <row r="18" spans="1:6">
      <c r="A18" s="1257" t="s">
        <v>8</v>
      </c>
      <c r="B18" s="1258">
        <v>479</v>
      </c>
      <c r="C18" s="324"/>
      <c r="D18" s="324"/>
      <c r="E18" s="324"/>
      <c r="F18" s="324"/>
    </row>
    <row r="19" spans="1:6">
      <c r="A19" s="1257" t="s">
        <v>9</v>
      </c>
      <c r="B19" s="1258">
        <v>227</v>
      </c>
      <c r="C19" s="324"/>
      <c r="D19" s="324"/>
      <c r="E19" s="324"/>
      <c r="F19" s="324"/>
    </row>
    <row r="20" spans="1:6">
      <c r="A20" s="1257" t="s">
        <v>10</v>
      </c>
      <c r="B20" s="1258">
        <v>227</v>
      </c>
      <c r="C20" s="324"/>
      <c r="D20" s="324"/>
      <c r="E20" s="324"/>
      <c r="F20" s="324"/>
    </row>
    <row r="21" spans="1:6">
      <c r="A21" s="1257" t="s">
        <v>11</v>
      </c>
      <c r="B21" s="1258">
        <v>645</v>
      </c>
      <c r="C21" s="324"/>
      <c r="D21" s="324"/>
      <c r="E21" s="324"/>
      <c r="F21" s="324"/>
    </row>
    <row r="22" spans="1:6">
      <c r="A22" s="1257" t="s">
        <v>12</v>
      </c>
      <c r="B22" s="1258">
        <v>1926</v>
      </c>
      <c r="C22" s="324"/>
      <c r="D22" s="324"/>
      <c r="E22" s="324"/>
      <c r="F22" s="324"/>
    </row>
    <row r="23" spans="1:6">
      <c r="A23" s="1257" t="s">
        <v>13</v>
      </c>
      <c r="B23" s="1258">
        <v>30</v>
      </c>
      <c r="C23" s="324"/>
      <c r="D23" s="324"/>
      <c r="E23" s="324"/>
      <c r="F23" s="324"/>
    </row>
    <row r="24" spans="1:6">
      <c r="A24" s="1257" t="s">
        <v>14</v>
      </c>
      <c r="B24" s="1258">
        <v>1</v>
      </c>
      <c r="C24" s="324"/>
      <c r="D24" s="324"/>
      <c r="E24" s="324"/>
      <c r="F24" s="324"/>
    </row>
    <row r="25" spans="1:6">
      <c r="A25" s="1257" t="s">
        <v>15</v>
      </c>
      <c r="B25" s="1258">
        <v>174</v>
      </c>
      <c r="C25" s="324"/>
      <c r="D25" s="324"/>
      <c r="E25" s="324"/>
      <c r="F25" s="324"/>
    </row>
    <row r="26" spans="1:6">
      <c r="A26" s="1257" t="s">
        <v>16</v>
      </c>
      <c r="B26" s="1258">
        <v>279</v>
      </c>
      <c r="C26" s="324"/>
      <c r="D26" s="324"/>
      <c r="E26" s="324"/>
      <c r="F26" s="324"/>
    </row>
    <row r="27" spans="1:6">
      <c r="A27" s="1257" t="s">
        <v>17</v>
      </c>
      <c r="B27" s="1258">
        <v>0</v>
      </c>
      <c r="C27" s="324"/>
      <c r="D27" s="324"/>
      <c r="E27" s="324"/>
      <c r="F27" s="324"/>
    </row>
    <row r="28" spans="1:6">
      <c r="A28" s="1257" t="s">
        <v>18</v>
      </c>
      <c r="B28" s="1259">
        <v>2718</v>
      </c>
      <c r="C28" s="324"/>
      <c r="D28" s="324"/>
      <c r="E28" s="324"/>
      <c r="F28" s="324"/>
    </row>
    <row r="29" spans="1:6">
      <c r="A29" s="1257" t="s">
        <v>664</v>
      </c>
      <c r="B29" s="1259">
        <v>154</v>
      </c>
      <c r="C29" s="324"/>
      <c r="D29" s="324"/>
      <c r="E29" s="324"/>
      <c r="F29" s="324"/>
    </row>
    <row r="30" spans="1:6">
      <c r="A30" s="1252" t="s">
        <v>665</v>
      </c>
      <c r="B30" s="1260">
        <v>47</v>
      </c>
      <c r="C30" s="327"/>
      <c r="D30" s="327"/>
      <c r="E30" s="327"/>
      <c r="F30" s="327"/>
    </row>
    <row r="31" spans="1:6" ht="15.75" thickBot="1">
      <c r="A31" s="328"/>
      <c r="B31" s="324"/>
      <c r="C31" s="324"/>
      <c r="D31" s="324"/>
      <c r="E31" s="324"/>
      <c r="F31" s="324"/>
    </row>
    <row r="32" spans="1:6" ht="20.25" thickBot="1">
      <c r="A32" s="1249" t="s">
        <v>19</v>
      </c>
      <c r="B32" s="325"/>
      <c r="C32" s="325"/>
      <c r="D32" s="325"/>
      <c r="E32" s="325"/>
      <c r="F32" s="329"/>
    </row>
    <row r="33" spans="1:6" ht="16.5" thickTop="1" thickBot="1">
      <c r="A33" s="1261"/>
      <c r="B33" s="1262"/>
      <c r="C33" s="1262"/>
      <c r="D33" s="1262"/>
      <c r="E33" s="1262" t="s">
        <v>20</v>
      </c>
      <c r="F33" s="1263"/>
    </row>
    <row r="34" spans="1:6" ht="16.5" thickTop="1" thickBot="1">
      <c r="A34" s="1264" t="s">
        <v>21</v>
      </c>
      <c r="B34" s="1265" t="s">
        <v>22</v>
      </c>
      <c r="C34" s="1265" t="s">
        <v>5</v>
      </c>
      <c r="D34" s="1265" t="s">
        <v>23</v>
      </c>
      <c r="E34" s="1265" t="s">
        <v>5</v>
      </c>
      <c r="F34" s="1266" t="s">
        <v>23</v>
      </c>
    </row>
    <row r="35" spans="1:6">
      <c r="A35" s="1257" t="s">
        <v>24</v>
      </c>
      <c r="B35" s="1257" t="s">
        <v>25</v>
      </c>
      <c r="C35" s="1258">
        <v>0</v>
      </c>
      <c r="D35" s="1258">
        <v>0</v>
      </c>
      <c r="E35" s="1258">
        <v>0</v>
      </c>
      <c r="F35" s="1258">
        <v>0</v>
      </c>
    </row>
    <row r="36" spans="1:6">
      <c r="A36" s="1257" t="s">
        <v>24</v>
      </c>
      <c r="B36" s="1257" t="s">
        <v>26</v>
      </c>
      <c r="C36" s="1258">
        <v>0</v>
      </c>
      <c r="D36" s="1258">
        <v>0</v>
      </c>
      <c r="E36" s="1258">
        <v>0</v>
      </c>
      <c r="F36" s="1258">
        <v>0</v>
      </c>
    </row>
    <row r="37" spans="1:6">
      <c r="A37" s="1257" t="s">
        <v>24</v>
      </c>
      <c r="B37" s="1257" t="s">
        <v>27</v>
      </c>
      <c r="C37" s="1258">
        <v>0</v>
      </c>
      <c r="D37" s="1258">
        <v>0</v>
      </c>
      <c r="E37" s="1258">
        <v>0</v>
      </c>
      <c r="F37" s="1258">
        <v>0</v>
      </c>
    </row>
    <row r="38" spans="1:6">
      <c r="A38" s="1257" t="s">
        <v>24</v>
      </c>
      <c r="B38" s="1257" t="s">
        <v>28</v>
      </c>
      <c r="C38" s="1258">
        <v>0</v>
      </c>
      <c r="D38" s="1258">
        <v>0</v>
      </c>
      <c r="E38" s="1258">
        <v>4</v>
      </c>
      <c r="F38" s="1258">
        <v>46824.489000000001</v>
      </c>
    </row>
    <row r="39" spans="1:6">
      <c r="A39" s="1257" t="s">
        <v>29</v>
      </c>
      <c r="B39" s="1257" t="s">
        <v>30</v>
      </c>
      <c r="C39" s="1258">
        <v>8015</v>
      </c>
      <c r="D39" s="1258">
        <v>124281880.12</v>
      </c>
      <c r="E39" s="1258">
        <v>10264</v>
      </c>
      <c r="F39" s="1258">
        <v>34392235.469999999</v>
      </c>
    </row>
    <row r="40" spans="1:6">
      <c r="A40" s="1257" t="s">
        <v>29</v>
      </c>
      <c r="B40" s="1257" t="s">
        <v>28</v>
      </c>
      <c r="C40" s="1258">
        <v>0</v>
      </c>
      <c r="D40" s="1258">
        <v>0</v>
      </c>
      <c r="E40" s="1258">
        <v>0</v>
      </c>
      <c r="F40" s="1258">
        <v>0</v>
      </c>
    </row>
    <row r="41" spans="1:6">
      <c r="A41" s="1257" t="s">
        <v>31</v>
      </c>
      <c r="B41" s="1257" t="s">
        <v>32</v>
      </c>
      <c r="C41" s="1258">
        <v>92</v>
      </c>
      <c r="D41" s="1258">
        <v>2111591.5049999999</v>
      </c>
      <c r="E41" s="1258">
        <v>203</v>
      </c>
      <c r="F41" s="1258">
        <v>9839077.2689999994</v>
      </c>
    </row>
    <row r="42" spans="1:6">
      <c r="A42" s="1257" t="s">
        <v>31</v>
      </c>
      <c r="B42" s="1257" t="s">
        <v>33</v>
      </c>
      <c r="C42" s="1258">
        <v>10</v>
      </c>
      <c r="D42" s="1258">
        <v>117233334.59999999</v>
      </c>
      <c r="E42" s="1258">
        <v>7</v>
      </c>
      <c r="F42" s="1258">
        <v>55198144.600000001</v>
      </c>
    </row>
    <row r="43" spans="1:6">
      <c r="A43" s="1257" t="s">
        <v>31</v>
      </c>
      <c r="B43" s="1257" t="s">
        <v>34</v>
      </c>
      <c r="C43" s="1258">
        <v>0</v>
      </c>
      <c r="D43" s="1258">
        <v>0</v>
      </c>
      <c r="E43" s="1258">
        <v>0</v>
      </c>
      <c r="F43" s="1258">
        <v>0</v>
      </c>
    </row>
    <row r="44" spans="1:6">
      <c r="A44" s="1257" t="s">
        <v>31</v>
      </c>
      <c r="B44" s="1257" t="s">
        <v>35</v>
      </c>
      <c r="C44" s="1258">
        <v>6</v>
      </c>
      <c r="D44" s="1258">
        <v>304393.06</v>
      </c>
      <c r="E44" s="1258">
        <v>21</v>
      </c>
      <c r="F44" s="1258">
        <v>539192.24100000004</v>
      </c>
    </row>
    <row r="45" spans="1:6">
      <c r="A45" s="1257" t="s">
        <v>31</v>
      </c>
      <c r="B45" s="1257" t="s">
        <v>36</v>
      </c>
      <c r="C45" s="1258">
        <v>3</v>
      </c>
      <c r="D45" s="1258">
        <v>157369.39000000001</v>
      </c>
      <c r="E45" s="1258">
        <v>3</v>
      </c>
      <c r="F45" s="1258">
        <v>34616.019999999997</v>
      </c>
    </row>
    <row r="46" spans="1:6">
      <c r="A46" s="1257" t="s">
        <v>31</v>
      </c>
      <c r="B46" s="1257" t="s">
        <v>37</v>
      </c>
      <c r="C46" s="1258">
        <v>0</v>
      </c>
      <c r="D46" s="1258">
        <v>0</v>
      </c>
      <c r="E46" s="1258">
        <v>0</v>
      </c>
      <c r="F46" s="1258">
        <v>0</v>
      </c>
    </row>
    <row r="47" spans="1:6">
      <c r="A47" s="1257" t="s">
        <v>31</v>
      </c>
      <c r="B47" s="1257" t="s">
        <v>38</v>
      </c>
      <c r="C47" s="1258">
        <v>0</v>
      </c>
      <c r="D47" s="1258">
        <v>0</v>
      </c>
      <c r="E47" s="1258">
        <v>0</v>
      </c>
      <c r="F47" s="1258">
        <v>0</v>
      </c>
    </row>
    <row r="48" spans="1:6">
      <c r="A48" s="1257" t="s">
        <v>31</v>
      </c>
      <c r="B48" s="1257" t="s">
        <v>28</v>
      </c>
      <c r="C48" s="1258">
        <v>45</v>
      </c>
      <c r="D48" s="1258">
        <v>35685868.877999999</v>
      </c>
      <c r="E48" s="1258">
        <v>73</v>
      </c>
      <c r="F48" s="1258">
        <v>39576071.572999999</v>
      </c>
    </row>
    <row r="49" spans="1:6">
      <c r="A49" s="1257" t="s">
        <v>31</v>
      </c>
      <c r="B49" s="1257" t="s">
        <v>39</v>
      </c>
      <c r="C49" s="1258">
        <v>0</v>
      </c>
      <c r="D49" s="1258">
        <v>0</v>
      </c>
      <c r="E49" s="1258">
        <v>0</v>
      </c>
      <c r="F49" s="1258">
        <v>0</v>
      </c>
    </row>
    <row r="50" spans="1:6">
      <c r="A50" s="1257" t="s">
        <v>31</v>
      </c>
      <c r="B50" s="1257" t="s">
        <v>40</v>
      </c>
      <c r="C50" s="1258">
        <v>19</v>
      </c>
      <c r="D50" s="1258">
        <v>38532198.218999997</v>
      </c>
      <c r="E50" s="1258">
        <v>24</v>
      </c>
      <c r="F50" s="1258">
        <v>17642345.934999999</v>
      </c>
    </row>
    <row r="51" spans="1:6">
      <c r="A51" s="1257" t="s">
        <v>41</v>
      </c>
      <c r="B51" s="1257" t="s">
        <v>42</v>
      </c>
      <c r="C51" s="1258">
        <v>9</v>
      </c>
      <c r="D51" s="1258">
        <v>22453276.382999998</v>
      </c>
      <c r="E51" s="1258">
        <v>61</v>
      </c>
      <c r="F51" s="1258">
        <v>1012782.3630000001</v>
      </c>
    </row>
    <row r="52" spans="1:6">
      <c r="A52" s="1257" t="s">
        <v>41</v>
      </c>
      <c r="B52" s="1257" t="s">
        <v>28</v>
      </c>
      <c r="C52" s="1258">
        <v>8</v>
      </c>
      <c r="D52" s="1258">
        <v>110795.253</v>
      </c>
      <c r="E52" s="1258">
        <v>14</v>
      </c>
      <c r="F52" s="1258">
        <v>100034.52799999999</v>
      </c>
    </row>
    <row r="53" spans="1:6">
      <c r="A53" s="1257" t="s">
        <v>43</v>
      </c>
      <c r="B53" s="1257" t="s">
        <v>44</v>
      </c>
      <c r="C53" s="1258">
        <v>183</v>
      </c>
      <c r="D53" s="1258">
        <v>3396806.4580000001</v>
      </c>
      <c r="E53" s="1258">
        <v>359</v>
      </c>
      <c r="F53" s="1258">
        <v>1116078.834</v>
      </c>
    </row>
    <row r="54" spans="1:6">
      <c r="A54" s="1257" t="s">
        <v>45</v>
      </c>
      <c r="B54" s="1257" t="s">
        <v>46</v>
      </c>
      <c r="C54" s="1258">
        <v>0</v>
      </c>
      <c r="D54" s="1258">
        <v>0</v>
      </c>
      <c r="E54" s="1258">
        <v>2</v>
      </c>
      <c r="F54" s="1258">
        <v>1944280</v>
      </c>
    </row>
    <row r="55" spans="1:6">
      <c r="A55" s="1257" t="s">
        <v>45</v>
      </c>
      <c r="B55" s="1257" t="s">
        <v>28</v>
      </c>
      <c r="C55" s="1258">
        <v>0</v>
      </c>
      <c r="D55" s="1258">
        <v>0</v>
      </c>
      <c r="E55" s="1258">
        <v>0</v>
      </c>
      <c r="F55" s="1258">
        <v>0</v>
      </c>
    </row>
    <row r="56" spans="1:6">
      <c r="A56" s="1257" t="s">
        <v>47</v>
      </c>
      <c r="B56" s="1257" t="s">
        <v>28</v>
      </c>
      <c r="C56" s="1258">
        <v>0</v>
      </c>
      <c r="D56" s="1258">
        <v>0</v>
      </c>
      <c r="E56" s="1258">
        <v>0</v>
      </c>
      <c r="F56" s="1258">
        <v>0</v>
      </c>
    </row>
    <row r="57" spans="1:6">
      <c r="A57" s="1257" t="s">
        <v>48</v>
      </c>
      <c r="B57" s="1257" t="s">
        <v>49</v>
      </c>
      <c r="C57" s="1258">
        <v>57</v>
      </c>
      <c r="D57" s="1258">
        <v>3219456.21</v>
      </c>
      <c r="E57" s="1258">
        <v>121</v>
      </c>
      <c r="F57" s="1258">
        <v>4458308.7029999997</v>
      </c>
    </row>
    <row r="58" spans="1:6">
      <c r="A58" s="1257" t="s">
        <v>48</v>
      </c>
      <c r="B58" s="1257" t="s">
        <v>50</v>
      </c>
      <c r="C58" s="1258">
        <v>54</v>
      </c>
      <c r="D58" s="1258">
        <v>4221449.8250000002</v>
      </c>
      <c r="E58" s="1258">
        <v>71</v>
      </c>
      <c r="F58" s="1258">
        <v>1157281.389</v>
      </c>
    </row>
    <row r="59" spans="1:6">
      <c r="A59" s="1257" t="s">
        <v>48</v>
      </c>
      <c r="B59" s="1257" t="s">
        <v>51</v>
      </c>
      <c r="C59" s="1258">
        <v>83</v>
      </c>
      <c r="D59" s="1258">
        <v>3148161.3969999999</v>
      </c>
      <c r="E59" s="1258">
        <v>170</v>
      </c>
      <c r="F59" s="1258">
        <v>5523623.8010000009</v>
      </c>
    </row>
    <row r="60" spans="1:6">
      <c r="A60" s="1257" t="s">
        <v>48</v>
      </c>
      <c r="B60" s="1257" t="s">
        <v>52</v>
      </c>
      <c r="C60" s="1258">
        <v>91</v>
      </c>
      <c r="D60" s="1258">
        <v>5139850.4890000001</v>
      </c>
      <c r="E60" s="1258">
        <v>155</v>
      </c>
      <c r="F60" s="1258">
        <v>2864916.9779999997</v>
      </c>
    </row>
    <row r="61" spans="1:6">
      <c r="A61" s="1257" t="s">
        <v>48</v>
      </c>
      <c r="B61" s="1257" t="s">
        <v>53</v>
      </c>
      <c r="C61" s="1258">
        <v>275</v>
      </c>
      <c r="D61" s="1258">
        <v>13459757.131000001</v>
      </c>
      <c r="E61" s="1258">
        <v>452</v>
      </c>
      <c r="F61" s="1258">
        <v>9822077.4739999995</v>
      </c>
    </row>
    <row r="62" spans="1:6">
      <c r="A62" s="1257" t="s">
        <v>48</v>
      </c>
      <c r="B62" s="1257" t="s">
        <v>54</v>
      </c>
      <c r="C62" s="1258">
        <v>35</v>
      </c>
      <c r="D62" s="1258">
        <v>2597279.1550000003</v>
      </c>
      <c r="E62" s="1258">
        <v>33</v>
      </c>
      <c r="F62" s="1258">
        <v>594234.59400000004</v>
      </c>
    </row>
    <row r="63" spans="1:6">
      <c r="A63" s="1257" t="s">
        <v>48</v>
      </c>
      <c r="B63" s="1257" t="s">
        <v>28</v>
      </c>
      <c r="C63" s="1258">
        <v>154</v>
      </c>
      <c r="D63" s="1258">
        <v>8582096.0190000013</v>
      </c>
      <c r="E63" s="1258">
        <v>197</v>
      </c>
      <c r="F63" s="1258">
        <v>10003928.526000001</v>
      </c>
    </row>
    <row r="64" spans="1:6">
      <c r="A64" s="1257" t="s">
        <v>55</v>
      </c>
      <c r="B64" s="1257" t="s">
        <v>56</v>
      </c>
      <c r="C64" s="1258">
        <v>0</v>
      </c>
      <c r="D64" s="1258">
        <v>0</v>
      </c>
      <c r="E64" s="1258">
        <v>0</v>
      </c>
      <c r="F64" s="1258">
        <v>0</v>
      </c>
    </row>
    <row r="65" spans="1:6">
      <c r="A65" s="1257" t="s">
        <v>55</v>
      </c>
      <c r="B65" s="1257" t="s">
        <v>28</v>
      </c>
      <c r="C65" s="1258">
        <v>3</v>
      </c>
      <c r="D65" s="1258">
        <v>61057.135000000002</v>
      </c>
      <c r="E65" s="1258">
        <v>5</v>
      </c>
      <c r="F65" s="1258">
        <v>30313.720999999998</v>
      </c>
    </row>
    <row r="66" spans="1:6">
      <c r="A66" s="1257" t="s">
        <v>55</v>
      </c>
      <c r="B66" s="1257" t="s">
        <v>57</v>
      </c>
      <c r="C66" s="1258">
        <v>0</v>
      </c>
      <c r="D66" s="1258">
        <v>0</v>
      </c>
      <c r="E66" s="1258">
        <v>10</v>
      </c>
      <c r="F66" s="1258">
        <v>2321060.0819999999</v>
      </c>
    </row>
    <row r="67" spans="1:6">
      <c r="A67" s="1257" t="s">
        <v>55</v>
      </c>
      <c r="B67" s="1257" t="s">
        <v>58</v>
      </c>
      <c r="C67" s="1258">
        <v>0</v>
      </c>
      <c r="D67" s="1258">
        <v>0</v>
      </c>
      <c r="E67" s="1258">
        <v>0</v>
      </c>
      <c r="F67" s="1258">
        <v>0</v>
      </c>
    </row>
    <row r="68" spans="1:6">
      <c r="A68" s="1252" t="s">
        <v>55</v>
      </c>
      <c r="B68" s="1252" t="s">
        <v>59</v>
      </c>
      <c r="C68" s="1260">
        <v>9</v>
      </c>
      <c r="D68" s="1260">
        <v>959508.00600000005</v>
      </c>
      <c r="E68" s="1260">
        <v>23</v>
      </c>
      <c r="F68" s="1260">
        <v>2355185.3489999999</v>
      </c>
    </row>
    <row r="69" spans="1:6" ht="15.75" thickBot="1">
      <c r="A69" s="328"/>
      <c r="B69" s="324"/>
      <c r="C69" s="324"/>
      <c r="D69" s="324"/>
      <c r="E69" s="324"/>
      <c r="F69" s="324"/>
    </row>
    <row r="70" spans="1:6" ht="19.5">
      <c r="A70" s="1249" t="s">
        <v>60</v>
      </c>
      <c r="B70" s="325"/>
      <c r="C70" s="325"/>
      <c r="D70" s="325"/>
      <c r="E70" s="325"/>
      <c r="F70" s="329"/>
    </row>
    <row r="71" spans="1:6" ht="20.25" thickBot="1">
      <c r="A71" s="1267"/>
      <c r="B71" s="1277"/>
      <c r="C71" s="1277"/>
      <c r="D71" s="1278" t="s">
        <v>418</v>
      </c>
      <c r="E71" s="1277"/>
      <c r="F71" s="331"/>
    </row>
    <row r="72" spans="1:6" ht="16.5" thickTop="1" thickBot="1">
      <c r="A72" s="1254" t="s">
        <v>61</v>
      </c>
      <c r="B72" s="1255" t="s">
        <v>62</v>
      </c>
      <c r="C72" s="1268" t="s">
        <v>624</v>
      </c>
      <c r="D72" s="1269"/>
      <c r="E72" s="1269"/>
      <c r="F72" s="1256"/>
    </row>
    <row r="73" spans="1:6">
      <c r="A73" s="1257" t="s">
        <v>63</v>
      </c>
      <c r="B73" s="1257" t="s">
        <v>607</v>
      </c>
      <c r="C73" s="1270" t="s">
        <v>609</v>
      </c>
      <c r="D73" s="1258">
        <v>306693120</v>
      </c>
      <c r="E73" s="442"/>
      <c r="F73" s="324"/>
    </row>
    <row r="74" spans="1:6">
      <c r="A74" s="1257" t="s">
        <v>63</v>
      </c>
      <c r="B74" s="1257" t="s">
        <v>608</v>
      </c>
      <c r="C74" s="1270" t="s">
        <v>610</v>
      </c>
      <c r="D74" s="1258">
        <v>47581312</v>
      </c>
      <c r="E74" s="442"/>
      <c r="F74" s="324"/>
    </row>
    <row r="75" spans="1:6">
      <c r="A75" s="1257" t="s">
        <v>64</v>
      </c>
      <c r="B75" s="1257" t="s">
        <v>607</v>
      </c>
      <c r="C75" s="1270" t="s">
        <v>611</v>
      </c>
      <c r="D75" s="1258">
        <v>82180372</v>
      </c>
      <c r="E75" s="442"/>
      <c r="F75" s="324"/>
    </row>
    <row r="76" spans="1:6">
      <c r="A76" s="1257" t="s">
        <v>64</v>
      </c>
      <c r="B76" s="1257" t="s">
        <v>608</v>
      </c>
      <c r="C76" s="1270" t="s">
        <v>612</v>
      </c>
      <c r="D76" s="1258">
        <v>10750718</v>
      </c>
      <c r="E76" s="442"/>
      <c r="F76" s="324"/>
    </row>
    <row r="77" spans="1:6">
      <c r="A77" s="1257" t="s">
        <v>65</v>
      </c>
      <c r="B77" s="1257" t="s">
        <v>607</v>
      </c>
      <c r="C77" s="1270" t="s">
        <v>613</v>
      </c>
      <c r="D77" s="1258">
        <v>72902592</v>
      </c>
      <c r="E77" s="442"/>
      <c r="F77" s="324"/>
    </row>
    <row r="78" spans="1:6">
      <c r="A78" s="1252" t="s">
        <v>65</v>
      </c>
      <c r="B78" s="1252" t="s">
        <v>608</v>
      </c>
      <c r="C78" s="1252" t="s">
        <v>614</v>
      </c>
      <c r="D78" s="1260">
        <v>9864679</v>
      </c>
      <c r="E78" s="1271"/>
      <c r="F78" s="327"/>
    </row>
    <row r="79" spans="1:6">
      <c r="A79" s="1272"/>
      <c r="B79" s="1272"/>
      <c r="C79" s="324"/>
      <c r="D79" s="324"/>
      <c r="E79" s="324"/>
      <c r="F79" s="324"/>
    </row>
    <row r="80" spans="1:6" ht="15.75" thickBot="1">
      <c r="A80" s="1272"/>
      <c r="B80" s="1272"/>
      <c r="C80" s="324"/>
      <c r="D80" s="324"/>
      <c r="E80" s="324"/>
      <c r="F80" s="324"/>
    </row>
    <row r="81" spans="1:6" ht="20.25" thickBot="1">
      <c r="A81" s="1249" t="s">
        <v>320</v>
      </c>
      <c r="B81" s="1273"/>
      <c r="C81" s="325"/>
      <c r="D81" s="325"/>
      <c r="E81" s="325"/>
      <c r="F81" s="329"/>
    </row>
    <row r="82" spans="1:6" ht="16.5" thickTop="1" thickBot="1">
      <c r="A82" s="1254" t="s">
        <v>321</v>
      </c>
      <c r="B82" s="1269"/>
      <c r="C82" s="1269"/>
      <c r="D82" s="1255"/>
      <c r="E82" s="1255"/>
      <c r="F82" s="1256"/>
    </row>
    <row r="83" spans="1:6">
      <c r="A83" s="1257" t="s">
        <v>322</v>
      </c>
      <c r="B83" s="1258">
        <v>530798</v>
      </c>
      <c r="C83" s="442"/>
      <c r="D83" s="324"/>
      <c r="E83" s="324"/>
      <c r="F83" s="324"/>
    </row>
    <row r="84" spans="1:6">
      <c r="A84" s="1252" t="s">
        <v>323</v>
      </c>
      <c r="B84" s="1260">
        <v>0</v>
      </c>
      <c r="C84" s="1271"/>
      <c r="D84" s="327"/>
      <c r="E84" s="327"/>
      <c r="F84" s="327"/>
    </row>
    <row r="85" spans="1:6">
      <c r="A85" s="1272"/>
      <c r="B85" s="1274"/>
      <c r="C85" s="324"/>
      <c r="D85" s="324"/>
      <c r="E85" s="324"/>
      <c r="F85" s="324"/>
    </row>
    <row r="86" spans="1:6" ht="15.75" thickBot="1">
      <c r="A86" s="328"/>
      <c r="B86" s="324"/>
      <c r="C86" s="324"/>
      <c r="D86" s="324"/>
      <c r="E86" s="324"/>
      <c r="F86" s="324"/>
    </row>
    <row r="87" spans="1:6" ht="20.25" thickBot="1">
      <c r="A87" s="1249" t="s">
        <v>66</v>
      </c>
      <c r="B87" s="325"/>
      <c r="C87" s="325"/>
      <c r="D87" s="325"/>
      <c r="E87" s="325"/>
      <c r="F87" s="329"/>
    </row>
    <row r="88" spans="1:6" ht="16.5" thickTop="1" thickBot="1">
      <c r="A88" s="1254" t="s">
        <v>4</v>
      </c>
      <c r="B88" s="1255" t="s">
        <v>163</v>
      </c>
      <c r="C88" s="1255"/>
      <c r="D88" s="1255"/>
      <c r="E88" s="1255"/>
      <c r="F88" s="1256"/>
    </row>
    <row r="89" spans="1:6">
      <c r="A89" s="1257" t="s">
        <v>523</v>
      </c>
      <c r="B89" s="1258">
        <v>0</v>
      </c>
      <c r="C89" s="324"/>
      <c r="D89" s="324"/>
      <c r="E89" s="324"/>
      <c r="F89" s="324"/>
    </row>
    <row r="90" spans="1:6">
      <c r="A90" s="1257" t="s">
        <v>524</v>
      </c>
      <c r="B90" s="1258">
        <v>24410.56222583029</v>
      </c>
      <c r="C90" s="324"/>
      <c r="D90" s="324"/>
      <c r="E90" s="324"/>
      <c r="F90" s="324"/>
    </row>
    <row r="91" spans="1:6">
      <c r="A91" s="1257" t="s">
        <v>67</v>
      </c>
      <c r="B91" s="1258">
        <v>6810.394185248233</v>
      </c>
      <c r="C91" s="324"/>
      <c r="D91" s="324"/>
      <c r="E91" s="324"/>
      <c r="F91" s="324"/>
    </row>
    <row r="92" spans="1:6">
      <c r="A92" s="1252" t="s">
        <v>68</v>
      </c>
      <c r="B92" s="1253">
        <v>5779.6808681639486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49" t="s">
        <v>69</v>
      </c>
      <c r="B95" s="325"/>
      <c r="C95" s="325"/>
      <c r="D95" s="325"/>
      <c r="E95" s="325"/>
      <c r="F95" s="329"/>
    </row>
    <row r="96" spans="1:6" ht="16.5" thickTop="1" thickBot="1">
      <c r="A96" s="1254" t="s">
        <v>4</v>
      </c>
      <c r="B96" s="1255" t="s">
        <v>5</v>
      </c>
      <c r="C96" s="1255"/>
      <c r="D96" s="1255"/>
      <c r="E96" s="1255"/>
      <c r="F96" s="1256"/>
    </row>
    <row r="97" spans="1:6">
      <c r="A97" s="1257" t="s">
        <v>70</v>
      </c>
      <c r="B97" s="1258">
        <v>5111</v>
      </c>
      <c r="C97" s="324"/>
      <c r="D97" s="324"/>
      <c r="E97" s="324"/>
      <c r="F97" s="324"/>
    </row>
    <row r="98" spans="1:6">
      <c r="A98" s="1257" t="s">
        <v>71</v>
      </c>
      <c r="B98" s="1258">
        <v>13</v>
      </c>
      <c r="C98" s="324"/>
      <c r="D98" s="324"/>
      <c r="E98" s="324"/>
      <c r="F98" s="324"/>
    </row>
    <row r="99" spans="1:6">
      <c r="A99" s="1257" t="s">
        <v>72</v>
      </c>
      <c r="B99" s="1258">
        <v>59</v>
      </c>
      <c r="C99" s="324"/>
      <c r="D99" s="324"/>
      <c r="E99" s="324"/>
      <c r="F99" s="324"/>
    </row>
    <row r="100" spans="1:6">
      <c r="A100" s="1257" t="s">
        <v>73</v>
      </c>
      <c r="B100" s="1258">
        <v>538</v>
      </c>
      <c r="C100" s="324"/>
      <c r="D100" s="324"/>
      <c r="E100" s="324"/>
      <c r="F100" s="324"/>
    </row>
    <row r="101" spans="1:6">
      <c r="A101" s="1257" t="s">
        <v>74</v>
      </c>
      <c r="B101" s="1258">
        <v>96</v>
      </c>
      <c r="C101" s="324"/>
      <c r="D101" s="324"/>
      <c r="E101" s="324"/>
      <c r="F101" s="324"/>
    </row>
    <row r="102" spans="1:6">
      <c r="A102" s="1257" t="s">
        <v>75</v>
      </c>
      <c r="B102" s="1258">
        <v>94</v>
      </c>
      <c r="C102" s="324"/>
      <c r="D102" s="324"/>
      <c r="E102" s="324"/>
      <c r="F102" s="324"/>
    </row>
    <row r="103" spans="1:6">
      <c r="A103" s="1257" t="s">
        <v>76</v>
      </c>
      <c r="B103" s="1258">
        <v>159</v>
      </c>
      <c r="C103" s="324"/>
      <c r="D103" s="324"/>
      <c r="E103" s="324"/>
      <c r="F103" s="324"/>
    </row>
    <row r="104" spans="1:6">
      <c r="A104" s="1257" t="s">
        <v>77</v>
      </c>
      <c r="B104" s="1258">
        <v>2753</v>
      </c>
      <c r="C104" s="324"/>
      <c r="D104" s="324"/>
      <c r="E104" s="324"/>
      <c r="F104" s="324"/>
    </row>
    <row r="105" spans="1:6">
      <c r="A105" s="1252" t="s">
        <v>78</v>
      </c>
      <c r="B105" s="1260">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49" t="s">
        <v>597</v>
      </c>
      <c r="B108" s="325"/>
      <c r="C108" s="325"/>
      <c r="D108" s="325"/>
      <c r="E108" s="325"/>
      <c r="F108" s="329"/>
    </row>
    <row r="109" spans="1:6" ht="16.5" thickTop="1" thickBot="1">
      <c r="A109" s="1254" t="s">
        <v>4</v>
      </c>
      <c r="B109" s="1255" t="s">
        <v>5</v>
      </c>
      <c r="C109" s="1255"/>
      <c r="D109" s="1255"/>
      <c r="E109" s="1255"/>
      <c r="F109" s="1256"/>
    </row>
    <row r="110" spans="1:6">
      <c r="A110" s="1257" t="s">
        <v>598</v>
      </c>
      <c r="B110" s="1258">
        <v>0</v>
      </c>
      <c r="C110" s="324"/>
      <c r="D110" s="324"/>
      <c r="E110" s="324"/>
      <c r="F110" s="324"/>
    </row>
    <row r="111" spans="1:6">
      <c r="A111" s="1275" t="s">
        <v>599</v>
      </c>
      <c r="B111" s="1276">
        <v>0</v>
      </c>
      <c r="C111" s="1279"/>
      <c r="D111" s="1279"/>
      <c r="E111" s="1279"/>
      <c r="F111" s="1279"/>
    </row>
    <row r="112" spans="1:6">
      <c r="A112" s="1257"/>
      <c r="B112" s="324"/>
      <c r="C112" s="324"/>
      <c r="D112" s="324"/>
      <c r="E112" s="324"/>
      <c r="F112" s="324"/>
    </row>
    <row r="113" spans="1:6" ht="15.75" thickBot="1">
      <c r="A113" s="1252"/>
      <c r="B113" s="327"/>
      <c r="C113" s="327"/>
      <c r="D113" s="327"/>
      <c r="E113" s="327"/>
      <c r="F113" s="327"/>
    </row>
    <row r="114" spans="1:6" ht="20.25" thickBot="1">
      <c r="A114" s="1249" t="s">
        <v>79</v>
      </c>
      <c r="B114" s="325"/>
      <c r="C114" s="325"/>
      <c r="D114" s="325"/>
      <c r="E114" s="325"/>
      <c r="F114" s="329"/>
    </row>
    <row r="115" spans="1:6" ht="16.5" thickTop="1" thickBot="1">
      <c r="A115" s="332"/>
      <c r="B115" s="333" t="s">
        <v>80</v>
      </c>
      <c r="C115" s="333" t="s">
        <v>81</v>
      </c>
      <c r="D115" s="333"/>
      <c r="E115" s="333"/>
      <c r="F115" s="334"/>
    </row>
    <row r="116" spans="1:6" ht="16.5" thickTop="1" thickBot="1">
      <c r="A116" s="1254" t="s">
        <v>4</v>
      </c>
      <c r="B116" s="1255" t="s">
        <v>5</v>
      </c>
      <c r="C116" s="1255" t="s">
        <v>5</v>
      </c>
      <c r="D116" s="1255"/>
      <c r="E116" s="1255"/>
      <c r="F116" s="1256"/>
    </row>
    <row r="117" spans="1:6">
      <c r="A117" s="1257" t="s">
        <v>82</v>
      </c>
      <c r="B117" s="1258">
        <v>0</v>
      </c>
      <c r="C117" s="1258">
        <v>0</v>
      </c>
      <c r="D117" s="324"/>
      <c r="E117" s="324"/>
      <c r="F117" s="324"/>
    </row>
    <row r="118" spans="1:6">
      <c r="A118" s="1257" t="s">
        <v>83</v>
      </c>
      <c r="B118" s="1258">
        <v>0</v>
      </c>
      <c r="C118" s="1258">
        <v>0</v>
      </c>
      <c r="D118" s="324"/>
      <c r="E118" s="324"/>
      <c r="F118" s="324"/>
    </row>
    <row r="119" spans="1:6">
      <c r="A119" s="1257" t="s">
        <v>31</v>
      </c>
      <c r="B119" s="1258">
        <v>0</v>
      </c>
      <c r="C119" s="1258">
        <v>0</v>
      </c>
      <c r="D119" s="324"/>
      <c r="E119" s="324"/>
      <c r="F119" s="324"/>
    </row>
    <row r="120" spans="1:6">
      <c r="A120" s="1257" t="s">
        <v>84</v>
      </c>
      <c r="B120" s="1258">
        <v>0</v>
      </c>
      <c r="C120" s="1258">
        <v>0</v>
      </c>
      <c r="D120" s="324"/>
      <c r="E120" s="324"/>
      <c r="F120" s="324"/>
    </row>
    <row r="121" spans="1:6">
      <c r="A121" s="1257" t="s">
        <v>85</v>
      </c>
      <c r="B121" s="1258">
        <v>0</v>
      </c>
      <c r="C121" s="1258">
        <v>0</v>
      </c>
      <c r="D121" s="324"/>
      <c r="E121" s="324"/>
      <c r="F121" s="324"/>
    </row>
    <row r="122" spans="1:6">
      <c r="A122" s="1257" t="s">
        <v>86</v>
      </c>
      <c r="B122" s="1258">
        <v>0</v>
      </c>
      <c r="C122" s="1258">
        <v>0</v>
      </c>
      <c r="D122" s="324"/>
      <c r="E122" s="324"/>
      <c r="F122" s="324"/>
    </row>
    <row r="123" spans="1:6">
      <c r="A123" s="1257" t="s">
        <v>87</v>
      </c>
      <c r="B123" s="1258">
        <v>54</v>
      </c>
      <c r="C123" s="1258">
        <v>59</v>
      </c>
      <c r="D123" s="324"/>
      <c r="E123" s="324"/>
      <c r="F123" s="324"/>
    </row>
    <row r="124" spans="1:6">
      <c r="A124" s="1257" t="s">
        <v>88</v>
      </c>
      <c r="B124" s="1258">
        <v>3</v>
      </c>
      <c r="C124" s="1258">
        <v>1</v>
      </c>
      <c r="D124" s="324"/>
      <c r="E124" s="324"/>
      <c r="F124" s="324"/>
    </row>
    <row r="125" spans="1:6">
      <c r="A125" s="1252" t="s">
        <v>824</v>
      </c>
      <c r="B125" s="1258">
        <v>0</v>
      </c>
      <c r="C125" s="1258">
        <v>0</v>
      </c>
      <c r="D125" s="324"/>
      <c r="E125" s="324"/>
      <c r="F125" s="324"/>
    </row>
    <row r="126" spans="1:6" ht="15.75" thickBot="1">
      <c r="A126" s="1272"/>
      <c r="B126" s="324"/>
      <c r="C126" s="324"/>
      <c r="D126" s="324"/>
      <c r="E126" s="324"/>
      <c r="F126" s="324"/>
    </row>
    <row r="127" spans="1:6" ht="20.25" thickBot="1">
      <c r="A127" s="1249" t="s">
        <v>281</v>
      </c>
      <c r="B127" s="325"/>
      <c r="C127" s="325"/>
      <c r="D127" s="325"/>
      <c r="E127" s="325"/>
      <c r="F127" s="329"/>
    </row>
    <row r="128" spans="1:6" ht="16.5" thickTop="1" thickBot="1">
      <c r="A128" s="1254" t="s">
        <v>4</v>
      </c>
      <c r="B128" s="1255" t="s">
        <v>5</v>
      </c>
      <c r="C128" s="1255"/>
      <c r="D128" s="1255"/>
      <c r="E128" s="1255"/>
      <c r="F128" s="1256"/>
    </row>
    <row r="129" spans="1:6">
      <c r="A129" s="1257" t="s">
        <v>282</v>
      </c>
      <c r="B129" s="1258">
        <v>253</v>
      </c>
      <c r="C129" s="324"/>
      <c r="D129" s="324"/>
      <c r="E129" s="324"/>
      <c r="F129" s="324"/>
    </row>
    <row r="130" spans="1:6">
      <c r="A130" s="1257" t="s">
        <v>283</v>
      </c>
      <c r="B130" s="1258">
        <v>1</v>
      </c>
      <c r="C130" s="324"/>
      <c r="D130" s="324"/>
      <c r="E130" s="324"/>
      <c r="F130" s="324"/>
    </row>
    <row r="131" spans="1:6">
      <c r="A131" s="1257" t="s">
        <v>284</v>
      </c>
      <c r="B131" s="1258">
        <v>3</v>
      </c>
      <c r="C131" s="324"/>
      <c r="D131" s="324"/>
      <c r="E131" s="324"/>
      <c r="F131" s="324"/>
    </row>
    <row r="132" spans="1:6">
      <c r="A132" s="1252" t="s">
        <v>285</v>
      </c>
      <c r="B132" s="1253">
        <v>31</v>
      </c>
      <c r="C132" s="327"/>
      <c r="D132" s="327"/>
      <c r="E132" s="327"/>
      <c r="F132" s="327"/>
    </row>
    <row r="133" spans="1:6">
      <c r="A133" s="324"/>
      <c r="B133" s="324"/>
      <c r="C133" s="324"/>
      <c r="D133" s="324"/>
      <c r="E133" s="324"/>
      <c r="F133" s="324"/>
    </row>
    <row r="134" spans="1:6">
      <c r="A134" s="1274"/>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5"/>
      <c r="F1" s="635"/>
    </row>
    <row r="2" spans="1:12">
      <c r="A2" s="44" t="s">
        <v>830</v>
      </c>
      <c r="B2" s="500"/>
      <c r="E2" s="635"/>
      <c r="F2" s="635"/>
    </row>
    <row r="3" spans="1:12">
      <c r="A3" s="44"/>
      <c r="B3" s="500"/>
      <c r="E3" s="635"/>
      <c r="F3" s="635"/>
    </row>
    <row r="4" spans="1:12" ht="18">
      <c r="A4" s="136" t="s">
        <v>174</v>
      </c>
      <c r="B4" s="501" t="s">
        <v>370</v>
      </c>
      <c r="E4" s="635"/>
      <c r="F4" s="635"/>
    </row>
    <row r="5" spans="1:12" ht="21">
      <c r="A5" s="116" t="s">
        <v>176</v>
      </c>
      <c r="B5" s="502"/>
      <c r="E5" s="856"/>
      <c r="F5" s="857"/>
      <c r="G5" s="866"/>
      <c r="H5" s="866"/>
      <c r="I5" s="9"/>
      <c r="J5" s="9"/>
    </row>
    <row r="6" spans="1:12">
      <c r="A6" s="117" t="s">
        <v>177</v>
      </c>
      <c r="B6" s="503">
        <v>4.0513950503279288</v>
      </c>
      <c r="E6" s="858"/>
      <c r="F6" s="858"/>
      <c r="G6" s="867"/>
      <c r="H6" s="867"/>
      <c r="I6" s="10"/>
      <c r="J6" s="10"/>
      <c r="K6" s="10"/>
      <c r="L6" s="10"/>
    </row>
    <row r="7" spans="1:12">
      <c r="A7" s="117" t="s">
        <v>6</v>
      </c>
      <c r="B7" s="503">
        <v>130.50761254381149</v>
      </c>
      <c r="E7" s="635"/>
      <c r="F7" s="635"/>
      <c r="G7" s="868"/>
      <c r="H7" s="868"/>
      <c r="K7" s="10"/>
      <c r="L7" s="10"/>
    </row>
    <row r="8" spans="1:12">
      <c r="A8" s="117" t="s">
        <v>7</v>
      </c>
      <c r="B8" s="503">
        <v>69.102957635465998</v>
      </c>
      <c r="E8" s="635"/>
      <c r="F8" s="635"/>
      <c r="G8" s="868"/>
      <c r="H8" s="868"/>
      <c r="K8" s="10"/>
      <c r="L8" s="10"/>
    </row>
    <row r="9" spans="1:12">
      <c r="A9" s="117" t="s">
        <v>8</v>
      </c>
      <c r="B9" s="503">
        <v>31.909886478760505</v>
      </c>
      <c r="E9" s="858"/>
      <c r="F9" s="858"/>
      <c r="G9" s="867"/>
      <c r="H9" s="867"/>
      <c r="I9" s="10"/>
      <c r="J9" s="10"/>
      <c r="K9" s="10"/>
      <c r="L9" s="10"/>
    </row>
    <row r="10" spans="1:12">
      <c r="A10" s="117" t="s">
        <v>9</v>
      </c>
      <c r="B10" s="503">
        <v>47.900718217356051</v>
      </c>
      <c r="E10" s="859"/>
      <c r="F10" s="859"/>
      <c r="G10" s="869"/>
      <c r="H10" s="869"/>
      <c r="I10" s="11"/>
      <c r="J10" s="11"/>
      <c r="K10" s="10"/>
      <c r="L10" s="10"/>
    </row>
    <row r="11" spans="1:12">
      <c r="A11" s="117" t="s">
        <v>10</v>
      </c>
      <c r="B11" s="503">
        <v>41.361552447157969</v>
      </c>
      <c r="E11" s="635"/>
      <c r="F11" s="859"/>
      <c r="G11" s="869"/>
      <c r="H11" s="869"/>
      <c r="I11" s="11"/>
      <c r="J11" s="11"/>
      <c r="K11" s="10"/>
      <c r="L11" s="10"/>
    </row>
    <row r="12" spans="1:12">
      <c r="A12" s="118" t="s">
        <v>16</v>
      </c>
      <c r="B12" s="503">
        <v>8</v>
      </c>
      <c r="E12" s="859"/>
      <c r="F12" s="858"/>
      <c r="G12" s="867"/>
      <c r="H12" s="867"/>
      <c r="I12" s="10"/>
      <c r="J12" s="10"/>
      <c r="K12" s="10"/>
      <c r="L12" s="10"/>
    </row>
    <row r="13" spans="1:12">
      <c r="A13" s="118" t="s">
        <v>17</v>
      </c>
      <c r="B13" s="503">
        <v>5</v>
      </c>
      <c r="E13" s="858"/>
      <c r="F13" s="858"/>
      <c r="G13" s="867"/>
      <c r="H13" s="867"/>
      <c r="I13" s="10"/>
      <c r="J13" s="10"/>
      <c r="K13" s="10"/>
      <c r="L13" s="10"/>
    </row>
    <row r="14" spans="1:12">
      <c r="A14" s="118" t="s">
        <v>178</v>
      </c>
      <c r="B14" s="503">
        <v>1.5</v>
      </c>
      <c r="E14" s="858"/>
      <c r="F14" s="858"/>
      <c r="G14" s="867"/>
      <c r="H14" s="867"/>
      <c r="I14" s="10"/>
      <c r="J14" s="10"/>
      <c r="K14" s="10"/>
      <c r="L14" s="10"/>
    </row>
    <row r="15" spans="1:12">
      <c r="A15" s="118" t="s">
        <v>179</v>
      </c>
      <c r="B15" s="503">
        <v>18</v>
      </c>
      <c r="E15" s="858"/>
      <c r="F15" s="858"/>
      <c r="G15" s="867"/>
      <c r="H15" s="867"/>
      <c r="I15" s="10"/>
      <c r="J15" s="10"/>
      <c r="K15" s="10"/>
      <c r="L15" s="10"/>
    </row>
    <row r="16" spans="1:12">
      <c r="A16" s="118" t="s">
        <v>761</v>
      </c>
      <c r="B16" s="504">
        <v>10</v>
      </c>
      <c r="E16" s="858"/>
      <c r="F16" s="858"/>
      <c r="G16" s="867"/>
      <c r="H16" s="867"/>
      <c r="I16" s="10"/>
      <c r="J16" s="10"/>
      <c r="K16" s="10"/>
      <c r="L16" s="10"/>
    </row>
    <row r="17" spans="1:12" s="43" customFormat="1" ht="15.75" thickBot="1">
      <c r="A17" s="119"/>
      <c r="B17" s="505"/>
      <c r="E17" s="860"/>
      <c r="F17" s="860"/>
      <c r="G17" s="153"/>
      <c r="H17" s="153"/>
      <c r="I17" s="153"/>
      <c r="J17" s="153"/>
      <c r="K17" s="153"/>
      <c r="L17" s="153"/>
    </row>
    <row r="18" spans="1:12" s="43" customFormat="1" ht="15.75" thickBot="1">
      <c r="A18" s="192"/>
      <c r="B18" s="506"/>
      <c r="E18" s="860"/>
      <c r="F18" s="860"/>
      <c r="G18" s="153"/>
      <c r="H18" s="153"/>
      <c r="I18" s="153"/>
      <c r="J18" s="153"/>
      <c r="K18" s="153"/>
      <c r="L18" s="153"/>
    </row>
    <row r="19" spans="1:12" ht="18.75" thickBot="1">
      <c r="A19" s="121" t="s">
        <v>181</v>
      </c>
      <c r="B19" s="499"/>
      <c r="E19" s="858"/>
      <c r="F19" s="858"/>
      <c r="G19" s="10"/>
      <c r="H19" s="10"/>
      <c r="I19" s="10"/>
      <c r="J19" s="10"/>
      <c r="K19" s="10"/>
      <c r="L19" s="10"/>
    </row>
    <row r="20" spans="1:12">
      <c r="A20" s="44" t="s">
        <v>830</v>
      </c>
      <c r="B20" s="500"/>
      <c r="E20" s="858"/>
      <c r="F20" s="858"/>
      <c r="G20" s="10"/>
      <c r="H20" s="10"/>
      <c r="I20" s="10"/>
      <c r="J20" s="10"/>
      <c r="K20" s="10"/>
      <c r="L20" s="10"/>
    </row>
    <row r="21" spans="1:12">
      <c r="A21" s="44"/>
      <c r="B21" s="500"/>
      <c r="E21" s="858"/>
      <c r="F21" s="858"/>
      <c r="G21" s="10"/>
      <c r="H21" s="10"/>
      <c r="I21" s="10"/>
      <c r="J21" s="10"/>
      <c r="K21" s="10"/>
      <c r="L21" s="10"/>
    </row>
    <row r="22" spans="1:12" ht="18">
      <c r="A22" s="137" t="s">
        <v>174</v>
      </c>
      <c r="B22" s="507" t="s">
        <v>370</v>
      </c>
      <c r="E22" s="858"/>
      <c r="F22" s="858"/>
      <c r="G22" s="10"/>
      <c r="H22" s="10"/>
      <c r="I22" s="10"/>
      <c r="J22" s="10"/>
      <c r="K22" s="10"/>
      <c r="L22" s="10"/>
    </row>
    <row r="23" spans="1:12" s="72" customFormat="1">
      <c r="A23" s="118" t="s">
        <v>176</v>
      </c>
      <c r="B23" s="503">
        <v>9.6782213875142631</v>
      </c>
      <c r="E23" s="861"/>
      <c r="F23" s="861"/>
      <c r="G23" s="870"/>
      <c r="H23" s="870"/>
    </row>
    <row r="24" spans="1:12">
      <c r="A24" s="117" t="s">
        <v>177</v>
      </c>
      <c r="B24" s="503">
        <v>4.2231090152811745</v>
      </c>
      <c r="E24" s="858"/>
      <c r="F24" s="858"/>
      <c r="G24" s="867"/>
      <c r="H24" s="867"/>
      <c r="I24" s="10"/>
      <c r="J24" s="10"/>
      <c r="K24" s="10"/>
      <c r="L24" s="10"/>
    </row>
    <row r="25" spans="1:12">
      <c r="A25" s="117" t="s">
        <v>6</v>
      </c>
      <c r="B25" s="503">
        <v>32.452240798818757</v>
      </c>
      <c r="E25" s="858"/>
      <c r="F25" s="858"/>
      <c r="G25" s="867"/>
      <c r="H25" s="867"/>
      <c r="I25" s="10"/>
      <c r="J25" s="10"/>
      <c r="K25" s="10"/>
      <c r="L25" s="10"/>
    </row>
    <row r="26" spans="1:12">
      <c r="A26" s="117" t="s">
        <v>7</v>
      </c>
      <c r="B26" s="503">
        <v>1.9459962468613441</v>
      </c>
      <c r="E26" s="858"/>
      <c r="F26" s="858"/>
      <c r="G26" s="867"/>
      <c r="H26" s="867"/>
      <c r="I26" s="10"/>
      <c r="J26" s="10"/>
      <c r="K26" s="10"/>
      <c r="L26" s="10"/>
    </row>
    <row r="27" spans="1:12">
      <c r="A27" s="117" t="s">
        <v>8</v>
      </c>
      <c r="B27" s="503">
        <v>1.1993683996109175</v>
      </c>
      <c r="E27" s="858"/>
      <c r="F27" s="858"/>
      <c r="G27" s="867"/>
      <c r="H27" s="867"/>
      <c r="I27" s="10"/>
      <c r="J27" s="10"/>
      <c r="K27" s="10"/>
      <c r="L27" s="10"/>
    </row>
    <row r="28" spans="1:12">
      <c r="A28" s="117" t="s">
        <v>9</v>
      </c>
      <c r="B28" s="503">
        <v>5.0655067831320864</v>
      </c>
      <c r="E28" s="858"/>
      <c r="F28" s="858"/>
      <c r="G28" s="867"/>
      <c r="H28" s="867"/>
      <c r="I28" s="10"/>
      <c r="J28" s="10"/>
      <c r="K28" s="10"/>
      <c r="L28" s="10"/>
    </row>
    <row r="29" spans="1:12">
      <c r="A29" s="117" t="s">
        <v>10</v>
      </c>
      <c r="B29" s="503">
        <v>3.3232292777158938</v>
      </c>
      <c r="E29" s="858"/>
      <c r="F29" s="858"/>
      <c r="G29" s="867"/>
      <c r="H29" s="867"/>
      <c r="I29" s="10"/>
      <c r="J29" s="10"/>
      <c r="K29" s="10"/>
      <c r="L29" s="10"/>
    </row>
    <row r="30" spans="1:12">
      <c r="A30" s="118" t="s">
        <v>178</v>
      </c>
      <c r="B30" s="503">
        <v>4.4523525368341517</v>
      </c>
      <c r="E30" s="858"/>
      <c r="F30" s="858"/>
      <c r="G30" s="867"/>
      <c r="H30" s="867"/>
      <c r="I30" s="10"/>
      <c r="J30" s="10"/>
      <c r="K30" s="10"/>
      <c r="L30" s="10"/>
    </row>
    <row r="31" spans="1:12">
      <c r="A31" s="117" t="s">
        <v>11</v>
      </c>
      <c r="B31" s="503">
        <v>1.6075002802320006</v>
      </c>
      <c r="E31" s="858"/>
      <c r="F31" s="858"/>
      <c r="G31" s="867"/>
      <c r="H31" s="867"/>
      <c r="I31" s="10"/>
      <c r="J31" s="10"/>
      <c r="K31" s="10"/>
      <c r="L31" s="10"/>
    </row>
    <row r="32" spans="1:12">
      <c r="A32" s="117" t="s">
        <v>12</v>
      </c>
      <c r="B32" s="503">
        <v>4.8225008406960006</v>
      </c>
      <c r="E32" s="858"/>
      <c r="F32" s="858"/>
      <c r="G32" s="867"/>
      <c r="H32" s="867"/>
      <c r="I32" s="10"/>
      <c r="J32" s="10"/>
      <c r="K32" s="10"/>
      <c r="L32" s="10"/>
    </row>
    <row r="33" spans="1:14">
      <c r="A33" s="117" t="s">
        <v>13</v>
      </c>
      <c r="B33" s="503">
        <v>6.3685027042560023</v>
      </c>
      <c r="E33" s="858"/>
      <c r="F33" s="858"/>
      <c r="G33" s="867"/>
      <c r="H33" s="867"/>
      <c r="I33" s="10"/>
      <c r="J33" s="10"/>
      <c r="K33" s="10"/>
      <c r="L33" s="10"/>
    </row>
    <row r="34" spans="1:14">
      <c r="A34" s="117" t="s">
        <v>14</v>
      </c>
      <c r="B34" s="503">
        <v>4.6362973013280016</v>
      </c>
      <c r="E34" s="858"/>
      <c r="F34" s="858"/>
      <c r="G34" s="867"/>
      <c r="H34" s="867"/>
      <c r="I34" s="10"/>
      <c r="J34" s="10"/>
      <c r="K34" s="10"/>
      <c r="L34" s="10"/>
    </row>
    <row r="35" spans="1:14">
      <c r="A35" s="117" t="s">
        <v>15</v>
      </c>
      <c r="B35" s="503">
        <v>12.338973989496004</v>
      </c>
      <c r="E35" s="858"/>
      <c r="F35" s="858"/>
      <c r="G35" s="867"/>
      <c r="H35" s="867"/>
      <c r="I35" s="10"/>
      <c r="J35" s="10"/>
      <c r="K35" s="10"/>
      <c r="L35" s="10"/>
    </row>
    <row r="36" spans="1:14">
      <c r="A36" s="118" t="s">
        <v>16</v>
      </c>
      <c r="B36" s="503">
        <v>0.19</v>
      </c>
      <c r="E36" s="858"/>
      <c r="F36" s="858"/>
      <c r="G36" s="867"/>
      <c r="H36" s="867"/>
      <c r="I36" s="10"/>
      <c r="J36" s="10"/>
      <c r="K36" s="10"/>
      <c r="L36" s="10"/>
    </row>
    <row r="37" spans="1:14">
      <c r="A37" s="118" t="s">
        <v>17</v>
      </c>
      <c r="B37" s="503">
        <v>0.13</v>
      </c>
      <c r="E37" s="635"/>
      <c r="F37" s="635"/>
      <c r="G37" s="868"/>
      <c r="H37" s="868"/>
    </row>
    <row r="38" spans="1:14">
      <c r="A38" s="118" t="s">
        <v>179</v>
      </c>
      <c r="B38" s="503">
        <v>1.56</v>
      </c>
      <c r="E38" s="635"/>
      <c r="F38" s="635"/>
      <c r="G38" s="868"/>
      <c r="H38" s="868"/>
    </row>
    <row r="39" spans="1:14">
      <c r="A39" s="118" t="s">
        <v>180</v>
      </c>
      <c r="B39" s="503">
        <v>0.76</v>
      </c>
      <c r="E39" s="635"/>
      <c r="F39" s="635"/>
      <c r="G39" s="868"/>
      <c r="H39" s="868"/>
    </row>
    <row r="40" spans="1:14">
      <c r="A40" s="118" t="s">
        <v>18</v>
      </c>
      <c r="B40" s="504">
        <v>2.3420549746359747E-2</v>
      </c>
      <c r="E40" s="635"/>
      <c r="F40" s="635"/>
      <c r="G40" s="868"/>
      <c r="H40" s="868"/>
    </row>
    <row r="41" spans="1:14" ht="15.75" thickBot="1">
      <c r="A41" s="119"/>
      <c r="B41" s="508"/>
      <c r="E41" s="635"/>
      <c r="F41" s="635"/>
    </row>
    <row r="42" spans="1:14" s="43" customFormat="1" ht="15.75" thickBot="1">
      <c r="A42" s="193"/>
      <c r="B42" s="506"/>
      <c r="E42" s="862"/>
      <c r="F42" s="862"/>
      <c r="G42" s="194"/>
      <c r="H42" s="194"/>
      <c r="I42" s="194"/>
      <c r="J42" s="194"/>
      <c r="K42" s="194"/>
      <c r="L42" s="194"/>
      <c r="M42" s="194"/>
      <c r="N42" s="194"/>
    </row>
    <row r="43" spans="1:14" ht="15.75" thickBot="1">
      <c r="A43" s="121" t="s">
        <v>182</v>
      </c>
      <c r="B43" s="509"/>
      <c r="E43" s="635"/>
      <c r="F43" s="635"/>
    </row>
    <row r="44" spans="1:14">
      <c r="A44" s="44" t="s">
        <v>760</v>
      </c>
      <c r="B44" s="500"/>
      <c r="E44" s="635"/>
      <c r="F44" s="635"/>
    </row>
    <row r="45" spans="1:14">
      <c r="A45" s="44"/>
      <c r="B45" s="500"/>
      <c r="E45" s="635"/>
      <c r="F45" s="635"/>
    </row>
    <row r="46" spans="1:14" ht="18">
      <c r="A46" s="136" t="s">
        <v>183</v>
      </c>
      <c r="B46" s="501" t="s">
        <v>550</v>
      </c>
      <c r="E46" s="635"/>
      <c r="F46" s="635"/>
    </row>
    <row r="47" spans="1:14">
      <c r="A47" s="116" t="s">
        <v>184</v>
      </c>
      <c r="B47" s="999">
        <v>0.88861662939023001</v>
      </c>
      <c r="E47" s="635"/>
      <c r="F47" s="635"/>
    </row>
    <row r="48" spans="1:14">
      <c r="A48" s="118" t="s">
        <v>185</v>
      </c>
      <c r="B48" s="1000">
        <v>0.94614482368636998</v>
      </c>
      <c r="E48" s="635"/>
      <c r="F48" s="635"/>
    </row>
    <row r="49" spans="1:12">
      <c r="A49" s="118" t="s">
        <v>178</v>
      </c>
      <c r="B49" s="1000">
        <v>3.107112902577E-2</v>
      </c>
      <c r="E49" s="635"/>
      <c r="F49" s="635"/>
    </row>
    <row r="50" spans="1:12">
      <c r="A50" s="118" t="s">
        <v>18</v>
      </c>
      <c r="B50" s="1001">
        <v>9.5679604357000003E-4</v>
      </c>
      <c r="E50" s="858"/>
      <c r="F50" s="858"/>
      <c r="G50" s="10"/>
      <c r="H50" s="10"/>
      <c r="I50" s="10"/>
      <c r="J50" s="10"/>
      <c r="K50" s="10"/>
      <c r="L50" s="10"/>
    </row>
    <row r="51" spans="1:12">
      <c r="A51" s="118" t="s">
        <v>16</v>
      </c>
      <c r="B51" s="1002">
        <v>6.4874437414799997E-3</v>
      </c>
      <c r="E51" s="858"/>
      <c r="F51" s="858"/>
      <c r="G51" s="10"/>
      <c r="H51" s="10"/>
      <c r="I51" s="10"/>
      <c r="J51" s="10"/>
      <c r="K51" s="10"/>
      <c r="L51" s="10"/>
    </row>
    <row r="52" spans="1:12" ht="15.75" thickBot="1">
      <c r="A52" s="119" t="s">
        <v>120</v>
      </c>
      <c r="B52" s="1003">
        <v>9.7935082605305673E-2</v>
      </c>
      <c r="E52" s="635"/>
      <c r="F52" s="635"/>
    </row>
    <row r="53" spans="1:12">
      <c r="B53"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4" customWidth="1"/>
  </cols>
  <sheetData>
    <row r="1" spans="1:3" s="324" customFormat="1" ht="15.75" thickBot="1">
      <c r="A1" s="358" t="s">
        <v>578</v>
      </c>
      <c r="B1" s="512"/>
      <c r="C1" s="513"/>
    </row>
    <row r="2" spans="1:3" s="324" customFormat="1">
      <c r="A2" s="362"/>
      <c r="B2" s="481"/>
      <c r="C2" s="515"/>
    </row>
    <row r="3" spans="1:3" s="324" customFormat="1">
      <c r="A3" s="360"/>
      <c r="B3" s="516">
        <v>2017</v>
      </c>
      <c r="C3" s="363" t="s">
        <v>175</v>
      </c>
    </row>
    <row r="4" spans="1:3">
      <c r="A4" s="120" t="s">
        <v>289</v>
      </c>
      <c r="B4" s="517">
        <v>4560.3379253907206</v>
      </c>
      <c r="C4" s="138" t="s">
        <v>762</v>
      </c>
    </row>
    <row r="5" spans="1:3" ht="15.75" thickBot="1">
      <c r="A5" s="877" t="s">
        <v>577</v>
      </c>
      <c r="B5" s="885">
        <v>675419.64000000013</v>
      </c>
      <c r="C5" s="886" t="s">
        <v>763</v>
      </c>
    </row>
    <row r="11" spans="1:3">
      <c r="B11" s="750"/>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419</v>
      </c>
      <c r="B1" s="359"/>
    </row>
    <row r="2" spans="1:2" s="324" customFormat="1">
      <c r="A2" s="350"/>
      <c r="B2" s="357"/>
    </row>
    <row r="3" spans="1:2" s="324" customFormat="1" ht="18">
      <c r="A3" s="360"/>
      <c r="B3" s="361" t="s">
        <v>422</v>
      </c>
    </row>
    <row r="4" spans="1:2" ht="18">
      <c r="A4" s="120" t="s">
        <v>420</v>
      </c>
      <c r="B4" s="518">
        <v>310</v>
      </c>
    </row>
    <row r="5" spans="1:2" ht="18.75" thickBot="1">
      <c r="A5" s="115" t="s">
        <v>421</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409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410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479</v>
      </c>
      <c r="B3" s="49">
        <f ca="1">IF(ISERROR('SEAP template'!C27),0,'SEAP template'!C27)</f>
        <v>217844.26140998944</v>
      </c>
      <c r="C3" s="43" t="s">
        <v>163</v>
      </c>
      <c r="D3" s="43"/>
      <c r="E3" s="153"/>
      <c r="F3" s="43"/>
      <c r="G3" s="43"/>
      <c r="H3" s="43"/>
      <c r="I3" s="43"/>
      <c r="J3" s="43"/>
      <c r="K3" s="96"/>
    </row>
    <row r="4" spans="1:11">
      <c r="A4" s="350" t="s">
        <v>164</v>
      </c>
      <c r="B4" s="49">
        <f>IF(ISERROR('SEAP template'!B78+'SEAP template'!C78),0,'SEAP template'!B78+'SEAP template'!C78)</f>
        <v>58623.137279242474</v>
      </c>
      <c r="C4" s="43" t="s">
        <v>163</v>
      </c>
      <c r="D4" s="43"/>
      <c r="E4" s="43"/>
      <c r="F4" s="43"/>
      <c r="G4" s="43"/>
      <c r="H4" s="43"/>
      <c r="I4" s="43"/>
      <c r="J4" s="43"/>
      <c r="K4" s="96"/>
    </row>
    <row r="5" spans="1:11">
      <c r="A5" s="350" t="s">
        <v>511</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83">
        <v>0.221</v>
      </c>
      <c r="F6" s="43" t="s">
        <v>656</v>
      </c>
      <c r="G6" s="43" t="s">
        <v>661</v>
      </c>
      <c r="H6" s="43"/>
      <c r="I6" s="43"/>
      <c r="J6" s="43"/>
      <c r="K6" s="96"/>
    </row>
    <row r="7" spans="1:11">
      <c r="A7" s="350"/>
      <c r="B7" s="444"/>
      <c r="C7" s="43"/>
      <c r="D7" s="43"/>
      <c r="E7" s="43"/>
      <c r="F7" s="48"/>
      <c r="G7" s="43"/>
      <c r="H7" s="43"/>
      <c r="I7" s="43"/>
      <c r="J7" s="43"/>
      <c r="K7" s="96"/>
    </row>
    <row r="8" spans="1:11">
      <c r="A8" s="350"/>
      <c r="B8" s="444"/>
      <c r="C8" s="43"/>
      <c r="D8" s="43"/>
      <c r="E8" s="43"/>
      <c r="F8" s="48"/>
      <c r="G8" s="43"/>
      <c r="H8" s="882"/>
      <c r="I8" s="154"/>
      <c r="J8" s="43"/>
      <c r="K8" s="96"/>
    </row>
    <row r="9" spans="1:11">
      <c r="A9" s="350" t="s">
        <v>168</v>
      </c>
      <c r="B9" s="49">
        <f>IF(ISERROR('SEAP template'!Q78),0,'SEAP template'!Q78)</f>
        <v>5138.5235294117647</v>
      </c>
      <c r="C9" s="43" t="s">
        <v>167</v>
      </c>
      <c r="D9" s="43"/>
      <c r="E9" s="43"/>
      <c r="F9" s="43"/>
      <c r="G9" s="43"/>
      <c r="H9" s="43"/>
      <c r="I9" s="43"/>
      <c r="J9" s="43"/>
      <c r="K9" s="96"/>
    </row>
    <row r="10" spans="1:11">
      <c r="A10" s="350" t="s">
        <v>385</v>
      </c>
      <c r="B10" s="48">
        <v>0</v>
      </c>
      <c r="C10" s="43" t="s">
        <v>167</v>
      </c>
      <c r="D10" s="153"/>
      <c r="E10" s="43"/>
      <c r="F10" s="43"/>
      <c r="G10" s="43"/>
      <c r="H10" s="43"/>
      <c r="I10" s="43"/>
      <c r="J10" s="43"/>
      <c r="K10" s="96"/>
    </row>
    <row r="11" spans="1:11">
      <c r="A11" s="350"/>
      <c r="B11" s="444"/>
      <c r="C11" s="43"/>
      <c r="D11" s="43"/>
      <c r="E11" s="43"/>
      <c r="F11" s="43"/>
      <c r="G11" s="43"/>
      <c r="H11" s="43"/>
      <c r="I11" s="43"/>
      <c r="J11" s="43"/>
      <c r="K11" s="96"/>
    </row>
    <row r="12" spans="1:11">
      <c r="A12" s="351" t="s">
        <v>169</v>
      </c>
      <c r="B12" s="520">
        <f ca="1">IF((B4+B5)&gt;B3,(B9+B10)/(B4+B5),((B3-B4-B5)*B6+B9+B10)/B3)</f>
        <v>0.18511569550327223</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7340.7478991596636</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480</v>
      </c>
      <c r="B20" s="49">
        <f ca="1">IF(ISERROR('SEAP template'!D27),0,('SEAP template'!D27))</f>
        <v>30889.28571428571</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0.23764705882352943</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1"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41" t="s">
        <v>624</v>
      </c>
      <c r="B1" s="841" t="s">
        <v>296</v>
      </c>
      <c r="C1" s="841" t="s">
        <v>300</v>
      </c>
      <c r="D1" s="841" t="s">
        <v>301</v>
      </c>
      <c r="E1" s="841" t="s">
        <v>302</v>
      </c>
      <c r="F1" s="841" t="s">
        <v>303</v>
      </c>
      <c r="H1" s="1016" t="s">
        <v>877</v>
      </c>
    </row>
    <row r="2" spans="1:8">
      <c r="A2" s="308" t="str">
        <f>CONCATENATE(TableECFTransport[[#This Row],[Voertuigtype]],"_",TableECFTransport[[#This Row],[Wegtype]],"_",TableECFTransport[[#This Row],[Brandstoftechnologie]],"_",TableECFTransport[[#This Row],[Brandstof]])</f>
        <v>Tram_gemiddeld_Electric_Electric</v>
      </c>
      <c r="B2" s="1014" t="s">
        <v>317</v>
      </c>
      <c r="C2" s="1014" t="s">
        <v>328</v>
      </c>
      <c r="D2" s="1014" t="s">
        <v>298</v>
      </c>
      <c r="E2" s="1014" t="s">
        <v>298</v>
      </c>
      <c r="F2" s="1015">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14" t="s">
        <v>607</v>
      </c>
      <c r="C3" s="1014" t="s">
        <v>64</v>
      </c>
      <c r="D3" s="1014" t="s">
        <v>835</v>
      </c>
      <c r="E3" s="1014" t="s">
        <v>836</v>
      </c>
      <c r="F3" s="1015">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14" t="s">
        <v>607</v>
      </c>
      <c r="C4" s="1014" t="s">
        <v>63</v>
      </c>
      <c r="D4" s="1014" t="s">
        <v>835</v>
      </c>
      <c r="E4" s="1014" t="s">
        <v>836</v>
      </c>
      <c r="F4" s="1015">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14" t="s">
        <v>607</v>
      </c>
      <c r="C5" s="1014" t="s">
        <v>65</v>
      </c>
      <c r="D5" s="1014" t="s">
        <v>835</v>
      </c>
      <c r="E5" s="1014" t="s">
        <v>836</v>
      </c>
      <c r="F5" s="1015">
        <v>1.5973299999999999E-9</v>
      </c>
    </row>
    <row r="6" spans="1:8" s="841" customFormat="1">
      <c r="A6" s="308" t="str">
        <f>CONCATENATE(TableECFTransport[[#This Row],[Voertuigtype]],"_",TableECFTransport[[#This Row],[Wegtype]],"_",TableECFTransport[[#This Row],[Brandstoftechnologie]],"_",TableECFTransport[[#This Row],[Brandstof]])</f>
        <v>Lichte voertuigen_Niet-genummerde wegen_Electric_Electric</v>
      </c>
      <c r="B6" s="1014" t="s">
        <v>607</v>
      </c>
      <c r="C6" s="1014" t="s">
        <v>64</v>
      </c>
      <c r="D6" s="1014" t="s">
        <v>298</v>
      </c>
      <c r="E6" s="1014" t="s">
        <v>298</v>
      </c>
      <c r="F6" s="1015">
        <v>6.8184044247175287E-10</v>
      </c>
    </row>
    <row r="7" spans="1:8">
      <c r="A7" s="308" t="str">
        <f>CONCATENATE(TableECFTransport[[#This Row],[Voertuigtype]],"_",TableECFTransport[[#This Row],[Wegtype]],"_",TableECFTransport[[#This Row],[Brandstoftechnologie]],"_",TableECFTransport[[#This Row],[Brandstof]])</f>
        <v>Lichte voertuigen_Genummerde wegen_Electric_Electric</v>
      </c>
      <c r="B7" s="1014" t="s">
        <v>607</v>
      </c>
      <c r="C7" s="1014" t="s">
        <v>63</v>
      </c>
      <c r="D7" s="1014" t="s">
        <v>298</v>
      </c>
      <c r="E7" s="1014" t="s">
        <v>298</v>
      </c>
      <c r="F7" s="1015">
        <v>6.8184044247175287E-10</v>
      </c>
    </row>
    <row r="8" spans="1:8">
      <c r="A8" s="308" t="str">
        <f>CONCATENATE(TableECFTransport[[#This Row],[Voertuigtype]],"_",TableECFTransport[[#This Row],[Wegtype]],"_",TableECFTransport[[#This Row],[Brandstoftechnologie]],"_",TableECFTransport[[#This Row],[Brandstof]])</f>
        <v>Lichte voertuigen_Snelwegen_Electric_Electric</v>
      </c>
      <c r="B8" s="1014" t="s">
        <v>607</v>
      </c>
      <c r="C8" s="1014" t="s">
        <v>65</v>
      </c>
      <c r="D8" s="1014" t="s">
        <v>298</v>
      </c>
      <c r="E8" s="1014" t="s">
        <v>298</v>
      </c>
      <c r="F8" s="1015">
        <v>6.8184044247175287E-10</v>
      </c>
    </row>
    <row r="9" spans="1:8">
      <c r="A9" s="308" t="str">
        <f>CONCATENATE(TableECFTransport[[#This Row],[Voertuigtype]],"_",TableECFTransport[[#This Row],[Wegtype]],"_",TableECFTransport[[#This Row],[Brandstoftechnologie]],"_",TableECFTransport[[#This Row],[Brandstof]])</f>
        <v>Zware voertuigen_Niet-genummerde wegen_Electric_Electric</v>
      </c>
      <c r="B9" s="1014" t="s">
        <v>608</v>
      </c>
      <c r="C9" s="1014" t="s">
        <v>64</v>
      </c>
      <c r="D9" s="1014" t="s">
        <v>298</v>
      </c>
      <c r="E9" s="1014" t="s">
        <v>298</v>
      </c>
      <c r="F9" s="1015">
        <v>4.5007851512759495E-9</v>
      </c>
    </row>
    <row r="10" spans="1:8">
      <c r="A10" s="308" t="str">
        <f>CONCATENATE(TableECFTransport[[#This Row],[Voertuigtype]],"_",TableECFTransport[[#This Row],[Wegtype]],"_",TableECFTransport[[#This Row],[Brandstoftechnologie]],"_",TableECFTransport[[#This Row],[Brandstof]])</f>
        <v>Zware voertuigen_Genummerde wegen_Electric_Electric</v>
      </c>
      <c r="B10" s="1014" t="s">
        <v>608</v>
      </c>
      <c r="C10" s="1014" t="s">
        <v>63</v>
      </c>
      <c r="D10" s="1014" t="s">
        <v>298</v>
      </c>
      <c r="E10" s="1014" t="s">
        <v>298</v>
      </c>
      <c r="F10" s="1015">
        <v>4.5007851512759495E-9</v>
      </c>
    </row>
    <row r="11" spans="1:8">
      <c r="A11" s="308" t="str">
        <f>CONCATENATE(TableECFTransport[[#This Row],[Voertuigtype]],"_",TableECFTransport[[#This Row],[Wegtype]],"_",TableECFTransport[[#This Row],[Brandstoftechnologie]],"_",TableECFTransport[[#This Row],[Brandstof]])</f>
        <v>Zware voertuigen_Snelwegen_Electric_Electric</v>
      </c>
      <c r="B11" s="1014" t="s">
        <v>608</v>
      </c>
      <c r="C11" s="1014" t="s">
        <v>65</v>
      </c>
      <c r="D11" s="1014" t="s">
        <v>298</v>
      </c>
      <c r="E11" s="1014" t="s">
        <v>298</v>
      </c>
      <c r="F11" s="1015">
        <v>4.5007851512759495E-9</v>
      </c>
    </row>
    <row r="12" spans="1:8">
      <c r="A12" s="308" t="str">
        <f>CONCATENATE(TableECFTransport[[#This Row],[Voertuigtype]],"_",TableECFTransport[[#This Row],[Wegtype]],"_",TableECFTransport[[#This Row],[Brandstoftechnologie]],"_",TableECFTransport[[#This Row],[Brandstof]])</f>
        <v>BUS_Niet-genummerde wegen_Electric_Electric</v>
      </c>
      <c r="B12" s="1014" t="s">
        <v>623</v>
      </c>
      <c r="C12" s="1014" t="s">
        <v>64</v>
      </c>
      <c r="D12" s="1014" t="s">
        <v>298</v>
      </c>
      <c r="E12" s="1014" t="s">
        <v>298</v>
      </c>
      <c r="F12" s="1015">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14" t="s">
        <v>623</v>
      </c>
      <c r="C13" s="1014" t="s">
        <v>63</v>
      </c>
      <c r="D13" s="1014" t="s">
        <v>298</v>
      </c>
      <c r="E13" s="1014" t="s">
        <v>298</v>
      </c>
      <c r="F13" s="1015">
        <v>4.6800000000000004E-9</v>
      </c>
    </row>
    <row r="14" spans="1:8">
      <c r="A14" s="308" t="str">
        <f>CONCATENATE(TableECFTransport[[#This Row],[Voertuigtype]],"_",TableECFTransport[[#This Row],[Wegtype]],"_",TableECFTransport[[#This Row],[Brandstoftechnologie]],"_",TableECFTransport[[#This Row],[Brandstof]])</f>
        <v>BUS_Snelwegen_Electric_Electric</v>
      </c>
      <c r="B14" s="1014" t="s">
        <v>623</v>
      </c>
      <c r="C14" s="1014" t="s">
        <v>65</v>
      </c>
      <c r="D14" s="1014" t="s">
        <v>298</v>
      </c>
      <c r="E14" s="1014" t="s">
        <v>298</v>
      </c>
      <c r="F14" s="1015">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14" t="s">
        <v>607</v>
      </c>
      <c r="C15" s="1014" t="s">
        <v>64</v>
      </c>
      <c r="D15" s="1014" t="s">
        <v>297</v>
      </c>
      <c r="E15" s="1014" t="s">
        <v>297</v>
      </c>
      <c r="F15" s="1015">
        <v>4.2738788599725078E-9</v>
      </c>
    </row>
    <row r="16" spans="1:8">
      <c r="A16" s="308" t="str">
        <f>CONCATENATE(TableECFTransport[[#This Row],[Voertuigtype]],"_",TableECFTransport[[#This Row],[Wegtype]],"_",TableECFTransport[[#This Row],[Brandstoftechnologie]],"_",TableECFTransport[[#This Row],[Brandstof]])</f>
        <v>Lichte voertuigen_Genummerde wegen_CNG_CNG</v>
      </c>
      <c r="B16" s="1014" t="s">
        <v>607</v>
      </c>
      <c r="C16" s="1014" t="s">
        <v>63</v>
      </c>
      <c r="D16" s="1014" t="s">
        <v>297</v>
      </c>
      <c r="E16" s="1014" t="s">
        <v>297</v>
      </c>
      <c r="F16" s="1015">
        <v>2.5182012953845856E-9</v>
      </c>
    </row>
    <row r="17" spans="1:7">
      <c r="A17" s="308" t="str">
        <f>CONCATENATE(TableECFTransport[[#This Row],[Voertuigtype]],"_",TableECFTransport[[#This Row],[Wegtype]],"_",TableECFTransport[[#This Row],[Brandstoftechnologie]],"_",TableECFTransport[[#This Row],[Brandstof]])</f>
        <v>Lichte voertuigen_Snelwegen_CNG_CNG</v>
      </c>
      <c r="B17" s="1014" t="s">
        <v>607</v>
      </c>
      <c r="C17" s="1014" t="s">
        <v>65</v>
      </c>
      <c r="D17" s="1014" t="s">
        <v>297</v>
      </c>
      <c r="E17" s="1014" t="s">
        <v>297</v>
      </c>
      <c r="F17" s="1015">
        <v>2.5265815803129379E-9</v>
      </c>
    </row>
    <row r="18" spans="1:7">
      <c r="A18" s="308" t="str">
        <f>CONCATENATE(TableECFTransport[[#This Row],[Voertuigtype]],"_",TableECFTransport[[#This Row],[Wegtype]],"_",TableECFTransport[[#This Row],[Brandstoftechnologie]],"_",TableECFTransport[[#This Row],[Brandstof]])</f>
        <v>Lichte voertuigen_Niet-genummerde wegen_Diesel_Diesel</v>
      </c>
      <c r="B18" s="1014" t="s">
        <v>607</v>
      </c>
      <c r="C18" s="1014" t="s">
        <v>64</v>
      </c>
      <c r="D18" s="1014" t="s">
        <v>195</v>
      </c>
      <c r="E18" s="1014" t="s">
        <v>195</v>
      </c>
      <c r="F18" s="1015">
        <v>3.3033450130991915E-9</v>
      </c>
    </row>
    <row r="19" spans="1:7">
      <c r="A19" s="308" t="str">
        <f>CONCATENATE(TableECFTransport[[#This Row],[Voertuigtype]],"_",TableECFTransport[[#This Row],[Wegtype]],"_",TableECFTransport[[#This Row],[Brandstoftechnologie]],"_",TableECFTransport[[#This Row],[Brandstof]])</f>
        <v>Lichte voertuigen_Genummerde wegen_Diesel_Diesel</v>
      </c>
      <c r="B19" s="1014" t="s">
        <v>607</v>
      </c>
      <c r="C19" s="1014" t="s">
        <v>63</v>
      </c>
      <c r="D19" s="1014" t="s">
        <v>195</v>
      </c>
      <c r="E19" s="1014" t="s">
        <v>195</v>
      </c>
      <c r="F19" s="1015">
        <v>2.1963684370375962E-9</v>
      </c>
    </row>
    <row r="20" spans="1:7">
      <c r="A20" s="308" t="str">
        <f>CONCATENATE(TableECFTransport[[#This Row],[Voertuigtype]],"_",TableECFTransport[[#This Row],[Wegtype]],"_",TableECFTransport[[#This Row],[Brandstoftechnologie]],"_",TableECFTransport[[#This Row],[Brandstof]])</f>
        <v>Lichte voertuigen_Snelwegen_Diesel_Diesel</v>
      </c>
      <c r="B20" s="1014" t="s">
        <v>607</v>
      </c>
      <c r="C20" s="1014" t="s">
        <v>65</v>
      </c>
      <c r="D20" s="1014" t="s">
        <v>195</v>
      </c>
      <c r="E20" s="1014" t="s">
        <v>195</v>
      </c>
      <c r="F20" s="1015">
        <v>2.4424594783226899E-9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14" t="s">
        <v>607</v>
      </c>
      <c r="C21" s="1014" t="s">
        <v>64</v>
      </c>
      <c r="D21" s="1014" t="s">
        <v>837</v>
      </c>
      <c r="E21" s="1014" t="s">
        <v>195</v>
      </c>
      <c r="F21" s="1015">
        <v>1.9058262019848942E-9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14" t="s">
        <v>607</v>
      </c>
      <c r="C22" s="1014" t="s">
        <v>64</v>
      </c>
      <c r="D22" s="1014" t="s">
        <v>837</v>
      </c>
      <c r="E22" s="1014" t="s">
        <v>298</v>
      </c>
      <c r="F22" s="1015">
        <v>6.3527540066163125E-10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14" t="s">
        <v>607</v>
      </c>
      <c r="C23" s="1014" t="s">
        <v>63</v>
      </c>
      <c r="D23" s="1014" t="s">
        <v>837</v>
      </c>
      <c r="E23" s="1014" t="s">
        <v>195</v>
      </c>
      <c r="F23" s="1015">
        <v>1.1771103493795717E-9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14" t="s">
        <v>607</v>
      </c>
      <c r="C24" s="1014" t="s">
        <v>63</v>
      </c>
      <c r="D24" s="1014" t="s">
        <v>837</v>
      </c>
      <c r="E24" s="1014" t="s">
        <v>298</v>
      </c>
      <c r="F24" s="1015">
        <v>3.9237011645985715E-10</v>
      </c>
    </row>
    <row r="25" spans="1:7">
      <c r="A25" s="308" t="str">
        <f>CONCATENATE(TableECFTransport[[#This Row],[Voertuigtype]],"_",TableECFTransport[[#This Row],[Wegtype]],"_",TableECFTransport[[#This Row],[Brandstoftechnologie]],"_",TableECFTransport[[#This Row],[Brandstof]])</f>
        <v>Lichte voertuigen_Snelwegen_Diesel Hybrid PHEV_Diesel</v>
      </c>
      <c r="B25" s="1014" t="s">
        <v>607</v>
      </c>
      <c r="C25" s="1014" t="s">
        <v>65</v>
      </c>
      <c r="D25" s="1014" t="s">
        <v>837</v>
      </c>
      <c r="E25" s="1014" t="s">
        <v>195</v>
      </c>
      <c r="F25" s="1015">
        <v>1.8693251156379854E-9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14" t="s">
        <v>607</v>
      </c>
      <c r="C26" s="1014" t="s">
        <v>65</v>
      </c>
      <c r="D26" s="1014" t="s">
        <v>837</v>
      </c>
      <c r="E26" s="1014" t="s">
        <v>298</v>
      </c>
      <c r="F26" s="1015">
        <v>6.2310837187932841E-10</v>
      </c>
    </row>
    <row r="27" spans="1:7">
      <c r="A27" s="308" t="str">
        <f>CONCATENATE(TableECFTransport[[#This Row],[Voertuigtype]],"_",TableECFTransport[[#This Row],[Wegtype]],"_",TableECFTransport[[#This Row],[Brandstoftechnologie]],"_",TableECFTransport[[#This Row],[Brandstof]])</f>
        <v>Lichte voertuigen_Niet-genummerde wegen_LPG_LPG</v>
      </c>
      <c r="B27" s="1014" t="s">
        <v>607</v>
      </c>
      <c r="C27" s="1014" t="s">
        <v>64</v>
      </c>
      <c r="D27" s="1014" t="s">
        <v>112</v>
      </c>
      <c r="E27" s="1014" t="s">
        <v>112</v>
      </c>
      <c r="F27" s="1015">
        <v>3.6465740225392711E-9</v>
      </c>
      <c r="G27" s="863"/>
    </row>
    <row r="28" spans="1:7">
      <c r="A28" s="308" t="str">
        <f>CONCATENATE(TableECFTransport[[#This Row],[Voertuigtype]],"_",TableECFTransport[[#This Row],[Wegtype]],"_",TableECFTransport[[#This Row],[Brandstoftechnologie]],"_",TableECFTransport[[#This Row],[Brandstof]])</f>
        <v>Lichte voertuigen_Genummerde wegen_LPG_LPG</v>
      </c>
      <c r="B28" s="1014" t="s">
        <v>607</v>
      </c>
      <c r="C28" s="1014" t="s">
        <v>63</v>
      </c>
      <c r="D28" s="1014" t="s">
        <v>112</v>
      </c>
      <c r="E28" s="1014" t="s">
        <v>112</v>
      </c>
      <c r="F28" s="1015">
        <v>2.2495864306673105E-9</v>
      </c>
    </row>
    <row r="29" spans="1:7">
      <c r="A29" s="308" t="str">
        <f>CONCATENATE(TableECFTransport[[#This Row],[Voertuigtype]],"_",TableECFTransport[[#This Row],[Wegtype]],"_",TableECFTransport[[#This Row],[Brandstoftechnologie]],"_",TableECFTransport[[#This Row],[Brandstof]])</f>
        <v>Lichte voertuigen_Snelwegen_LPG_LPG</v>
      </c>
      <c r="B29" s="1014" t="s">
        <v>607</v>
      </c>
      <c r="C29" s="1014" t="s">
        <v>65</v>
      </c>
      <c r="D29" s="1014" t="s">
        <v>112</v>
      </c>
      <c r="E29" s="1014" t="s">
        <v>112</v>
      </c>
      <c r="F29" s="1015">
        <v>2.7787301602209336E-9</v>
      </c>
    </row>
    <row r="30" spans="1:7">
      <c r="A30" s="308" t="str">
        <f>CONCATENATE(TableECFTransport[[#This Row],[Voertuigtype]],"_",TableECFTransport[[#This Row],[Wegtype]],"_",TableECFTransport[[#This Row],[Brandstoftechnologie]],"_",TableECFTransport[[#This Row],[Brandstof]])</f>
        <v>Lichte voertuigen_Niet-genummerde wegen_Petrol_Petrol</v>
      </c>
      <c r="B30" s="1014" t="s">
        <v>607</v>
      </c>
      <c r="C30" s="1014" t="s">
        <v>64</v>
      </c>
      <c r="D30" s="1014" t="s">
        <v>299</v>
      </c>
      <c r="E30" s="1014" t="s">
        <v>299</v>
      </c>
      <c r="F30" s="1015">
        <v>3.6701195709065288E-9</v>
      </c>
    </row>
    <row r="31" spans="1:7">
      <c r="A31" s="308" t="str">
        <f>CONCATENATE(TableECFTransport[[#This Row],[Voertuigtype]],"_",TableECFTransport[[#This Row],[Wegtype]],"_",TableECFTransport[[#This Row],[Brandstoftechnologie]],"_",TableECFTransport[[#This Row],[Brandstof]])</f>
        <v>Lichte voertuigen_Genummerde wegen_Petrol_Petrol</v>
      </c>
      <c r="B31" s="1014" t="s">
        <v>607</v>
      </c>
      <c r="C31" s="1014" t="s">
        <v>63</v>
      </c>
      <c r="D31" s="1014" t="s">
        <v>299</v>
      </c>
      <c r="E31" s="1014" t="s">
        <v>299</v>
      </c>
      <c r="F31" s="1015">
        <v>2.205276377873588E-9</v>
      </c>
    </row>
    <row r="32" spans="1:7">
      <c r="A32" s="308" t="str">
        <f>CONCATENATE(TableECFTransport[[#This Row],[Voertuigtype]],"_",TableECFTransport[[#This Row],[Wegtype]],"_",TableECFTransport[[#This Row],[Brandstoftechnologie]],"_",TableECFTransport[[#This Row],[Brandstof]])</f>
        <v>Lichte voertuigen_Snelwegen_Petrol_Petrol</v>
      </c>
      <c r="B32" s="1014" t="s">
        <v>607</v>
      </c>
      <c r="C32" s="1014" t="s">
        <v>65</v>
      </c>
      <c r="D32" s="1014" t="s">
        <v>299</v>
      </c>
      <c r="E32" s="1014" t="s">
        <v>299</v>
      </c>
      <c r="F32" s="1015">
        <v>2.3086054339876244E-9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14" t="s">
        <v>607</v>
      </c>
      <c r="C33" s="1014" t="s">
        <v>64</v>
      </c>
      <c r="D33" s="1014" t="s">
        <v>838</v>
      </c>
      <c r="E33" s="1014" t="s">
        <v>299</v>
      </c>
      <c r="F33" s="1015">
        <v>2.7221198880268862E-9</v>
      </c>
    </row>
    <row r="34" spans="1:6">
      <c r="A34" s="1014" t="str">
        <f>CONCATENATE(TableECFTransport[[#This Row],[Voertuigtype]],"_",TableECFTransport[[#This Row],[Wegtype]],"_",TableECFTransport[[#This Row],[Brandstoftechnologie]],"_",TableECFTransport[[#This Row],[Brandstof]])</f>
        <v>Lichte voertuigen_Genummerde wegen_Petrol Hybrid CS_Petrol</v>
      </c>
      <c r="B34" s="1014" t="s">
        <v>607</v>
      </c>
      <c r="C34" s="1014" t="s">
        <v>63</v>
      </c>
      <c r="D34" s="1014" t="s">
        <v>838</v>
      </c>
      <c r="E34" s="1014" t="s">
        <v>299</v>
      </c>
      <c r="F34" s="1015">
        <v>1.4973888981763786E-9</v>
      </c>
    </row>
    <row r="35" spans="1:6">
      <c r="A35" s="1014" t="str">
        <f>CONCATENATE(TableECFTransport[[#This Row],[Voertuigtype]],"_",TableECFTransport[[#This Row],[Wegtype]],"_",TableECFTransport[[#This Row],[Brandstoftechnologie]],"_",TableECFTransport[[#This Row],[Brandstof]])</f>
        <v>Lichte voertuigen_Snelwegen_Petrol Hybrid CS_Petrol</v>
      </c>
      <c r="B35" s="1014" t="s">
        <v>607</v>
      </c>
      <c r="C35" s="1014" t="s">
        <v>65</v>
      </c>
      <c r="D35" s="1014" t="s">
        <v>838</v>
      </c>
      <c r="E35" s="1014" t="s">
        <v>299</v>
      </c>
      <c r="F35" s="1015">
        <v>1.8395199286843407E-9</v>
      </c>
    </row>
    <row r="36" spans="1:6">
      <c r="A36" s="1014" t="str">
        <f>CONCATENATE(TableECFTransport[[#This Row],[Voertuigtype]],"_",TableECFTransport[[#This Row],[Wegtype]],"_",TableECFTransport[[#This Row],[Brandstoftechnologie]],"_",TableECFTransport[[#This Row],[Brandstof]])</f>
        <v>Lichte voertuigen_Niet-genummerde wegen_Petrol Hybrid PHEV_Electric</v>
      </c>
      <c r="B36" s="1014" t="s">
        <v>607</v>
      </c>
      <c r="C36" s="1014" t="s">
        <v>64</v>
      </c>
      <c r="D36" s="1014" t="s">
        <v>839</v>
      </c>
      <c r="E36" s="1014" t="s">
        <v>298</v>
      </c>
      <c r="F36" s="1015">
        <v>6.6961151403760829E-10</v>
      </c>
    </row>
    <row r="37" spans="1:6">
      <c r="A37" s="1014" t="str">
        <f>CONCATENATE(TableECFTransport[[#This Row],[Voertuigtype]],"_",TableECFTransport[[#This Row],[Wegtype]],"_",TableECFTransport[[#This Row],[Brandstoftechnologie]],"_",TableECFTransport[[#This Row],[Brandstof]])</f>
        <v>Lichte voertuigen_Niet-genummerde wegen_Petrol Hybrid PHEV_Petrol</v>
      </c>
      <c r="B37" s="1014" t="s">
        <v>607</v>
      </c>
      <c r="C37" s="1014" t="s">
        <v>64</v>
      </c>
      <c r="D37" s="1014" t="s">
        <v>839</v>
      </c>
      <c r="E37" s="1014" t="s">
        <v>299</v>
      </c>
      <c r="F37" s="1015">
        <v>2.0088345421128244E-9</v>
      </c>
    </row>
    <row r="38" spans="1:6">
      <c r="A38" s="1014" t="str">
        <f>CONCATENATE(TableECFTransport[[#This Row],[Voertuigtype]],"_",TableECFTransport[[#This Row],[Wegtype]],"_",TableECFTransport[[#This Row],[Brandstoftechnologie]],"_",TableECFTransport[[#This Row],[Brandstof]])</f>
        <v>Lichte voertuigen_Genummerde wegen_Petrol Hybrid PHEV_Electric</v>
      </c>
      <c r="B38" s="1014" t="s">
        <v>607</v>
      </c>
      <c r="C38" s="1014" t="s">
        <v>63</v>
      </c>
      <c r="D38" s="1014" t="s">
        <v>839</v>
      </c>
      <c r="E38" s="1014" t="s">
        <v>298</v>
      </c>
      <c r="F38" s="1015">
        <v>3.7582599693721117E-10</v>
      </c>
    </row>
    <row r="39" spans="1:6">
      <c r="A39" s="1014" t="str">
        <f>CONCATENATE(TableECFTransport[[#This Row],[Voertuigtype]],"_",TableECFTransport[[#This Row],[Wegtype]],"_",TableECFTransport[[#This Row],[Brandstoftechnologie]],"_",TableECFTransport[[#This Row],[Brandstof]])</f>
        <v>Lichte voertuigen_Genummerde wegen_Petrol Hybrid PHEV_Petrol</v>
      </c>
      <c r="B39" s="1014" t="s">
        <v>607</v>
      </c>
      <c r="C39" s="1014" t="s">
        <v>63</v>
      </c>
      <c r="D39" s="1014" t="s">
        <v>839</v>
      </c>
      <c r="E39" s="1014" t="s">
        <v>299</v>
      </c>
      <c r="F39" s="1015">
        <v>1.1274779908116338E-9</v>
      </c>
    </row>
    <row r="40" spans="1:6">
      <c r="A40" s="1014" t="str">
        <f>CONCATENATE(TableECFTransport[[#This Row],[Voertuigtype]],"_",TableECFTransport[[#This Row],[Wegtype]],"_",TableECFTransport[[#This Row],[Brandstoftechnologie]],"_",TableECFTransport[[#This Row],[Brandstof]])</f>
        <v>Lichte voertuigen_Snelwegen_Petrol Hybrid PHEV_Electric</v>
      </c>
      <c r="B40" s="1014" t="s">
        <v>607</v>
      </c>
      <c r="C40" s="1014" t="s">
        <v>65</v>
      </c>
      <c r="D40" s="1014" t="s">
        <v>839</v>
      </c>
      <c r="E40" s="1014" t="s">
        <v>298</v>
      </c>
      <c r="F40" s="1015">
        <v>5.8271314071067468E-10</v>
      </c>
    </row>
    <row r="41" spans="1:6">
      <c r="A41" s="1014" t="str">
        <f>CONCATENATE(TableECFTransport[[#This Row],[Voertuigtype]],"_",TableECFTransport[[#This Row],[Wegtype]],"_",TableECFTransport[[#This Row],[Brandstoftechnologie]],"_",TableECFTransport[[#This Row],[Brandstof]])</f>
        <v>Lichte voertuigen_Snelwegen_Petrol Hybrid PHEV_Petrol</v>
      </c>
      <c r="B41" s="1014" t="s">
        <v>607</v>
      </c>
      <c r="C41" s="1014" t="s">
        <v>65</v>
      </c>
      <c r="D41" s="1014" t="s">
        <v>839</v>
      </c>
      <c r="E41" s="1014" t="s">
        <v>299</v>
      </c>
      <c r="F41" s="1015">
        <v>1.7481394221320241E-9</v>
      </c>
    </row>
    <row r="42" spans="1:6">
      <c r="A42" s="1014" t="str">
        <f>CONCATENATE(TableECFTransport[[#This Row],[Voertuigtype]],"_",TableECFTransport[[#This Row],[Wegtype]],"_",TableECFTransport[[#This Row],[Brandstoftechnologie]],"_",TableECFTransport[[#This Row],[Brandstof]])</f>
        <v>Zware voertuigen_Niet-genummerde wegen_Diesel_Diesel</v>
      </c>
      <c r="B42" s="1014" t="s">
        <v>608</v>
      </c>
      <c r="C42" s="1014" t="s">
        <v>64</v>
      </c>
      <c r="D42" s="1014" t="s">
        <v>195</v>
      </c>
      <c r="E42" s="1014" t="s">
        <v>195</v>
      </c>
      <c r="F42" s="1015">
        <v>1.2903006176401217E-8</v>
      </c>
    </row>
    <row r="43" spans="1:6">
      <c r="A43" s="1014" t="str">
        <f>CONCATENATE(TableECFTransport[[#This Row],[Voertuigtype]],"_",TableECFTransport[[#This Row],[Wegtype]],"_",TableECFTransport[[#This Row],[Brandstoftechnologie]],"_",TableECFTransport[[#This Row],[Brandstof]])</f>
        <v>Zware voertuigen_Genummerde wegen_Diesel_Diesel</v>
      </c>
      <c r="B43" s="1014" t="s">
        <v>608</v>
      </c>
      <c r="C43" s="1014" t="s">
        <v>63</v>
      </c>
      <c r="D43" s="1014" t="s">
        <v>195</v>
      </c>
      <c r="E43" s="1014" t="s">
        <v>195</v>
      </c>
      <c r="F43" s="1015">
        <v>1.0036740847155692E-8</v>
      </c>
    </row>
    <row r="44" spans="1:6">
      <c r="A44" s="1014" t="str">
        <f>CONCATENATE(TableECFTransport[[#This Row],[Voertuigtype]],"_",TableECFTransport[[#This Row],[Wegtype]],"_",TableECFTransport[[#This Row],[Brandstoftechnologie]],"_",TableECFTransport[[#This Row],[Brandstof]])</f>
        <v>Zware voertuigen_Snelwegen_Diesel_Diesel</v>
      </c>
      <c r="B44" s="1014" t="s">
        <v>608</v>
      </c>
      <c r="C44" s="1014" t="s">
        <v>65</v>
      </c>
      <c r="D44" s="1014" t="s">
        <v>195</v>
      </c>
      <c r="E44" s="1014" t="s">
        <v>195</v>
      </c>
      <c r="F44" s="1015">
        <v>9.5193767561113965E-9</v>
      </c>
    </row>
    <row r="45" spans="1:6">
      <c r="A45" s="1014" t="str">
        <f>CONCATENATE(TableECFTransport[[#This Row],[Voertuigtype]],"_",TableECFTransport[[#This Row],[Wegtype]],"_",TableECFTransport[[#This Row],[Brandstoftechnologie]],"_",TableECFTransport[[#This Row],[Brandstof]])</f>
        <v>Zware voertuigen_Niet-genummerde wegen_Petrol_Petrol</v>
      </c>
      <c r="B45" s="1014" t="s">
        <v>608</v>
      </c>
      <c r="C45" s="1014" t="s">
        <v>64</v>
      </c>
      <c r="D45" s="1014" t="s">
        <v>299</v>
      </c>
      <c r="E45" s="1014" t="s">
        <v>299</v>
      </c>
      <c r="F45" s="1015">
        <v>7.6653519389191332E-9</v>
      </c>
    </row>
    <row r="46" spans="1:6">
      <c r="A46" s="1014" t="str">
        <f>CONCATENATE(TableECFTransport[[#This Row],[Voertuigtype]],"_",TableECFTransport[[#This Row],[Wegtype]],"_",TableECFTransport[[#This Row],[Brandstoftechnologie]],"_",TableECFTransport[[#This Row],[Brandstof]])</f>
        <v>Zware voertuigen_Genummerde wegen_Petrol_Petrol</v>
      </c>
      <c r="B46" s="1014" t="s">
        <v>608</v>
      </c>
      <c r="C46" s="1014" t="s">
        <v>63</v>
      </c>
      <c r="D46" s="1014" t="s">
        <v>299</v>
      </c>
      <c r="E46" s="1014" t="s">
        <v>299</v>
      </c>
      <c r="F46" s="1015">
        <v>6.3506130742713395E-9</v>
      </c>
    </row>
    <row r="47" spans="1:6">
      <c r="A47" s="1014" t="str">
        <f>CONCATENATE(TableECFTransport[[#This Row],[Voertuigtype]],"_",TableECFTransport[[#This Row],[Wegtype]],"_",TableECFTransport[[#This Row],[Brandstoftechnologie]],"_",TableECFTransport[[#This Row],[Brandstof]])</f>
        <v>Zware voertuigen_Snelwegen_Petrol_Petrol</v>
      </c>
      <c r="B47" s="1014" t="s">
        <v>608</v>
      </c>
      <c r="C47" s="1014" t="s">
        <v>65</v>
      </c>
      <c r="D47" s="1014" t="s">
        <v>299</v>
      </c>
      <c r="E47" s="1014" t="s">
        <v>299</v>
      </c>
      <c r="F47" s="1015">
        <v>6.5365124469575604E-9</v>
      </c>
    </row>
    <row r="48" spans="1:6">
      <c r="A48" s="1014" t="str">
        <f>CONCATENATE(TableECFTransport[[#This Row],[Voertuigtype]],"_",TableECFTransport[[#This Row],[Wegtype]],"_",TableECFTransport[[#This Row],[Brandstoftechnologie]],"_",TableECFTransport[[#This Row],[Brandstof]])</f>
        <v>BUS_Niet-genummerde wegen_CNG_CNG</v>
      </c>
      <c r="B48" s="1014" t="s">
        <v>623</v>
      </c>
      <c r="C48" s="1014" t="s">
        <v>64</v>
      </c>
      <c r="D48" s="1014" t="s">
        <v>297</v>
      </c>
      <c r="E48" s="1014" t="s">
        <v>297</v>
      </c>
      <c r="F48" s="1015">
        <v>2.3303083752649972E-8</v>
      </c>
    </row>
    <row r="49" spans="1:6">
      <c r="A49" s="1014" t="str">
        <f>CONCATENATE(TableECFTransport[[#This Row],[Voertuigtype]],"_",TableECFTransport[[#This Row],[Wegtype]],"_",TableECFTransport[[#This Row],[Brandstoftechnologie]],"_",TableECFTransport[[#This Row],[Brandstof]])</f>
        <v>BUS_Genummerde wegen_CNG_CNG</v>
      </c>
      <c r="B49" s="1014" t="s">
        <v>623</v>
      </c>
      <c r="C49" s="1014" t="s">
        <v>63</v>
      </c>
      <c r="D49" s="1014" t="s">
        <v>297</v>
      </c>
      <c r="E49" s="1014" t="s">
        <v>297</v>
      </c>
      <c r="F49" s="1015">
        <v>1.2452720009185941E-8</v>
      </c>
    </row>
    <row r="50" spans="1:6">
      <c r="A50" s="1014" t="str">
        <f>CONCATENATE(TableECFTransport[[#This Row],[Voertuigtype]],"_",TableECFTransport[[#This Row],[Wegtype]],"_",TableECFTransport[[#This Row],[Brandstoftechnologie]],"_",TableECFTransport[[#This Row],[Brandstof]])</f>
        <v>BUS_Niet-genummerde wegen_Diesel_Diesel</v>
      </c>
      <c r="B50" s="1014" t="s">
        <v>623</v>
      </c>
      <c r="C50" s="1014" t="s">
        <v>64</v>
      </c>
      <c r="D50" s="1014" t="s">
        <v>195</v>
      </c>
      <c r="E50" s="1014" t="s">
        <v>195</v>
      </c>
      <c r="F50" s="1015">
        <v>1.6949904261543368E-8</v>
      </c>
    </row>
    <row r="51" spans="1:6">
      <c r="A51" s="1014" t="str">
        <f>CONCATENATE(TableECFTransport[[#This Row],[Voertuigtype]],"_",TableECFTransport[[#This Row],[Wegtype]],"_",TableECFTransport[[#This Row],[Brandstoftechnologie]],"_",TableECFTransport[[#This Row],[Brandstof]])</f>
        <v>BUS_Genummerde wegen_Diesel_Diesel</v>
      </c>
      <c r="B51" s="1014" t="s">
        <v>623</v>
      </c>
      <c r="C51" s="1014" t="s">
        <v>63</v>
      </c>
      <c r="D51" s="1014" t="s">
        <v>195</v>
      </c>
      <c r="E51" s="1014" t="s">
        <v>195</v>
      </c>
      <c r="F51" s="1015">
        <v>9.4765950597554838E-9</v>
      </c>
    </row>
    <row r="52" spans="1:6">
      <c r="A52" s="1014" t="str">
        <f>CONCATENATE(TableECFTransport[[#This Row],[Voertuigtype]],"_",TableECFTransport[[#This Row],[Wegtype]],"_",TableECFTransport[[#This Row],[Brandstoftechnologie]],"_",TableECFTransport[[#This Row],[Brandstof]])</f>
        <v>BUS_Niet-genummerde wegen_Diesel Hybrid PHEV_Diesel</v>
      </c>
      <c r="B52" s="1014" t="s">
        <v>623</v>
      </c>
      <c r="C52" s="1014" t="s">
        <v>64</v>
      </c>
      <c r="D52" s="1014" t="s">
        <v>837</v>
      </c>
      <c r="E52" s="1014" t="s">
        <v>195</v>
      </c>
      <c r="F52" s="1015">
        <v>1.2122949179999999E-8</v>
      </c>
    </row>
    <row r="53" spans="1:6">
      <c r="A53" s="1014" t="str">
        <f>CONCATENATE(TableECFTransport[[#This Row],[Voertuigtype]],"_",TableECFTransport[[#This Row],[Wegtype]],"_",TableECFTransport[[#This Row],[Brandstoftechnologie]],"_",TableECFTransport[[#This Row],[Brandstof]])</f>
        <v>BUS_Niet-genummerde wegen_Diesel Hybrid PHEV_Electric</v>
      </c>
      <c r="B53" s="1014" t="s">
        <v>623</v>
      </c>
      <c r="C53" s="1014" t="s">
        <v>64</v>
      </c>
      <c r="D53" s="1014" t="s">
        <v>837</v>
      </c>
      <c r="E53" s="1014" t="s">
        <v>298</v>
      </c>
      <c r="F53" s="1015">
        <v>4.040983059999999E-9</v>
      </c>
    </row>
    <row r="54" spans="1:6">
      <c r="A54" s="1014" t="str">
        <f>CONCATENATE(TableECFTransport[[#This Row],[Voertuigtype]],"_",TableECFTransport[[#This Row],[Wegtype]],"_",TableECFTransport[[#This Row],[Brandstoftechnologie]],"_",TableECFTransport[[#This Row],[Brandstof]])</f>
        <v>BUS_Genummerde wegen_Diesel Hybrid PHEV_Diesel</v>
      </c>
      <c r="B54" s="1014" t="s">
        <v>623</v>
      </c>
      <c r="C54" s="1014" t="s">
        <v>63</v>
      </c>
      <c r="D54" s="1014" t="s">
        <v>837</v>
      </c>
      <c r="E54" s="1014" t="s">
        <v>195</v>
      </c>
      <c r="F54" s="1015">
        <v>6.0281746424999994E-9</v>
      </c>
    </row>
    <row r="55" spans="1:6">
      <c r="A55" s="1014" t="str">
        <f>CONCATENATE(TableECFTransport[[#This Row],[Voertuigtype]],"_",TableECFTransport[[#This Row],[Wegtype]],"_",TableECFTransport[[#This Row],[Brandstoftechnologie]],"_",TableECFTransport[[#This Row],[Brandstof]])</f>
        <v>BUS_Genummerde wegen_Diesel Hybrid PHEV_Electric</v>
      </c>
      <c r="B55" s="1014" t="s">
        <v>623</v>
      </c>
      <c r="C55" s="1014" t="s">
        <v>63</v>
      </c>
      <c r="D55" s="1014" t="s">
        <v>837</v>
      </c>
      <c r="E55" s="1014" t="s">
        <v>298</v>
      </c>
      <c r="F55" s="1015">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AC16" sqref="AC16: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3">
        <v>2017</v>
      </c>
      <c r="B1" s="1154"/>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55"/>
      <c r="B2" s="1156"/>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55"/>
      <c r="B3" s="1156"/>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57"/>
      <c r="B4" s="115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376</v>
      </c>
      <c r="B5" s="871" t="s">
        <v>866</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8"/>
      <c r="B6" s="209"/>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10"/>
    </row>
    <row r="7" spans="1:29">
      <c r="A7" s="211" t="s">
        <v>148</v>
      </c>
      <c r="B7" s="212"/>
      <c r="C7" s="813">
        <v>0</v>
      </c>
      <c r="D7" s="813">
        <v>0.24648322987586196</v>
      </c>
      <c r="E7" s="813">
        <v>0</v>
      </c>
      <c r="F7" s="814">
        <v>0.24648322987586196</v>
      </c>
      <c r="G7" s="813">
        <v>0</v>
      </c>
      <c r="H7" s="813">
        <v>0</v>
      </c>
      <c r="I7" s="813">
        <v>2.5739999999999998</v>
      </c>
      <c r="J7" s="813">
        <v>0.83727833778500993</v>
      </c>
      <c r="K7" s="813">
        <v>0</v>
      </c>
      <c r="L7" s="813">
        <v>48.16847820844383</v>
      </c>
      <c r="M7" s="813">
        <v>0</v>
      </c>
      <c r="N7" s="813">
        <v>0</v>
      </c>
      <c r="O7" s="813">
        <v>0</v>
      </c>
      <c r="P7" s="813">
        <v>0</v>
      </c>
      <c r="Q7" s="813">
        <v>0</v>
      </c>
      <c r="R7" s="814">
        <v>51.579756546228836</v>
      </c>
      <c r="S7" s="813">
        <v>88.903751241693598</v>
      </c>
      <c r="T7" s="813">
        <v>0</v>
      </c>
      <c r="U7" s="813">
        <v>0</v>
      </c>
      <c r="V7" s="814">
        <v>88.903751241693598</v>
      </c>
      <c r="W7" s="814">
        <v>140.72999101779828</v>
      </c>
      <c r="X7" s="813">
        <v>0</v>
      </c>
      <c r="Y7" s="813">
        <v>13.628969316187172</v>
      </c>
      <c r="Z7" s="813">
        <v>38.260789372038218</v>
      </c>
      <c r="AA7" s="815">
        <v>2.9338610916662846</v>
      </c>
      <c r="AB7" s="815">
        <v>0</v>
      </c>
      <c r="AC7" s="814">
        <v>195.55361079768997</v>
      </c>
    </row>
    <row r="8" spans="1:29">
      <c r="A8" s="213" t="s">
        <v>149</v>
      </c>
      <c r="B8" s="214"/>
      <c r="C8" s="816">
        <v>0</v>
      </c>
      <c r="D8" s="816">
        <v>8.7900000000000009E-5</v>
      </c>
      <c r="E8" s="816">
        <v>0</v>
      </c>
      <c r="F8" s="817">
        <v>8.7900000000000009E-5</v>
      </c>
      <c r="G8" s="816">
        <v>0</v>
      </c>
      <c r="H8" s="816">
        <v>0</v>
      </c>
      <c r="I8" s="816">
        <v>0.12955742709618895</v>
      </c>
      <c r="J8" s="816">
        <v>5.3422789859905971E-3</v>
      </c>
      <c r="K8" s="816">
        <v>0</v>
      </c>
      <c r="L8" s="816">
        <v>10.280264743779316</v>
      </c>
      <c r="M8" s="816">
        <v>0</v>
      </c>
      <c r="N8" s="816">
        <v>0</v>
      </c>
      <c r="O8" s="816">
        <v>0</v>
      </c>
      <c r="P8" s="816">
        <v>0</v>
      </c>
      <c r="Q8" s="816">
        <v>0</v>
      </c>
      <c r="R8" s="817">
        <v>10.415164449861496</v>
      </c>
      <c r="S8" s="816">
        <v>49.292258683303501</v>
      </c>
      <c r="T8" s="816">
        <v>0</v>
      </c>
      <c r="U8" s="816">
        <v>0</v>
      </c>
      <c r="V8" s="817">
        <v>49.292258683303501</v>
      </c>
      <c r="W8" s="817">
        <v>59.707511033164991</v>
      </c>
      <c r="X8" s="816">
        <v>2.043901</v>
      </c>
      <c r="Y8" s="816">
        <v>3.2402021546778492</v>
      </c>
      <c r="Z8" s="816">
        <v>43.833161849462002</v>
      </c>
      <c r="AA8" s="818">
        <v>0.59072489713917309</v>
      </c>
      <c r="AB8" s="818">
        <v>0</v>
      </c>
      <c r="AC8" s="817">
        <v>109.41550093444403</v>
      </c>
    </row>
    <row r="9" spans="1:29">
      <c r="A9" s="3"/>
      <c r="B9" s="6" t="s">
        <v>150</v>
      </c>
      <c r="C9" s="819">
        <v>0</v>
      </c>
      <c r="D9" s="819">
        <v>0</v>
      </c>
      <c r="E9" s="819">
        <v>0</v>
      </c>
      <c r="F9" s="820">
        <v>0</v>
      </c>
      <c r="G9" s="819">
        <v>0</v>
      </c>
      <c r="H9" s="819">
        <v>0</v>
      </c>
      <c r="I9" s="819">
        <v>0</v>
      </c>
      <c r="J9" s="819">
        <v>0</v>
      </c>
      <c r="K9" s="819">
        <v>0</v>
      </c>
      <c r="L9" s="819">
        <v>0.39668002862745966</v>
      </c>
      <c r="M9" s="819">
        <v>0</v>
      </c>
      <c r="N9" s="819">
        <v>0</v>
      </c>
      <c r="O9" s="819">
        <v>0</v>
      </c>
      <c r="P9" s="819">
        <v>0</v>
      </c>
      <c r="Q9" s="819">
        <v>0</v>
      </c>
      <c r="R9" s="820">
        <v>0.39668002862745966</v>
      </c>
      <c r="S9" s="819">
        <v>6.1507041691658388</v>
      </c>
      <c r="T9" s="819">
        <v>0</v>
      </c>
      <c r="U9" s="819">
        <v>0</v>
      </c>
      <c r="V9" s="820">
        <v>6.1507041691658388</v>
      </c>
      <c r="W9" s="820">
        <v>6.5473841977932983</v>
      </c>
      <c r="X9" s="819">
        <v>0</v>
      </c>
      <c r="Y9" s="819">
        <v>6.1038470493377267E-2</v>
      </c>
      <c r="Z9" s="819">
        <v>4.8301116445417485</v>
      </c>
      <c r="AA9" s="821">
        <v>0</v>
      </c>
      <c r="AB9" s="821">
        <v>0</v>
      </c>
      <c r="AC9" s="820">
        <v>11.438534312828423</v>
      </c>
    </row>
    <row r="10" spans="1:29">
      <c r="A10" s="3"/>
      <c r="B10" s="6" t="s">
        <v>151</v>
      </c>
      <c r="C10" s="819">
        <v>0</v>
      </c>
      <c r="D10" s="819">
        <v>0</v>
      </c>
      <c r="E10" s="819">
        <v>0</v>
      </c>
      <c r="F10" s="820">
        <v>0</v>
      </c>
      <c r="G10" s="819">
        <v>0</v>
      </c>
      <c r="H10" s="819">
        <v>0</v>
      </c>
      <c r="I10" s="819">
        <v>0</v>
      </c>
      <c r="J10" s="819">
        <v>0</v>
      </c>
      <c r="K10" s="819">
        <v>0</v>
      </c>
      <c r="L10" s="819">
        <v>0.241144163982525</v>
      </c>
      <c r="M10" s="819">
        <v>0</v>
      </c>
      <c r="N10" s="819">
        <v>0</v>
      </c>
      <c r="O10" s="819">
        <v>0</v>
      </c>
      <c r="P10" s="819">
        <v>0</v>
      </c>
      <c r="Q10" s="819">
        <v>0</v>
      </c>
      <c r="R10" s="820">
        <v>0.241144163982525</v>
      </c>
      <c r="S10" s="819">
        <v>5.9201684564363806</v>
      </c>
      <c r="T10" s="819">
        <v>0</v>
      </c>
      <c r="U10" s="819">
        <v>0</v>
      </c>
      <c r="V10" s="820">
        <v>5.9201684564363806</v>
      </c>
      <c r="W10" s="820">
        <v>6.1613126204189053</v>
      </c>
      <c r="X10" s="819">
        <v>0</v>
      </c>
      <c r="Y10" s="819">
        <v>2.777427344E-2</v>
      </c>
      <c r="Z10" s="819">
        <v>3.5696156971730266</v>
      </c>
      <c r="AA10" s="821">
        <v>0</v>
      </c>
      <c r="AB10" s="821">
        <v>0</v>
      </c>
      <c r="AC10" s="820">
        <v>9.7587025910319323</v>
      </c>
    </row>
    <row r="11" spans="1:29">
      <c r="A11" s="3"/>
      <c r="B11" s="6" t="s">
        <v>152</v>
      </c>
      <c r="C11" s="819">
        <v>0</v>
      </c>
      <c r="D11" s="819">
        <v>0</v>
      </c>
      <c r="E11" s="819">
        <v>0</v>
      </c>
      <c r="F11" s="820">
        <v>0</v>
      </c>
      <c r="G11" s="819">
        <v>0</v>
      </c>
      <c r="H11" s="819">
        <v>0</v>
      </c>
      <c r="I11" s="819">
        <v>0</v>
      </c>
      <c r="J11" s="819">
        <v>0</v>
      </c>
      <c r="K11" s="819">
        <v>0</v>
      </c>
      <c r="L11" s="819">
        <v>0.15031129589655012</v>
      </c>
      <c r="M11" s="819">
        <v>0</v>
      </c>
      <c r="N11" s="819">
        <v>0</v>
      </c>
      <c r="O11" s="819">
        <v>0</v>
      </c>
      <c r="P11" s="819">
        <v>0</v>
      </c>
      <c r="Q11" s="819">
        <v>0</v>
      </c>
      <c r="R11" s="820">
        <v>0.15031129589655012</v>
      </c>
      <c r="S11" s="819">
        <v>3.5220119095496676</v>
      </c>
      <c r="T11" s="819">
        <v>0</v>
      </c>
      <c r="U11" s="819">
        <v>0</v>
      </c>
      <c r="V11" s="820">
        <v>3.5220119095496676</v>
      </c>
      <c r="W11" s="820">
        <v>3.6723232054462178</v>
      </c>
      <c r="X11" s="819">
        <v>0</v>
      </c>
      <c r="Y11" s="819">
        <v>2.8088309999999995E-3</v>
      </c>
      <c r="Z11" s="819">
        <v>1.2629774356632055</v>
      </c>
      <c r="AA11" s="821">
        <v>0</v>
      </c>
      <c r="AB11" s="821">
        <v>0</v>
      </c>
      <c r="AC11" s="820">
        <v>4.9381094721094234</v>
      </c>
    </row>
    <row r="12" spans="1:29">
      <c r="A12" s="3"/>
      <c r="B12" s="6" t="s">
        <v>153</v>
      </c>
      <c r="C12" s="819">
        <v>0</v>
      </c>
      <c r="D12" s="819">
        <v>0</v>
      </c>
      <c r="E12" s="819">
        <v>0</v>
      </c>
      <c r="F12" s="820">
        <v>0</v>
      </c>
      <c r="G12" s="819">
        <v>0</v>
      </c>
      <c r="H12" s="819">
        <v>0</v>
      </c>
      <c r="I12" s="819">
        <v>3.359142240422967E-3</v>
      </c>
      <c r="J12" s="819">
        <v>0</v>
      </c>
      <c r="K12" s="819">
        <v>0</v>
      </c>
      <c r="L12" s="819">
        <v>1.2853154722871125</v>
      </c>
      <c r="M12" s="819">
        <v>0</v>
      </c>
      <c r="N12" s="819">
        <v>0</v>
      </c>
      <c r="O12" s="819">
        <v>0</v>
      </c>
      <c r="P12" s="819">
        <v>0</v>
      </c>
      <c r="Q12" s="819">
        <v>0</v>
      </c>
      <c r="R12" s="820">
        <v>1.2886746145275354</v>
      </c>
      <c r="S12" s="819">
        <v>16.124062780203992</v>
      </c>
      <c r="T12" s="819">
        <v>0</v>
      </c>
      <c r="U12" s="819">
        <v>0</v>
      </c>
      <c r="V12" s="820">
        <v>16.124062780203992</v>
      </c>
      <c r="W12" s="820">
        <v>17.412737394731529</v>
      </c>
      <c r="X12" s="819">
        <v>0</v>
      </c>
      <c r="Y12" s="819">
        <v>9.1204627001629998E-3</v>
      </c>
      <c r="Z12" s="819">
        <v>12.863934826175603</v>
      </c>
      <c r="AA12" s="821">
        <v>0</v>
      </c>
      <c r="AB12" s="821">
        <v>0</v>
      </c>
      <c r="AC12" s="820">
        <v>30.285792683607298</v>
      </c>
    </row>
    <row r="13" spans="1:29">
      <c r="A13" s="3"/>
      <c r="B13" s="6" t="s">
        <v>154</v>
      </c>
      <c r="C13" s="819">
        <v>0</v>
      </c>
      <c r="D13" s="819">
        <v>0</v>
      </c>
      <c r="E13" s="819">
        <v>0</v>
      </c>
      <c r="F13" s="820">
        <v>0</v>
      </c>
      <c r="G13" s="819">
        <v>0</v>
      </c>
      <c r="H13" s="819">
        <v>0</v>
      </c>
      <c r="I13" s="819">
        <v>4.5667019907034402E-2</v>
      </c>
      <c r="J13" s="819">
        <v>8.8016389999999998E-4</v>
      </c>
      <c r="K13" s="819">
        <v>0</v>
      </c>
      <c r="L13" s="819">
        <v>1.1868458429446787</v>
      </c>
      <c r="M13" s="819">
        <v>0</v>
      </c>
      <c r="N13" s="819">
        <v>0</v>
      </c>
      <c r="O13" s="819">
        <v>0</v>
      </c>
      <c r="P13" s="819">
        <v>0</v>
      </c>
      <c r="Q13" s="819">
        <v>0</v>
      </c>
      <c r="R13" s="820">
        <v>1.233393026751713</v>
      </c>
      <c r="S13" s="819">
        <v>9.3221478752136875</v>
      </c>
      <c r="T13" s="819">
        <v>0</v>
      </c>
      <c r="U13" s="819">
        <v>0</v>
      </c>
      <c r="V13" s="820">
        <v>9.3221478752136875</v>
      </c>
      <c r="W13" s="820">
        <v>10.555540901965401</v>
      </c>
      <c r="X13" s="819">
        <v>0</v>
      </c>
      <c r="Y13" s="819">
        <v>4.9164834239999993E-3</v>
      </c>
      <c r="Z13" s="819">
        <v>12.425512743804623</v>
      </c>
      <c r="AA13" s="821">
        <v>0</v>
      </c>
      <c r="AB13" s="821">
        <v>0</v>
      </c>
      <c r="AC13" s="820">
        <v>22.985970129194023</v>
      </c>
    </row>
    <row r="14" spans="1:29">
      <c r="A14" s="215"/>
      <c r="B14" s="216" t="s">
        <v>155</v>
      </c>
      <c r="C14" s="822">
        <v>0</v>
      </c>
      <c r="D14" s="822">
        <v>8.7900000000000009E-5</v>
      </c>
      <c r="E14" s="822">
        <v>0</v>
      </c>
      <c r="F14" s="823">
        <v>8.7900000000000009E-5</v>
      </c>
      <c r="G14" s="819">
        <v>0</v>
      </c>
      <c r="H14" s="819">
        <v>0</v>
      </c>
      <c r="I14" s="819">
        <v>8.0531264948731571E-2</v>
      </c>
      <c r="J14" s="819">
        <v>4.4621150859905966E-3</v>
      </c>
      <c r="K14" s="819">
        <v>0</v>
      </c>
      <c r="L14" s="819">
        <v>7.0199679400409911</v>
      </c>
      <c r="M14" s="819">
        <v>0</v>
      </c>
      <c r="N14" s="819">
        <v>0</v>
      </c>
      <c r="O14" s="819">
        <v>0</v>
      </c>
      <c r="P14" s="819">
        <v>0</v>
      </c>
      <c r="Q14" s="819">
        <v>0</v>
      </c>
      <c r="R14" s="823">
        <v>7.1049613200757129</v>
      </c>
      <c r="S14" s="819">
        <v>8.253163492733929</v>
      </c>
      <c r="T14" s="822">
        <v>0</v>
      </c>
      <c r="U14" s="822">
        <v>0</v>
      </c>
      <c r="V14" s="823">
        <v>8.253163492733929</v>
      </c>
      <c r="W14" s="823">
        <v>15.358212712809642</v>
      </c>
      <c r="X14" s="819">
        <v>2.043901</v>
      </c>
      <c r="Y14" s="819">
        <v>3.134543633620309</v>
      </c>
      <c r="Z14" s="819">
        <v>8.8810095021037956</v>
      </c>
      <c r="AA14" s="824">
        <v>0</v>
      </c>
      <c r="AB14" s="824">
        <v>0</v>
      </c>
      <c r="AC14" s="823">
        <v>29.417666848533749</v>
      </c>
    </row>
    <row r="15" spans="1:29">
      <c r="A15" s="213" t="s">
        <v>156</v>
      </c>
      <c r="B15" s="217"/>
      <c r="C15" s="825">
        <v>0</v>
      </c>
      <c r="D15" s="825">
        <v>5.8600000000003094E-4</v>
      </c>
      <c r="E15" s="825">
        <v>0.16942030000000005</v>
      </c>
      <c r="F15" s="826">
        <v>0.17000630000000008</v>
      </c>
      <c r="G15" s="825">
        <v>0</v>
      </c>
      <c r="H15" s="825">
        <v>0</v>
      </c>
      <c r="I15" s="825">
        <v>2.1101875596496464</v>
      </c>
      <c r="J15" s="825">
        <v>0.14366609925972901</v>
      </c>
      <c r="K15" s="825">
        <v>0</v>
      </c>
      <c r="L15" s="825">
        <v>6.7778380484346812</v>
      </c>
      <c r="M15" s="825">
        <v>0</v>
      </c>
      <c r="N15" s="825">
        <v>0.21614332457509888</v>
      </c>
      <c r="O15" s="825">
        <v>0</v>
      </c>
      <c r="P15" s="825">
        <v>5.1943599999999999E-2</v>
      </c>
      <c r="Q15" s="825">
        <v>0</v>
      </c>
      <c r="R15" s="1004">
        <v>9.2997786319191551</v>
      </c>
      <c r="S15" s="825">
        <v>34.1498367242922</v>
      </c>
      <c r="T15" s="825">
        <v>0</v>
      </c>
      <c r="U15" s="825">
        <v>0</v>
      </c>
      <c r="V15" s="1004">
        <v>34.1498367242922</v>
      </c>
      <c r="W15" s="1004">
        <v>43.619621656211351</v>
      </c>
      <c r="X15" s="825">
        <v>2.6894000000000001E-2</v>
      </c>
      <c r="Y15" s="825">
        <v>1.6115617710299004</v>
      </c>
      <c r="Z15" s="825">
        <v>44.234641319259779</v>
      </c>
      <c r="AA15" s="827">
        <v>4.5172405391223691E-2</v>
      </c>
      <c r="AB15" s="827">
        <v>0</v>
      </c>
      <c r="AC15" s="826">
        <v>89.537891151892254</v>
      </c>
    </row>
    <row r="16" spans="1:29">
      <c r="A16" s="5"/>
      <c r="B16" s="6" t="s">
        <v>34</v>
      </c>
      <c r="C16" s="828">
        <v>0</v>
      </c>
      <c r="D16" s="828">
        <v>0</v>
      </c>
      <c r="E16" s="828">
        <v>0</v>
      </c>
      <c r="F16" s="820">
        <v>0</v>
      </c>
      <c r="G16" s="828">
        <v>0</v>
      </c>
      <c r="H16" s="828">
        <v>0</v>
      </c>
      <c r="I16" s="828">
        <v>1.377E-3</v>
      </c>
      <c r="J16" s="828">
        <v>0</v>
      </c>
      <c r="K16" s="828">
        <v>0</v>
      </c>
      <c r="L16" s="828">
        <v>8.9720978113999941E-3</v>
      </c>
      <c r="M16" s="828">
        <v>0</v>
      </c>
      <c r="N16" s="828">
        <v>0</v>
      </c>
      <c r="O16" s="828">
        <v>0</v>
      </c>
      <c r="P16" s="828">
        <v>0</v>
      </c>
      <c r="Q16" s="828">
        <v>0</v>
      </c>
      <c r="R16" s="820">
        <v>1.0349097811399994E-2</v>
      </c>
      <c r="S16" s="828">
        <v>0.24108607487839961</v>
      </c>
      <c r="T16" s="828">
        <v>0</v>
      </c>
      <c r="U16" s="828">
        <v>0</v>
      </c>
      <c r="V16" s="829">
        <v>0.24108607487839961</v>
      </c>
      <c r="W16" s="820">
        <v>0.25143517268979959</v>
      </c>
      <c r="X16" s="828">
        <v>0</v>
      </c>
      <c r="Y16" s="828">
        <v>0</v>
      </c>
      <c r="Z16" s="828">
        <v>0.55354919600000052</v>
      </c>
      <c r="AA16" s="821">
        <v>0</v>
      </c>
      <c r="AB16" s="821">
        <v>0</v>
      </c>
      <c r="AC16" s="820">
        <v>0.80498436868980017</v>
      </c>
    </row>
    <row r="17" spans="1:31">
      <c r="A17" s="5"/>
      <c r="B17" s="6" t="s">
        <v>37</v>
      </c>
      <c r="C17" s="828">
        <v>0</v>
      </c>
      <c r="D17" s="828">
        <v>0</v>
      </c>
      <c r="E17" s="828">
        <v>0.16314800000000007</v>
      </c>
      <c r="F17" s="820">
        <v>0.16314800000000007</v>
      </c>
      <c r="G17" s="828">
        <v>0</v>
      </c>
      <c r="H17" s="828">
        <v>0</v>
      </c>
      <c r="I17" s="828">
        <v>4.7100365030000001E-3</v>
      </c>
      <c r="J17" s="828">
        <v>0</v>
      </c>
      <c r="K17" s="828">
        <v>0</v>
      </c>
      <c r="L17" s="828">
        <v>0.10404974817181703</v>
      </c>
      <c r="M17" s="828">
        <v>0</v>
      </c>
      <c r="N17" s="828">
        <v>0</v>
      </c>
      <c r="O17" s="828">
        <v>0</v>
      </c>
      <c r="P17" s="828">
        <v>3.22536E-2</v>
      </c>
      <c r="Q17" s="828">
        <v>0</v>
      </c>
      <c r="R17" s="820">
        <v>0.14101338467481703</v>
      </c>
      <c r="S17" s="828">
        <v>0.68020605028159853</v>
      </c>
      <c r="T17" s="828">
        <v>0</v>
      </c>
      <c r="U17" s="828">
        <v>0</v>
      </c>
      <c r="V17" s="829">
        <v>0.68020605028159853</v>
      </c>
      <c r="W17" s="820">
        <v>0.98436743495641565</v>
      </c>
      <c r="X17" s="828">
        <v>0</v>
      </c>
      <c r="Y17" s="828">
        <v>0</v>
      </c>
      <c r="Z17" s="828">
        <v>1.2620199156000007</v>
      </c>
      <c r="AA17" s="821">
        <v>0</v>
      </c>
      <c r="AB17" s="821">
        <v>0</v>
      </c>
      <c r="AC17" s="820">
        <v>2.2463873505564163</v>
      </c>
    </row>
    <row r="18" spans="1:31">
      <c r="A18" s="5"/>
      <c r="B18" s="6" t="s">
        <v>35</v>
      </c>
      <c r="C18" s="828">
        <v>0</v>
      </c>
      <c r="D18" s="828">
        <v>0</v>
      </c>
      <c r="E18" s="828">
        <v>6.2722999999999807E-3</v>
      </c>
      <c r="F18" s="820">
        <v>6.2722999999999807E-3</v>
      </c>
      <c r="G18" s="828">
        <v>0</v>
      </c>
      <c r="H18" s="828">
        <v>0</v>
      </c>
      <c r="I18" s="828">
        <v>4.6690379631481024E-2</v>
      </c>
      <c r="J18" s="828">
        <v>7.2468007500000008E-3</v>
      </c>
      <c r="K18" s="828">
        <v>0</v>
      </c>
      <c r="L18" s="828">
        <v>0.4330511201887427</v>
      </c>
      <c r="M18" s="828">
        <v>0</v>
      </c>
      <c r="N18" s="828">
        <v>0</v>
      </c>
      <c r="O18" s="828">
        <v>0</v>
      </c>
      <c r="P18" s="828">
        <v>0</v>
      </c>
      <c r="Q18" s="828">
        <v>0</v>
      </c>
      <c r="R18" s="820">
        <v>0.48698830057022374</v>
      </c>
      <c r="S18" s="828">
        <v>4.5778895663771717</v>
      </c>
      <c r="T18" s="828">
        <v>0</v>
      </c>
      <c r="U18" s="828">
        <v>0</v>
      </c>
      <c r="V18" s="829">
        <v>4.5778895663771717</v>
      </c>
      <c r="W18" s="820">
        <v>5.0711501669473957</v>
      </c>
      <c r="X18" s="828">
        <v>0</v>
      </c>
      <c r="Y18" s="828">
        <v>7.8840732460062998E-2</v>
      </c>
      <c r="Z18" s="828">
        <v>6.5062466654684377</v>
      </c>
      <c r="AA18" s="821">
        <v>0</v>
      </c>
      <c r="AB18" s="821">
        <v>0</v>
      </c>
      <c r="AC18" s="820">
        <v>11.656237564875896</v>
      </c>
    </row>
    <row r="19" spans="1:31">
      <c r="A19" s="5"/>
      <c r="B19" s="6" t="s">
        <v>32</v>
      </c>
      <c r="C19" s="828">
        <v>0</v>
      </c>
      <c r="D19" s="828">
        <v>0</v>
      </c>
      <c r="E19" s="828">
        <v>0</v>
      </c>
      <c r="F19" s="820">
        <v>0</v>
      </c>
      <c r="G19" s="828">
        <v>0</v>
      </c>
      <c r="H19" s="828">
        <v>0</v>
      </c>
      <c r="I19" s="828">
        <v>2.1697288302439281E-2</v>
      </c>
      <c r="J19" s="828">
        <v>0.136419298509729</v>
      </c>
      <c r="K19" s="828">
        <v>0</v>
      </c>
      <c r="L19" s="828">
        <v>5.2997183751290233</v>
      </c>
      <c r="M19" s="828">
        <v>0</v>
      </c>
      <c r="N19" s="828">
        <v>0.15027364801509879</v>
      </c>
      <c r="O19" s="828">
        <v>0</v>
      </c>
      <c r="P19" s="828">
        <v>0</v>
      </c>
      <c r="Q19" s="828">
        <v>0</v>
      </c>
      <c r="R19" s="820">
        <v>5.6081086099562905</v>
      </c>
      <c r="S19" s="828">
        <v>5.1897681838958212</v>
      </c>
      <c r="T19" s="828">
        <v>0</v>
      </c>
      <c r="U19" s="828">
        <v>0</v>
      </c>
      <c r="V19" s="829">
        <v>5.1897681838958212</v>
      </c>
      <c r="W19" s="820">
        <v>10.797876793852112</v>
      </c>
      <c r="X19" s="828">
        <v>0</v>
      </c>
      <c r="Y19" s="828">
        <v>0.44058804523479944</v>
      </c>
      <c r="Z19" s="828">
        <v>8.2525037695765207</v>
      </c>
      <c r="AA19" s="821">
        <v>0</v>
      </c>
      <c r="AB19" s="821">
        <v>0</v>
      </c>
      <c r="AC19" s="820">
        <v>19.49096860866343</v>
      </c>
    </row>
    <row r="20" spans="1:31">
      <c r="A20" s="5"/>
      <c r="B20" s="6" t="s">
        <v>40</v>
      </c>
      <c r="C20" s="828">
        <v>0</v>
      </c>
      <c r="D20" s="828">
        <v>0</v>
      </c>
      <c r="E20" s="828">
        <v>0</v>
      </c>
      <c r="F20" s="820">
        <v>0</v>
      </c>
      <c r="G20" s="828">
        <v>0</v>
      </c>
      <c r="H20" s="828">
        <v>0</v>
      </c>
      <c r="I20" s="828">
        <v>1.9362090865696419E-2</v>
      </c>
      <c r="J20" s="828">
        <v>0</v>
      </c>
      <c r="K20" s="828">
        <v>0</v>
      </c>
      <c r="L20" s="828">
        <v>0.66715811202203501</v>
      </c>
      <c r="M20" s="828">
        <v>0</v>
      </c>
      <c r="N20" s="828">
        <v>6.0150765600000006E-3</v>
      </c>
      <c r="O20" s="828">
        <v>0</v>
      </c>
      <c r="P20" s="828">
        <v>0</v>
      </c>
      <c r="Q20" s="828">
        <v>0</v>
      </c>
      <c r="R20" s="820">
        <v>0.69253527944773141</v>
      </c>
      <c r="S20" s="828">
        <v>12.522223169458544</v>
      </c>
      <c r="T20" s="828">
        <v>0</v>
      </c>
      <c r="U20" s="828">
        <v>0</v>
      </c>
      <c r="V20" s="829">
        <v>12.522223169458544</v>
      </c>
      <c r="W20" s="820">
        <v>13.214758448906275</v>
      </c>
      <c r="X20" s="828">
        <v>0</v>
      </c>
      <c r="Y20" s="828">
        <v>0.62442309077503599</v>
      </c>
      <c r="Z20" s="828">
        <v>11.468879779539847</v>
      </c>
      <c r="AA20" s="821">
        <v>0</v>
      </c>
      <c r="AB20" s="821">
        <v>0</v>
      </c>
      <c r="AC20" s="820">
        <v>25.30806131922116</v>
      </c>
    </row>
    <row r="21" spans="1:31">
      <c r="A21" s="5"/>
      <c r="B21" s="6" t="s">
        <v>39</v>
      </c>
      <c r="C21" s="828">
        <v>0</v>
      </c>
      <c r="D21" s="828">
        <v>0</v>
      </c>
      <c r="E21" s="828">
        <v>0</v>
      </c>
      <c r="F21" s="820">
        <v>0</v>
      </c>
      <c r="G21" s="828">
        <v>0</v>
      </c>
      <c r="H21" s="828">
        <v>0</v>
      </c>
      <c r="I21" s="828">
        <v>8.0742891908560412E-3</v>
      </c>
      <c r="J21" s="828">
        <v>0</v>
      </c>
      <c r="K21" s="828">
        <v>0</v>
      </c>
      <c r="L21" s="828">
        <v>6.1599573711383727E-2</v>
      </c>
      <c r="M21" s="828">
        <v>0</v>
      </c>
      <c r="N21" s="828">
        <v>0</v>
      </c>
      <c r="O21" s="828">
        <v>0</v>
      </c>
      <c r="P21" s="828">
        <v>0</v>
      </c>
      <c r="Q21" s="828">
        <v>0</v>
      </c>
      <c r="R21" s="820">
        <v>6.9673862902239772E-2</v>
      </c>
      <c r="S21" s="828">
        <v>2.2398927684472962</v>
      </c>
      <c r="T21" s="828">
        <v>0</v>
      </c>
      <c r="U21" s="828">
        <v>0</v>
      </c>
      <c r="V21" s="829">
        <v>2.2398927684472962</v>
      </c>
      <c r="W21" s="820">
        <v>2.309566631349536</v>
      </c>
      <c r="X21" s="828">
        <v>2.6894000000000001E-2</v>
      </c>
      <c r="Y21" s="828">
        <v>2.8655399999999995E-4</v>
      </c>
      <c r="Z21" s="828">
        <v>2.3180275344183805</v>
      </c>
      <c r="AA21" s="821">
        <v>0</v>
      </c>
      <c r="AB21" s="821">
        <v>0</v>
      </c>
      <c r="AC21" s="820">
        <v>4.6547747197679161</v>
      </c>
    </row>
    <row r="22" spans="1:31">
      <c r="A22" s="5"/>
      <c r="B22" s="6" t="s">
        <v>36</v>
      </c>
      <c r="C22" s="828">
        <v>0</v>
      </c>
      <c r="D22" s="828">
        <v>5.8600000000003094E-4</v>
      </c>
      <c r="E22" s="828">
        <v>0</v>
      </c>
      <c r="F22" s="820">
        <v>5.8600000000003094E-4</v>
      </c>
      <c r="G22" s="828">
        <v>0</v>
      </c>
      <c r="H22" s="828">
        <v>0</v>
      </c>
      <c r="I22" s="828">
        <v>1.1554556121494027E-2</v>
      </c>
      <c r="J22" s="828">
        <v>0</v>
      </c>
      <c r="K22" s="828">
        <v>0</v>
      </c>
      <c r="L22" s="828">
        <v>7.6978560704458965E-2</v>
      </c>
      <c r="M22" s="828">
        <v>0</v>
      </c>
      <c r="N22" s="828">
        <v>1.951707200000008E-2</v>
      </c>
      <c r="O22" s="828">
        <v>0</v>
      </c>
      <c r="P22" s="828">
        <v>1.9689999999999999E-2</v>
      </c>
      <c r="Q22" s="828">
        <v>0</v>
      </c>
      <c r="R22" s="820">
        <v>0.12774018882595306</v>
      </c>
      <c r="S22" s="828">
        <v>1.3497202282835135</v>
      </c>
      <c r="T22" s="828">
        <v>0</v>
      </c>
      <c r="U22" s="828">
        <v>0</v>
      </c>
      <c r="V22" s="829">
        <v>1.3497202282835135</v>
      </c>
      <c r="W22" s="820">
        <v>1.4780464171094665</v>
      </c>
      <c r="X22" s="828">
        <v>0</v>
      </c>
      <c r="Y22" s="828">
        <v>0.47741000000000006</v>
      </c>
      <c r="Z22" s="828">
        <v>0.8026016372</v>
      </c>
      <c r="AA22" s="821">
        <v>0</v>
      </c>
      <c r="AB22" s="821">
        <v>0</v>
      </c>
      <c r="AC22" s="820">
        <v>2.7580580543094664</v>
      </c>
    </row>
    <row r="23" spans="1:31">
      <c r="A23" s="5"/>
      <c r="B23" s="6" t="s">
        <v>38</v>
      </c>
      <c r="C23" s="828">
        <v>0</v>
      </c>
      <c r="D23" s="828">
        <v>0</v>
      </c>
      <c r="E23" s="828">
        <v>0</v>
      </c>
      <c r="F23" s="820">
        <v>0</v>
      </c>
      <c r="G23" s="828">
        <v>0</v>
      </c>
      <c r="H23" s="828">
        <v>0</v>
      </c>
      <c r="I23" s="828">
        <v>2.8396123597800001E-3</v>
      </c>
      <c r="J23" s="828">
        <v>0</v>
      </c>
      <c r="K23" s="828">
        <v>0</v>
      </c>
      <c r="L23" s="828">
        <v>7.4407347743899958E-3</v>
      </c>
      <c r="M23" s="828">
        <v>0</v>
      </c>
      <c r="N23" s="828">
        <v>0</v>
      </c>
      <c r="O23" s="828">
        <v>0</v>
      </c>
      <c r="P23" s="828">
        <v>0</v>
      </c>
      <c r="Q23" s="828">
        <v>0</v>
      </c>
      <c r="R23" s="820">
        <v>1.0280347134169997E-2</v>
      </c>
      <c r="S23" s="828">
        <v>0.57410480417718412</v>
      </c>
      <c r="T23" s="828">
        <v>0</v>
      </c>
      <c r="U23" s="828">
        <v>0</v>
      </c>
      <c r="V23" s="829">
        <v>0.57410480417718412</v>
      </c>
      <c r="W23" s="820">
        <v>0.58438515131135416</v>
      </c>
      <c r="X23" s="828">
        <v>0</v>
      </c>
      <c r="Y23" s="828">
        <v>-1.7483651439998305E-2</v>
      </c>
      <c r="Z23" s="828">
        <v>0.81954656384399938</v>
      </c>
      <c r="AA23" s="821">
        <v>0</v>
      </c>
      <c r="AB23" s="821">
        <v>0</v>
      </c>
      <c r="AC23" s="820">
        <v>1.3864480637153553</v>
      </c>
    </row>
    <row r="24" spans="1:31">
      <c r="A24" s="218"/>
      <c r="B24" s="216" t="s">
        <v>33</v>
      </c>
      <c r="C24" s="828">
        <v>0</v>
      </c>
      <c r="D24" s="828">
        <v>0</v>
      </c>
      <c r="E24" s="828">
        <v>0</v>
      </c>
      <c r="F24" s="820">
        <v>0</v>
      </c>
      <c r="G24" s="828">
        <v>0</v>
      </c>
      <c r="H24" s="828">
        <v>0</v>
      </c>
      <c r="I24" s="828">
        <v>1.9938823066748999</v>
      </c>
      <c r="J24" s="828">
        <v>0</v>
      </c>
      <c r="K24" s="828">
        <v>0</v>
      </c>
      <c r="L24" s="828">
        <v>0.11886972592143004</v>
      </c>
      <c r="M24" s="828">
        <v>0</v>
      </c>
      <c r="N24" s="828">
        <v>4.0337528000000011E-2</v>
      </c>
      <c r="O24" s="828">
        <v>0</v>
      </c>
      <c r="P24" s="828">
        <v>0</v>
      </c>
      <c r="Q24" s="828">
        <v>0</v>
      </c>
      <c r="R24" s="820">
        <v>2.1530895605963298</v>
      </c>
      <c r="S24" s="828">
        <v>6.7749458784926659</v>
      </c>
      <c r="T24" s="828">
        <v>0</v>
      </c>
      <c r="U24" s="828">
        <v>0</v>
      </c>
      <c r="V24" s="829">
        <v>6.7749458784926659</v>
      </c>
      <c r="W24" s="820">
        <v>8.9280354390889958</v>
      </c>
      <c r="X24" s="828">
        <v>0</v>
      </c>
      <c r="Y24" s="828">
        <v>7.4970000000000037E-3</v>
      </c>
      <c r="Z24" s="828">
        <v>12.251266257612592</v>
      </c>
      <c r="AA24" s="821">
        <v>0</v>
      </c>
      <c r="AB24" s="821">
        <v>0</v>
      </c>
      <c r="AC24" s="820">
        <v>21.186798696701587</v>
      </c>
    </row>
    <row r="25" spans="1:31">
      <c r="A25" s="5" t="s">
        <v>605</v>
      </c>
      <c r="B25" s="127"/>
      <c r="C25" s="825">
        <f>SUM(C27:C32)</f>
        <v>0</v>
      </c>
      <c r="D25" s="825">
        <f t="shared" ref="D25:E25" si="0">SUM(D27:D32)</f>
        <v>0.68804931025752991</v>
      </c>
      <c r="E25" s="825">
        <f t="shared" si="0"/>
        <v>0</v>
      </c>
      <c r="F25" s="826">
        <f>SUM(F27:F32)</f>
        <v>0.68804931025752991</v>
      </c>
      <c r="G25" s="816">
        <f>SUM(G27:G32)</f>
        <v>0</v>
      </c>
      <c r="H25" s="816">
        <f t="shared" ref="H25:Q25" si="1">SUM(H27:H32)</f>
        <v>0</v>
      </c>
      <c r="I25" s="816">
        <f t="shared" si="1"/>
        <v>9.8384236001707981E-2</v>
      </c>
      <c r="J25" s="816">
        <f t="shared" si="1"/>
        <v>7.2404313052882141E-2</v>
      </c>
      <c r="K25" s="816">
        <f t="shared" si="1"/>
        <v>0</v>
      </c>
      <c r="L25" s="816">
        <f t="shared" si="1"/>
        <v>8.1563394055637506</v>
      </c>
      <c r="M25" s="816">
        <f t="shared" si="1"/>
        <v>0</v>
      </c>
      <c r="N25" s="816">
        <f t="shared" si="1"/>
        <v>0.40998792815260193</v>
      </c>
      <c r="O25" s="816">
        <f t="shared" si="1"/>
        <v>0</v>
      </c>
      <c r="P25" s="816">
        <f t="shared" si="1"/>
        <v>0</v>
      </c>
      <c r="Q25" s="816">
        <f t="shared" si="1"/>
        <v>0</v>
      </c>
      <c r="R25" s="826">
        <f>SUM(R27:R32)</f>
        <v>8.7371158827709419</v>
      </c>
      <c r="S25" s="816">
        <f>SUM(S27:S32)</f>
        <v>18.104005625520792</v>
      </c>
      <c r="T25" s="816">
        <f t="shared" ref="T25:U25" si="2">SUM(T27:T32)</f>
        <v>0</v>
      </c>
      <c r="U25" s="816">
        <f t="shared" si="2"/>
        <v>0</v>
      </c>
      <c r="V25" s="826">
        <f t="shared" ref="V25:AC25" si="3">SUM(V27:V32)</f>
        <v>18.104005625520792</v>
      </c>
      <c r="W25" s="826">
        <f t="shared" si="3"/>
        <v>27.529170818549261</v>
      </c>
      <c r="X25" s="825">
        <f t="shared" si="3"/>
        <v>0</v>
      </c>
      <c r="Y25" s="816">
        <f t="shared" si="3"/>
        <v>3.1156925425971846</v>
      </c>
      <c r="Z25" s="818">
        <f t="shared" si="3"/>
        <v>-2.5288002554715683</v>
      </c>
      <c r="AA25" s="827">
        <f t="shared" si="3"/>
        <v>0</v>
      </c>
      <c r="AB25" s="827">
        <f t="shared" si="3"/>
        <v>0</v>
      </c>
      <c r="AC25" s="817">
        <f t="shared" si="3"/>
        <v>28.116063105674879</v>
      </c>
      <c r="AE25" s="38"/>
    </row>
    <row r="26" spans="1:31">
      <c r="A26" s="5"/>
      <c r="B26" s="127"/>
      <c r="C26" s="830"/>
      <c r="D26" s="831"/>
      <c r="E26" s="830"/>
      <c r="F26" s="820"/>
      <c r="G26" s="831"/>
      <c r="H26" s="831"/>
      <c r="I26" s="831"/>
      <c r="J26" s="831"/>
      <c r="K26" s="831"/>
      <c r="L26" s="831"/>
      <c r="M26" s="831"/>
      <c r="N26" s="831"/>
      <c r="O26" s="831"/>
      <c r="P26" s="831"/>
      <c r="Q26" s="831"/>
      <c r="R26" s="820"/>
      <c r="S26" s="831"/>
      <c r="T26" s="830"/>
      <c r="U26" s="830"/>
      <c r="V26" s="820"/>
      <c r="W26" s="820"/>
      <c r="X26" s="830"/>
      <c r="Y26" s="834"/>
      <c r="Z26" s="834">
        <v>2.4216793794672591</v>
      </c>
      <c r="AA26" s="835"/>
      <c r="AB26" s="832"/>
      <c r="AC26" s="833"/>
      <c r="AE26" s="38"/>
    </row>
    <row r="27" spans="1:31">
      <c r="A27" s="3"/>
      <c r="B27" s="6" t="s">
        <v>157</v>
      </c>
      <c r="C27" s="819">
        <v>0</v>
      </c>
      <c r="D27" s="819">
        <v>5.6113467351199661E-5</v>
      </c>
      <c r="E27" s="819">
        <v>0</v>
      </c>
      <c r="F27" s="820">
        <v>5.6113467351199661E-5</v>
      </c>
      <c r="G27" s="819">
        <v>0</v>
      </c>
      <c r="H27" s="819">
        <v>0</v>
      </c>
      <c r="I27" s="819">
        <v>7.7886225120180119E-2</v>
      </c>
      <c r="J27" s="819">
        <v>4.2233158336307038E-4</v>
      </c>
      <c r="K27" s="819">
        <v>0</v>
      </c>
      <c r="L27" s="819">
        <v>4.7176263484322565</v>
      </c>
      <c r="M27" s="819">
        <v>0</v>
      </c>
      <c r="N27" s="819">
        <v>0</v>
      </c>
      <c r="O27" s="819">
        <v>0</v>
      </c>
      <c r="P27" s="819">
        <v>0</v>
      </c>
      <c r="Q27" s="819">
        <v>0</v>
      </c>
      <c r="R27" s="820">
        <v>4.7959349051358</v>
      </c>
      <c r="S27" s="819">
        <v>0.30227989407657008</v>
      </c>
      <c r="T27" s="819">
        <v>0</v>
      </c>
      <c r="U27" s="819">
        <v>0</v>
      </c>
      <c r="V27" s="820">
        <v>0.30227989407657008</v>
      </c>
      <c r="W27" s="820">
        <v>5.0982709126797205</v>
      </c>
      <c r="X27" s="819">
        <v>0</v>
      </c>
      <c r="Y27" s="819">
        <v>0.95953362666668518</v>
      </c>
      <c r="Z27" s="819">
        <v>1.9153157703477111</v>
      </c>
      <c r="AA27" s="821">
        <v>0</v>
      </c>
      <c r="AB27" s="821">
        <v>0</v>
      </c>
      <c r="AC27" s="820">
        <v>7.9731203096941172</v>
      </c>
    </row>
    <row r="28" spans="1:31">
      <c r="A28" s="3"/>
      <c r="B28" s="6" t="s">
        <v>158</v>
      </c>
      <c r="C28" s="819">
        <v>0</v>
      </c>
      <c r="D28" s="819">
        <v>3.7520304520458314E-4</v>
      </c>
      <c r="E28" s="819">
        <v>0</v>
      </c>
      <c r="F28" s="820">
        <v>3.7520304520458314E-4</v>
      </c>
      <c r="G28" s="819">
        <v>0</v>
      </c>
      <c r="H28" s="819">
        <v>0</v>
      </c>
      <c r="I28" s="819">
        <v>1.9930017267947319E-3</v>
      </c>
      <c r="J28" s="819">
        <v>6.525812154413997E-4</v>
      </c>
      <c r="K28" s="819">
        <v>0</v>
      </c>
      <c r="L28" s="819">
        <v>2.0382691614641812</v>
      </c>
      <c r="M28" s="819">
        <v>0</v>
      </c>
      <c r="N28" s="819">
        <v>0</v>
      </c>
      <c r="O28" s="819">
        <v>0</v>
      </c>
      <c r="P28" s="819">
        <v>0</v>
      </c>
      <c r="Q28" s="819">
        <v>0</v>
      </c>
      <c r="R28" s="820">
        <v>2.0409147444064173</v>
      </c>
      <c r="S28" s="819">
        <v>0.24620314754402164</v>
      </c>
      <c r="T28" s="819">
        <v>0</v>
      </c>
      <c r="U28" s="819">
        <v>0</v>
      </c>
      <c r="V28" s="820">
        <v>0.24620314754402164</v>
      </c>
      <c r="W28" s="820">
        <v>2.2874930949956438</v>
      </c>
      <c r="X28" s="819">
        <v>0</v>
      </c>
      <c r="Y28" s="819">
        <v>1.8525275730440296</v>
      </c>
      <c r="Z28" s="819">
        <v>1.9851697588254637E-2</v>
      </c>
      <c r="AA28" s="821">
        <v>0</v>
      </c>
      <c r="AB28" s="821">
        <v>0</v>
      </c>
      <c r="AC28" s="820">
        <v>4.1598723656279279</v>
      </c>
    </row>
    <row r="29" spans="1:31">
      <c r="A29" s="3"/>
      <c r="B29" s="6" t="s">
        <v>159</v>
      </c>
      <c r="C29" s="819">
        <v>0</v>
      </c>
      <c r="D29" s="819">
        <v>0.65540918728571418</v>
      </c>
      <c r="E29" s="819">
        <v>0</v>
      </c>
      <c r="F29" s="820">
        <v>0.65540918728571418</v>
      </c>
      <c r="G29" s="819">
        <v>0</v>
      </c>
      <c r="H29" s="819">
        <v>0</v>
      </c>
      <c r="I29" s="819">
        <v>1.4003780686119524E-2</v>
      </c>
      <c r="J29" s="819">
        <v>2.7495334770871673E-3</v>
      </c>
      <c r="K29" s="819">
        <v>0</v>
      </c>
      <c r="L29" s="819">
        <v>0.64002182554639198</v>
      </c>
      <c r="M29" s="819">
        <v>0</v>
      </c>
      <c r="N29" s="819">
        <v>0.40513046254205703</v>
      </c>
      <c r="O29" s="819">
        <v>0</v>
      </c>
      <c r="P29" s="819">
        <v>0</v>
      </c>
      <c r="Q29" s="819">
        <v>0</v>
      </c>
      <c r="R29" s="820">
        <v>1.0619056022516558</v>
      </c>
      <c r="S29" s="819">
        <v>17.257976360676651</v>
      </c>
      <c r="T29" s="819">
        <v>0</v>
      </c>
      <c r="U29" s="819">
        <v>0</v>
      </c>
      <c r="V29" s="820">
        <v>17.257976360676651</v>
      </c>
      <c r="W29" s="820">
        <v>18.975291150214019</v>
      </c>
      <c r="X29" s="819">
        <v>0</v>
      </c>
      <c r="Y29" s="819">
        <v>0.29965118384646994</v>
      </c>
      <c r="Z29" s="819">
        <v>-5.2350459483081018</v>
      </c>
      <c r="AA29" s="821">
        <v>0</v>
      </c>
      <c r="AB29" s="821">
        <v>0</v>
      </c>
      <c r="AC29" s="820">
        <v>14.039896385752389</v>
      </c>
    </row>
    <row r="30" spans="1:31">
      <c r="A30" s="3"/>
      <c r="B30" s="6" t="s">
        <v>160</v>
      </c>
      <c r="C30" s="819">
        <v>0</v>
      </c>
      <c r="D30" s="819">
        <v>3.2208806459259921E-2</v>
      </c>
      <c r="E30" s="819">
        <v>0</v>
      </c>
      <c r="F30" s="820">
        <v>3.2208806459259921E-2</v>
      </c>
      <c r="G30" s="819">
        <v>0</v>
      </c>
      <c r="H30" s="819">
        <v>0</v>
      </c>
      <c r="I30" s="819">
        <v>4.499360367497594E-3</v>
      </c>
      <c r="J30" s="819">
        <v>5.3349649361642713E-3</v>
      </c>
      <c r="K30" s="819">
        <v>0</v>
      </c>
      <c r="L30" s="819">
        <v>0.75085426694458401</v>
      </c>
      <c r="M30" s="819">
        <v>0</v>
      </c>
      <c r="N30" s="819">
        <v>4.8574656105448717E-3</v>
      </c>
      <c r="O30" s="819">
        <v>0</v>
      </c>
      <c r="P30" s="819">
        <v>0</v>
      </c>
      <c r="Q30" s="819">
        <v>0</v>
      </c>
      <c r="R30" s="820">
        <v>0.76554605785879082</v>
      </c>
      <c r="S30" s="819">
        <v>0.29754622322354751</v>
      </c>
      <c r="T30" s="819">
        <v>0</v>
      </c>
      <c r="U30" s="819">
        <v>0</v>
      </c>
      <c r="V30" s="820">
        <v>0.29754622322354751</v>
      </c>
      <c r="W30" s="820">
        <v>1.0953010875415983</v>
      </c>
      <c r="X30" s="819">
        <v>0</v>
      </c>
      <c r="Y30" s="819">
        <v>3.9801590400000003E-3</v>
      </c>
      <c r="Z30" s="819">
        <v>0.7710403966045678</v>
      </c>
      <c r="AA30" s="821">
        <v>0</v>
      </c>
      <c r="AB30" s="821">
        <v>0</v>
      </c>
      <c r="AC30" s="820">
        <v>1.870321643186166</v>
      </c>
    </row>
    <row r="31" spans="1:31">
      <c r="A31" s="3"/>
      <c r="B31" s="6" t="s">
        <v>161</v>
      </c>
      <c r="C31" s="819">
        <v>0</v>
      </c>
      <c r="D31" s="819">
        <v>0</v>
      </c>
      <c r="E31" s="819">
        <v>0</v>
      </c>
      <c r="F31" s="820">
        <v>0</v>
      </c>
      <c r="G31" s="819">
        <v>0</v>
      </c>
      <c r="H31" s="819">
        <v>0</v>
      </c>
      <c r="I31" s="819">
        <v>1.868101116E-6</v>
      </c>
      <c r="J31" s="819">
        <v>6.1164917887635999E-2</v>
      </c>
      <c r="K31" s="819">
        <v>0</v>
      </c>
      <c r="L31" s="819">
        <v>7.0941120833669206E-3</v>
      </c>
      <c r="M31" s="819">
        <v>0</v>
      </c>
      <c r="N31" s="819">
        <v>0</v>
      </c>
      <c r="O31" s="819">
        <v>0</v>
      </c>
      <c r="P31" s="819">
        <v>0</v>
      </c>
      <c r="Q31" s="819">
        <v>0</v>
      </c>
      <c r="R31" s="820">
        <v>6.8260898072118922E-2</v>
      </c>
      <c r="S31" s="819">
        <v>0</v>
      </c>
      <c r="T31" s="819">
        <v>0</v>
      </c>
      <c r="U31" s="819">
        <v>0</v>
      </c>
      <c r="V31" s="820">
        <v>0</v>
      </c>
      <c r="W31" s="820">
        <v>6.8260898072118922E-2</v>
      </c>
      <c r="X31" s="819">
        <v>0</v>
      </c>
      <c r="Y31" s="819">
        <v>0</v>
      </c>
      <c r="Z31" s="819">
        <v>0</v>
      </c>
      <c r="AA31" s="821">
        <v>0</v>
      </c>
      <c r="AB31" s="821">
        <v>0</v>
      </c>
      <c r="AC31" s="820">
        <v>6.8260898072118922E-2</v>
      </c>
    </row>
    <row r="32" spans="1:31">
      <c r="A32" s="4"/>
      <c r="B32" s="126" t="s">
        <v>162</v>
      </c>
      <c r="C32" s="837">
        <v>0</v>
      </c>
      <c r="D32" s="837">
        <v>0</v>
      </c>
      <c r="E32" s="837">
        <v>0</v>
      </c>
      <c r="F32" s="836">
        <v>0</v>
      </c>
      <c r="G32" s="837">
        <v>0</v>
      </c>
      <c r="H32" s="837">
        <v>0</v>
      </c>
      <c r="I32" s="837">
        <v>0</v>
      </c>
      <c r="J32" s="837">
        <v>2.07998395319023E-3</v>
      </c>
      <c r="K32" s="837">
        <v>0</v>
      </c>
      <c r="L32" s="837">
        <v>2.4736910929695002E-3</v>
      </c>
      <c r="M32" s="837">
        <v>0</v>
      </c>
      <c r="N32" s="837">
        <v>0</v>
      </c>
      <c r="O32" s="837">
        <v>0</v>
      </c>
      <c r="P32" s="837">
        <v>0</v>
      </c>
      <c r="Q32" s="837">
        <v>0</v>
      </c>
      <c r="R32" s="836">
        <v>4.5536750461597306E-3</v>
      </c>
      <c r="S32" s="837">
        <v>0</v>
      </c>
      <c r="T32" s="837">
        <v>0</v>
      </c>
      <c r="U32" s="837">
        <v>0</v>
      </c>
      <c r="V32" s="836">
        <v>0</v>
      </c>
      <c r="W32" s="836">
        <v>4.5536750461597306E-3</v>
      </c>
      <c r="X32" s="837">
        <v>0</v>
      </c>
      <c r="Y32" s="837">
        <v>0</v>
      </c>
      <c r="Z32" s="837">
        <v>3.7828296000000008E-5</v>
      </c>
      <c r="AA32" s="838">
        <v>0</v>
      </c>
      <c r="AB32" s="838">
        <v>0</v>
      </c>
      <c r="AC32" s="836">
        <v>4.5915033421597305E-3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9" t="s">
        <v>447</v>
      </c>
      <c r="B2" s="1160"/>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29" t="s">
        <v>449</v>
      </c>
      <c r="C6" s="160" t="s">
        <v>465</v>
      </c>
    </row>
    <row r="7" spans="1:3" s="11" customFormat="1">
      <c r="A7" s="131"/>
      <c r="B7" s="132"/>
      <c r="C7" s="133"/>
    </row>
    <row r="8" spans="1:3" s="11" customFormat="1" ht="60">
      <c r="A8" s="113" t="s">
        <v>148</v>
      </c>
      <c r="B8" s="129" t="s">
        <v>449</v>
      </c>
      <c r="C8" s="305" t="s">
        <v>466</v>
      </c>
    </row>
    <row r="9" spans="1:3" s="11" customFormat="1">
      <c r="A9" s="131"/>
      <c r="B9" s="132"/>
      <c r="C9" s="133"/>
    </row>
    <row r="10" spans="1:3" s="11" customFormat="1" ht="60">
      <c r="A10" s="113" t="s">
        <v>149</v>
      </c>
      <c r="B10" s="129" t="s">
        <v>449</v>
      </c>
      <c r="C10" s="305" t="s">
        <v>466</v>
      </c>
    </row>
    <row r="11" spans="1:3" s="11" customFormat="1">
      <c r="A11" s="131"/>
      <c r="B11" s="132"/>
      <c r="C11" s="133"/>
    </row>
    <row r="12" spans="1:3" s="11" customFormat="1" ht="60">
      <c r="A12" s="113" t="s">
        <v>371</v>
      </c>
      <c r="B12" s="129" t="s">
        <v>449</v>
      </c>
      <c r="C12" s="305" t="s">
        <v>466</v>
      </c>
    </row>
    <row r="13" spans="1:3" s="11" customFormat="1">
      <c r="A13" s="131"/>
      <c r="B13" s="132"/>
      <c r="C13" s="133"/>
    </row>
    <row r="14" spans="1:3" s="11" customFormat="1" ht="60">
      <c r="A14" s="113" t="s">
        <v>105</v>
      </c>
      <c r="B14" s="129" t="s">
        <v>467</v>
      </c>
      <c r="C14" s="305" t="s">
        <v>466</v>
      </c>
    </row>
    <row r="15" spans="1:3" s="11" customFormat="1" ht="63">
      <c r="A15" s="123"/>
      <c r="B15" s="129" t="s">
        <v>468</v>
      </c>
      <c r="C15" s="305" t="s">
        <v>472</v>
      </c>
    </row>
    <row r="16" spans="1:3" s="11" customFormat="1">
      <c r="A16" s="131"/>
      <c r="B16" s="132"/>
      <c r="C16" s="133"/>
    </row>
    <row r="17" spans="1:3" s="11" customFormat="1" ht="45">
      <c r="A17" s="113" t="s">
        <v>448</v>
      </c>
      <c r="B17" s="129" t="s">
        <v>517</v>
      </c>
      <c r="C17" s="160" t="s">
        <v>518</v>
      </c>
    </row>
    <row r="18" spans="1:3" s="11" customFormat="1">
      <c r="A18" s="131"/>
      <c r="B18" s="132"/>
      <c r="C18" s="133"/>
    </row>
    <row r="19" spans="1:3" s="11" customFormat="1" ht="60">
      <c r="A19" s="113" t="s">
        <v>374</v>
      </c>
      <c r="B19" s="304" t="s">
        <v>515</v>
      </c>
      <c r="C19" s="160" t="s">
        <v>516</v>
      </c>
    </row>
    <row r="20" spans="1:3" s="11" customFormat="1">
      <c r="A20" s="113"/>
      <c r="B20" s="129"/>
      <c r="C20" s="130"/>
    </row>
    <row r="21" spans="1:3" ht="21">
      <c r="A21" s="125" t="s">
        <v>451</v>
      </c>
      <c r="B21" s="124"/>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1" t="s">
        <v>187</v>
      </c>
      <c r="B1" s="1162" t="s">
        <v>188</v>
      </c>
      <c r="C1" s="1163"/>
      <c r="D1" s="1163"/>
      <c r="E1" s="1163"/>
      <c r="F1" s="1163"/>
      <c r="G1" s="1163"/>
      <c r="H1" s="1163"/>
      <c r="I1" s="1163"/>
      <c r="J1" s="1163"/>
      <c r="K1" s="1163"/>
      <c r="L1" s="1163"/>
      <c r="M1" s="1163"/>
      <c r="N1" s="1163"/>
      <c r="O1" s="1163"/>
      <c r="P1" s="1163"/>
    </row>
    <row r="2" spans="1:16" s="324"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6" s="324"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512</v>
      </c>
      <c r="B5" s="30">
        <f>SUM(OV_ov_ele_kWh,OV_rest_ele_kWh)/1000</f>
        <v>1944.28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452</v>
      </c>
      <c r="B8" s="21">
        <f>MAX((B5+B6),0)</f>
        <v>1944.28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0.18511569550327223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359.91674445310213</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D33" sqref="D33"/>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1" t="s">
        <v>148</v>
      </c>
      <c r="B1" s="1162" t="s">
        <v>188</v>
      </c>
      <c r="C1" s="1163"/>
      <c r="D1" s="1163"/>
      <c r="E1" s="1163"/>
      <c r="F1" s="1163"/>
      <c r="G1" s="1163"/>
      <c r="H1" s="1163"/>
      <c r="I1" s="1163"/>
      <c r="J1" s="1163"/>
      <c r="K1" s="1163"/>
      <c r="L1" s="1163"/>
      <c r="M1" s="1163"/>
      <c r="N1" s="1163"/>
      <c r="O1" s="1163"/>
      <c r="P1" s="1163"/>
    </row>
    <row r="2" spans="1:16" s="324"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6" s="324"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514</v>
      </c>
      <c r="B5" s="30">
        <f>IF(ISERROR(SUM(HH_hh_ele_kWh,HH_rest_kWh)/1000),0,SUM(HH_hh_ele_kWh,HH_rest_kWh)/1000)</f>
        <v>34392.23547</v>
      </c>
      <c r="C5" s="17">
        <f>IF(ISERROR('Eigen informatie GS &amp; warmtenet'!B59),0,'Eigen informatie GS &amp; warmtenet'!B59)</f>
        <v>0</v>
      </c>
      <c r="D5" s="30">
        <f>(SUM(HH_hh_gas_kWh,HH_rest_gas_kWh)/1000)*0.902</f>
        <v>112102.25586824</v>
      </c>
      <c r="E5" s="17">
        <f>B32*B41</f>
        <v>1880.996274276172</v>
      </c>
      <c r="F5" s="17">
        <f>B36*B45</f>
        <v>36198.453075363897</v>
      </c>
      <c r="G5" s="18"/>
      <c r="H5" s="17"/>
      <c r="I5" s="17"/>
      <c r="J5" s="17">
        <f>B35*B44+C35*C44</f>
        <v>185.23133722255437</v>
      </c>
      <c r="K5" s="17"/>
      <c r="L5" s="17"/>
      <c r="M5" s="17"/>
      <c r="N5" s="17">
        <f>B34*B43+C34*C43</f>
        <v>12635.373325996683</v>
      </c>
      <c r="O5" s="17">
        <f>B52*B53*B54</f>
        <v>620.97892266814097</v>
      </c>
      <c r="P5" s="17">
        <f>B60*B61*B62/1000-B60*B61*B62/1000/B63</f>
        <v>926.98841907628207</v>
      </c>
    </row>
    <row r="6" spans="1:16">
      <c r="A6" s="16" t="s">
        <v>573</v>
      </c>
      <c r="B6" s="738">
        <f>kWh_PV_kleiner_dan_10kW</f>
        <v>6810.394185248233</v>
      </c>
      <c r="C6" s="739"/>
      <c r="D6" s="739"/>
      <c r="E6" s="740"/>
      <c r="F6" s="740"/>
      <c r="G6" s="740"/>
      <c r="H6" s="740"/>
      <c r="I6" s="740"/>
      <c r="J6" s="740"/>
      <c r="K6" s="740"/>
      <c r="L6" s="740"/>
      <c r="M6" s="740"/>
      <c r="N6" s="740"/>
      <c r="O6" s="740"/>
      <c r="P6" s="740"/>
    </row>
    <row r="7" spans="1:16">
      <c r="B7" s="19"/>
      <c r="C7" s="19"/>
      <c r="D7" s="19"/>
      <c r="E7" s="19"/>
      <c r="F7" s="19"/>
      <c r="G7" s="19"/>
      <c r="H7" s="19"/>
      <c r="I7" s="19"/>
      <c r="J7" s="19"/>
      <c r="K7" s="19"/>
      <c r="L7" s="19"/>
      <c r="M7" s="19"/>
      <c r="N7" s="19"/>
      <c r="O7" s="19"/>
      <c r="P7" s="19"/>
    </row>
    <row r="8" spans="1:16" s="8" customFormat="1">
      <c r="A8" s="20" t="s">
        <v>205</v>
      </c>
      <c r="B8" s="21">
        <f>B5+B6</f>
        <v>41202.629655248231</v>
      </c>
      <c r="C8" s="21">
        <f>C5</f>
        <v>0</v>
      </c>
      <c r="D8" s="21">
        <f>D5</f>
        <v>112102.25586824</v>
      </c>
      <c r="E8" s="21">
        <f>E5</f>
        <v>1880.996274276172</v>
      </c>
      <c r="F8" s="21">
        <f>F5</f>
        <v>36198.453075363897</v>
      </c>
      <c r="G8" s="21"/>
      <c r="H8" s="21"/>
      <c r="I8" s="21"/>
      <c r="J8" s="21">
        <f>J5</f>
        <v>185.23133722255437</v>
      </c>
      <c r="K8" s="21"/>
      <c r="L8" s="21">
        <f>L5</f>
        <v>0</v>
      </c>
      <c r="M8" s="21">
        <f>M5</f>
        <v>0</v>
      </c>
      <c r="N8" s="21">
        <f>N5</f>
        <v>12635.373325996683</v>
      </c>
      <c r="O8" s="21">
        <f>O5</f>
        <v>620.97892266814097</v>
      </c>
      <c r="P8" s="21">
        <f>P5</f>
        <v>926.98841907628207</v>
      </c>
    </row>
    <row r="9" spans="1:16">
      <c r="B9" s="19"/>
      <c r="C9" s="19"/>
      <c r="D9" s="255"/>
      <c r="E9" s="19"/>
      <c r="F9" s="19"/>
      <c r="G9" s="19"/>
      <c r="H9" s="19"/>
      <c r="I9" s="19"/>
      <c r="J9" s="19"/>
      <c r="K9" s="19"/>
      <c r="L9" s="19"/>
      <c r="M9" s="19"/>
      <c r="N9" s="19"/>
      <c r="O9" s="19"/>
      <c r="P9" s="19"/>
    </row>
    <row r="10" spans="1:16">
      <c r="A10" s="24" t="s">
        <v>207</v>
      </c>
      <c r="B10" s="25">
        <f ca="1">'EF ele_warmte'!B12</f>
        <v>0.18511569550327223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7627.253445195026</v>
      </c>
      <c r="C12" s="23">
        <f ca="1">C10*C8</f>
        <v>0</v>
      </c>
      <c r="D12" s="23">
        <f>D8*D10</f>
        <v>22644.655685384481</v>
      </c>
      <c r="E12" s="23">
        <f>E10*E8</f>
        <v>426.98615426069108</v>
      </c>
      <c r="F12" s="23">
        <f>F10*F8</f>
        <v>9664.9869711221618</v>
      </c>
      <c r="G12" s="23"/>
      <c r="H12" s="23"/>
      <c r="I12" s="23"/>
      <c r="J12" s="23">
        <f>J10*J8</f>
        <v>65.571893376784246</v>
      </c>
      <c r="K12" s="23"/>
      <c r="L12" s="23">
        <f>L10*L8</f>
        <v>0</v>
      </c>
      <c r="M12" s="23">
        <f>M10*M8</f>
        <v>0</v>
      </c>
      <c r="N12" s="23">
        <f>N10*N8</f>
        <v>0</v>
      </c>
      <c r="O12" s="23">
        <f>O10*O8</f>
        <v>0</v>
      </c>
      <c r="P12" s="23">
        <f>P10*P8</f>
        <v>0</v>
      </c>
    </row>
    <row r="15" spans="1:16">
      <c r="A15" s="190" t="s">
        <v>463</v>
      </c>
      <c r="B15" s="200"/>
      <c r="C15" s="200"/>
      <c r="D15" s="222"/>
    </row>
    <row r="16" spans="1:16">
      <c r="A16" s="3"/>
      <c r="B16" s="43"/>
      <c r="C16" s="43"/>
      <c r="D16" s="171"/>
    </row>
    <row r="17" spans="1:7">
      <c r="A17" s="223" t="s">
        <v>858</v>
      </c>
      <c r="B17" s="199" t="s">
        <v>851</v>
      </c>
      <c r="C17" s="199" t="s">
        <v>852</v>
      </c>
      <c r="D17" s="224" t="s">
        <v>175</v>
      </c>
      <c r="E17" s="15"/>
    </row>
    <row r="18" spans="1:7">
      <c r="A18" s="242" t="s">
        <v>77</v>
      </c>
      <c r="B18" s="1024">
        <v>0.64685065467382474</v>
      </c>
      <c r="C18" s="1024"/>
      <c r="D18" s="294" t="s">
        <v>862</v>
      </c>
      <c r="E18" s="15"/>
    </row>
    <row r="19" spans="1:7">
      <c r="A19" s="242" t="s">
        <v>853</v>
      </c>
      <c r="B19" s="1024">
        <v>8.5325720756943713E-3</v>
      </c>
      <c r="C19" s="1024"/>
      <c r="D19" s="226"/>
      <c r="E19" s="15"/>
    </row>
    <row r="20" spans="1:7">
      <c r="A20" s="242" t="s">
        <v>854</v>
      </c>
      <c r="B20" s="1024"/>
      <c r="C20" s="1024"/>
      <c r="D20" s="226"/>
      <c r="E20" s="15"/>
    </row>
    <row r="21" spans="1:7">
      <c r="A21" s="242" t="s">
        <v>855</v>
      </c>
      <c r="B21" s="1024">
        <v>1.1273167330204751E-2</v>
      </c>
      <c r="C21" s="1024"/>
      <c r="D21" s="226"/>
      <c r="E21" s="15"/>
    </row>
    <row r="22" spans="1:7">
      <c r="A22" s="242" t="s">
        <v>856</v>
      </c>
      <c r="B22" s="1024">
        <v>0.23437861565460738</v>
      </c>
      <c r="C22" s="1024"/>
      <c r="D22" s="226"/>
      <c r="E22" s="15"/>
    </row>
    <row r="23" spans="1:7">
      <c r="A23" s="242" t="s">
        <v>78</v>
      </c>
      <c r="B23" s="1024"/>
      <c r="C23" s="1024"/>
      <c r="D23" s="225"/>
      <c r="E23" s="52"/>
    </row>
    <row r="24" spans="1:7">
      <c r="A24" s="242" t="s">
        <v>857</v>
      </c>
      <c r="B24" s="1024">
        <v>9.8964990265668754E-2</v>
      </c>
      <c r="C24" s="1024">
        <v>0.17256245783263693</v>
      </c>
      <c r="D24" s="225"/>
      <c r="E24" s="15"/>
    </row>
    <row r="25" spans="1:7" s="15" customFormat="1">
      <c r="A25" s="168"/>
      <c r="B25" s="29"/>
      <c r="C25" s="36"/>
      <c r="D25" s="225"/>
    </row>
    <row r="26" spans="1:7" s="15" customFormat="1">
      <c r="A26" s="227" t="s">
        <v>773</v>
      </c>
      <c r="B26" s="37">
        <f>aantalHuishoudens</f>
        <v>10399</v>
      </c>
      <c r="C26" s="36"/>
      <c r="D26" s="225"/>
    </row>
    <row r="27" spans="1:7" s="15" customFormat="1">
      <c r="A27" s="227" t="s">
        <v>774</v>
      </c>
      <c r="B27" s="37">
        <f>SUM(HH_hh_gas_aantal,HH_rest_gas_aantal)</f>
        <v>8015</v>
      </c>
      <c r="C27" s="36"/>
      <c r="D27" s="225"/>
    </row>
    <row r="28" spans="1:7" s="15" customFormat="1">
      <c r="A28" s="228"/>
      <c r="B28" s="29"/>
      <c r="C28" s="36"/>
      <c r="D28" s="229"/>
    </row>
    <row r="29" spans="1:7" s="841" customFormat="1">
      <c r="A29" s="1025"/>
      <c r="B29" s="29"/>
      <c r="C29" s="36"/>
      <c r="D29" s="229"/>
    </row>
    <row r="30" spans="1:7">
      <c r="A30" s="169" t="s">
        <v>455</v>
      </c>
      <c r="B30" s="166" t="s">
        <v>771</v>
      </c>
      <c r="C30" s="164" t="s">
        <v>772</v>
      </c>
      <c r="D30" s="171"/>
      <c r="G30" s="15"/>
    </row>
    <row r="31" spans="1:7">
      <c r="A31" s="168" t="s">
        <v>859</v>
      </c>
      <c r="B31" s="165">
        <f>B27-(0.05*B27)</f>
        <v>7614.25</v>
      </c>
      <c r="C31" s="165" t="s">
        <v>104</v>
      </c>
      <c r="D31" s="230"/>
      <c r="G31" s="15"/>
    </row>
    <row r="32" spans="1:7">
      <c r="A32" s="168" t="s">
        <v>72</v>
      </c>
      <c r="B32" s="165">
        <f>IF((B21*($B$26-($B$27-0.05*$B$27)-$B$60))&lt;0,0,B21*($B$26-($B$27-0.05*$B$27)-$B$60))</f>
        <v>30.400913997729663</v>
      </c>
      <c r="C32" s="165" t="s">
        <v>104</v>
      </c>
      <c r="D32" s="230"/>
      <c r="G32" s="15"/>
    </row>
    <row r="33" spans="1:7">
      <c r="A33" s="168" t="s">
        <v>73</v>
      </c>
      <c r="B33" s="165">
        <f>IF((B22*($B$26-($B$27-0.05*$B$27)-$B$60))&lt;0,0,B22*($B$26-($B$27-0.05*$B$27)-$B$60))</f>
        <v>632.06053176656246</v>
      </c>
      <c r="C33" s="165" t="s">
        <v>104</v>
      </c>
      <c r="D33" s="230"/>
      <c r="G33" s="15"/>
    </row>
    <row r="34" spans="1:7">
      <c r="A34" s="168" t="s">
        <v>74</v>
      </c>
      <c r="B34" s="165">
        <f>IF((B24*($B$26-($B$27-0.05*$B$27)-$B$60))&lt;0,0,B24*($B$26-($B$27-0.05*$B$27)-$B$60))</f>
        <v>266.88383749894223</v>
      </c>
      <c r="C34" s="165">
        <f>B26*C24</f>
        <v>1794.4769990015914</v>
      </c>
      <c r="D34" s="230"/>
      <c r="G34" s="15"/>
    </row>
    <row r="35" spans="1:7">
      <c r="A35" s="168" t="s">
        <v>76</v>
      </c>
      <c r="B35" s="165">
        <f>IF((B19*($B$26-($B$27-0.05*$B$27)-$B$60))&lt;0,0,B19*($B$26-($B$27-0.05*$B$27)-$B$60))</f>
        <v>23.010213745128794</v>
      </c>
      <c r="C35" s="165">
        <f>B35/2</f>
        <v>11.505106872564397</v>
      </c>
      <c r="D35" s="231"/>
      <c r="G35" s="15"/>
    </row>
    <row r="36" spans="1:7">
      <c r="A36" s="168" t="s">
        <v>77</v>
      </c>
      <c r="B36" s="165">
        <f>IF((B18*($B$26-($B$27-0.05*$B$27)-$B$60))&lt;0,0,B18*($B$26-($B$27-0.05*$B$27)-$B$60))</f>
        <v>1744.394502991637</v>
      </c>
      <c r="C36" s="165" t="s">
        <v>104</v>
      </c>
      <c r="D36" s="231"/>
      <c r="G36" s="15"/>
    </row>
    <row r="37" spans="1:7">
      <c r="A37" s="168" t="s">
        <v>78</v>
      </c>
      <c r="B37" s="165">
        <f>B60</f>
        <v>88</v>
      </c>
      <c r="C37" s="165" t="s">
        <v>104</v>
      </c>
      <c r="D37" s="230"/>
      <c r="G37" s="15"/>
    </row>
    <row r="38" spans="1:7">
      <c r="A38" s="3"/>
      <c r="B38" s="43"/>
      <c r="C38" s="43"/>
      <c r="D38" s="171"/>
    </row>
    <row r="39" spans="1:7">
      <c r="A39" s="169" t="s">
        <v>458</v>
      </c>
      <c r="B39" s="164" t="s">
        <v>769</v>
      </c>
      <c r="C39" s="164" t="s">
        <v>770</v>
      </c>
      <c r="D39" s="294" t="s">
        <v>862</v>
      </c>
      <c r="E39" s="161"/>
      <c r="F39" s="161"/>
    </row>
    <row r="40" spans="1:7">
      <c r="A40" s="168" t="s">
        <v>70</v>
      </c>
      <c r="B40" s="162">
        <v>13.9508811865783</v>
      </c>
      <c r="C40" s="167" t="s">
        <v>104</v>
      </c>
      <c r="D40" s="170"/>
      <c r="E40" s="162"/>
      <c r="F40" s="162"/>
    </row>
    <row r="41" spans="1:7">
      <c r="A41" s="168" t="s">
        <v>72</v>
      </c>
      <c r="B41" s="162">
        <v>61.873017186807104</v>
      </c>
      <c r="C41" s="167" t="s">
        <v>104</v>
      </c>
      <c r="D41" s="170"/>
      <c r="E41" s="162"/>
      <c r="F41" s="162"/>
    </row>
    <row r="42" spans="1:7">
      <c r="A42" s="168" t="s">
        <v>73</v>
      </c>
      <c r="B42" s="162">
        <v>9.0243929252199493</v>
      </c>
      <c r="C42" s="167" t="s">
        <v>104</v>
      </c>
      <c r="D42" s="170"/>
      <c r="E42" s="162"/>
      <c r="F42" s="162"/>
    </row>
    <row r="43" spans="1:7">
      <c r="A43" s="168" t="s">
        <v>74</v>
      </c>
      <c r="B43" s="167">
        <v>9.591301268957265</v>
      </c>
      <c r="C43" s="167">
        <v>5.6147891794292981</v>
      </c>
      <c r="D43" s="170"/>
      <c r="E43" s="162"/>
      <c r="F43" s="162"/>
    </row>
    <row r="44" spans="1:7">
      <c r="A44" s="168" t="s">
        <v>76</v>
      </c>
      <c r="B44" s="162">
        <v>6.3435809167690893</v>
      </c>
      <c r="C44" s="167">
        <v>3.4127613809315172</v>
      </c>
      <c r="D44" s="170"/>
      <c r="E44" s="162"/>
      <c r="F44" s="162"/>
    </row>
    <row r="45" spans="1:7">
      <c r="A45" s="168" t="s">
        <v>77</v>
      </c>
      <c r="B45" s="167">
        <v>20.751299670621261</v>
      </c>
      <c r="C45" s="167" t="s">
        <v>104</v>
      </c>
      <c r="D45" s="171"/>
      <c r="E45" s="162"/>
      <c r="F45" s="162"/>
    </row>
    <row r="46" spans="1:7">
      <c r="A46" s="168" t="s">
        <v>78</v>
      </c>
      <c r="B46" s="167" t="s">
        <v>860</v>
      </c>
      <c r="C46" s="167" t="s">
        <v>104</v>
      </c>
      <c r="D46" s="171"/>
      <c r="E46" s="162"/>
      <c r="F46" s="162"/>
    </row>
    <row r="47" spans="1:7">
      <c r="A47" s="172"/>
      <c r="B47" s="232"/>
      <c r="C47" s="232"/>
      <c r="D47" s="173"/>
      <c r="E47" s="162"/>
      <c r="F47" s="162"/>
    </row>
    <row r="48" spans="1:7">
      <c r="E48" s="15"/>
      <c r="F48" s="15"/>
    </row>
    <row r="49" spans="1:4">
      <c r="A49" s="191" t="s">
        <v>456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313</v>
      </c>
      <c r="C52" s="43"/>
      <c r="D52" s="170"/>
    </row>
    <row r="53" spans="1:4">
      <c r="A53" s="168" t="s">
        <v>453</v>
      </c>
      <c r="B53" s="307">
        <v>5.3300370073084435</v>
      </c>
      <c r="C53" s="43"/>
      <c r="D53" s="301" t="s">
        <v>793</v>
      </c>
    </row>
    <row r="54" spans="1:4">
      <c r="A54" s="242" t="s">
        <v>454</v>
      </c>
      <c r="B54" s="312">
        <f>1.34/3.6</f>
        <v>0.37222222222222223</v>
      </c>
      <c r="C54" s="43" t="s">
        <v>208</v>
      </c>
      <c r="D54" s="301" t="s">
        <v>794</v>
      </c>
    </row>
    <row r="55" spans="1:4">
      <c r="A55" s="172"/>
      <c r="B55" s="243"/>
      <c r="C55" s="175"/>
      <c r="D55" s="176"/>
    </row>
    <row r="56" spans="1:4">
      <c r="D56" s="163"/>
    </row>
    <row r="57" spans="1:4">
      <c r="A57" s="191" t="s">
        <v>457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88</v>
      </c>
      <c r="C60" s="32"/>
      <c r="D60" s="174"/>
    </row>
    <row r="61" spans="1:4">
      <c r="A61" s="168" t="s">
        <v>423</v>
      </c>
      <c r="B61" s="307">
        <v>8.5956185892968069</v>
      </c>
      <c r="C61" s="32" t="s">
        <v>251</v>
      </c>
      <c r="D61" s="301" t="s">
        <v>793</v>
      </c>
    </row>
    <row r="62" spans="1:4">
      <c r="A62" s="168" t="s">
        <v>424</v>
      </c>
      <c r="B62" s="307">
        <v>1671.14092090028</v>
      </c>
      <c r="C62" s="32" t="s">
        <v>253</v>
      </c>
      <c r="D62" s="301" t="s">
        <v>793</v>
      </c>
    </row>
    <row r="63" spans="1:4">
      <c r="A63" s="168" t="s">
        <v>386</v>
      </c>
      <c r="B63" s="307">
        <v>3.75</v>
      </c>
      <c r="C63" s="43"/>
      <c r="D63" s="301" t="s">
        <v>794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149</v>
      </c>
      <c r="B1" s="1162" t="s">
        <v>188</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8"/>
      <c r="G4" s="14"/>
      <c r="H4" s="14"/>
      <c r="I4" s="14"/>
      <c r="J4" s="14"/>
      <c r="K4" s="14"/>
      <c r="L4" s="14"/>
      <c r="M4" s="14"/>
      <c r="N4" s="14"/>
      <c r="O4" s="14"/>
      <c r="P4" s="14"/>
      <c r="R4" s="6"/>
    </row>
    <row r="5" spans="1:18">
      <c r="A5" s="16" t="s">
        <v>247</v>
      </c>
      <c r="B5" s="30">
        <f>SUM(B6:B12)</f>
        <v>34424.371465000004</v>
      </c>
      <c r="C5" s="17">
        <f>IF(ISERROR('Eigen informatie GS &amp; warmtenet'!B60),0,'Eigen informatie GS &amp; warmtenet'!B60)</f>
        <v>0</v>
      </c>
      <c r="D5" s="30">
        <f>SUM(D6:D12)</f>
        <v>36411.981303852001</v>
      </c>
      <c r="E5" s="17">
        <f>SUM(E6:E12)</f>
        <v>92.861222857229379</v>
      </c>
      <c r="F5" s="17">
        <f>SUM(F6:F12)</f>
        <v>7763.4661107825023</v>
      </c>
      <c r="G5" s="18"/>
      <c r="H5" s="17"/>
      <c r="I5" s="17"/>
      <c r="J5" s="17">
        <f>SUM(J6:J12)</f>
        <v>6.4187403418737077E-2</v>
      </c>
      <c r="K5" s="17"/>
      <c r="L5" s="17"/>
      <c r="M5" s="17"/>
      <c r="N5" s="17">
        <f>SUM(N6:N12)</f>
        <v>2368.7382237788943</v>
      </c>
      <c r="O5" s="17">
        <f>B38*B39*B40</f>
        <v>4.8972607658411542</v>
      </c>
      <c r="P5" s="17">
        <f>B46*B47*B48/1000-B46*B47*B48/1000/B49</f>
        <v>157.61741491948504</v>
      </c>
      <c r="R5" s="32"/>
    </row>
    <row r="6" spans="1:18">
      <c r="A6" s="32" t="s">
        <v>53</v>
      </c>
      <c r="B6" s="37">
        <f>B26</f>
        <v>9822.0774739999997</v>
      </c>
      <c r="C6" s="33"/>
      <c r="D6" s="37">
        <f>IF(ISERROR(TER_kantoor_gas_kWh/1000),0,TER_kantoor_gas_kWh/1000)*0.902</f>
        <v>12140.700932162001</v>
      </c>
      <c r="E6" s="33">
        <f>$C$26*'E Balans VL '!I12/100/3.6*1000000</f>
        <v>2.5648260642991167</v>
      </c>
      <c r="F6" s="33">
        <f>$C$26*('E Balans VL '!L12+'E Balans VL '!N12)/100/3.6*1000000</f>
        <v>981.38464769322229</v>
      </c>
      <c r="G6" s="34"/>
      <c r="H6" s="33"/>
      <c r="I6" s="33"/>
      <c r="J6" s="33">
        <f>$C$26*('E Balans VL '!D12+'E Balans VL '!E12)/100/3.6*1000000</f>
        <v>0</v>
      </c>
      <c r="K6" s="33"/>
      <c r="L6" s="33"/>
      <c r="M6" s="33"/>
      <c r="N6" s="33">
        <f>$C$26*'E Balans VL '!Y12/100/3.6*1000000</f>
        <v>6.9638017022168439</v>
      </c>
      <c r="O6" s="33"/>
      <c r="P6" s="33"/>
      <c r="R6" s="32"/>
    </row>
    <row r="7" spans="1:18">
      <c r="A7" s="32" t="s">
        <v>52</v>
      </c>
      <c r="B7" s="37">
        <f t="shared" ref="B7:B12" si="0">B27</f>
        <v>2864.9169779999997</v>
      </c>
      <c r="C7" s="33"/>
      <c r="D7" s="37">
        <f>IF(ISERROR(TER_horeca_gas_kWh/1000),0,TER_horeca_gas_kWh/1000)*0.902</f>
        <v>4636.1451410780001</v>
      </c>
      <c r="E7" s="33">
        <f>$C$27*'E Balans VL '!I9/100/3.6*1000000</f>
        <v>0</v>
      </c>
      <c r="F7" s="33">
        <f>$C$27*('E Balans VL '!L9+'E Balans VL '!N9)/100/3.6*1000000</f>
        <v>235.28552391383801</v>
      </c>
      <c r="G7" s="34"/>
      <c r="H7" s="33"/>
      <c r="I7" s="33"/>
      <c r="J7" s="33">
        <f>$C$27*('E Balans VL '!D9+'E Balans VL '!E9)/100/3.6*1000000</f>
        <v>0</v>
      </c>
      <c r="K7" s="33"/>
      <c r="L7" s="33"/>
      <c r="M7" s="33"/>
      <c r="N7" s="33">
        <f>$C$27*'E Balans VL '!Y9/100/3.6*1000000</f>
        <v>36.204163236110695</v>
      </c>
      <c r="O7" s="33"/>
      <c r="P7" s="33"/>
      <c r="R7" s="32"/>
    </row>
    <row r="8" spans="1:18">
      <c r="A8" s="6" t="s">
        <v>51</v>
      </c>
      <c r="B8" s="37">
        <f t="shared" si="0"/>
        <v>5523.6238010000006</v>
      </c>
      <c r="C8" s="33"/>
      <c r="D8" s="37">
        <f>IF(ISERROR(TER_handel_gas_kWh/1000),0,TER_handel_gas_kWh/1000)*0.902</f>
        <v>2839.6415800939999</v>
      </c>
      <c r="E8" s="33">
        <f>$C$28*'E Balans VL '!I13/100/3.6*1000000</f>
        <v>20.300766920464266</v>
      </c>
      <c r="F8" s="33">
        <f>$C$28*('E Balans VL '!L13+'E Balans VL '!N13)/100/3.6*1000000</f>
        <v>527.59914873338414</v>
      </c>
      <c r="G8" s="34"/>
      <c r="H8" s="33"/>
      <c r="I8" s="33"/>
      <c r="J8" s="33">
        <f>$C$28*('E Balans VL '!D13+'E Balans VL '!E13)/100/3.6*1000000</f>
        <v>0</v>
      </c>
      <c r="K8" s="33"/>
      <c r="L8" s="33"/>
      <c r="M8" s="33"/>
      <c r="N8" s="33">
        <f>$C$28*'E Balans VL '!Y13/100/3.6*1000000</f>
        <v>2.1855681465997283</v>
      </c>
      <c r="O8" s="33"/>
      <c r="P8" s="33"/>
      <c r="R8" s="32"/>
    </row>
    <row r="9" spans="1:18">
      <c r="A9" s="32" t="s">
        <v>50</v>
      </c>
      <c r="B9" s="37">
        <f t="shared" si="0"/>
        <v>1157.281389</v>
      </c>
      <c r="C9" s="33"/>
      <c r="D9" s="37">
        <f>IF(ISERROR(TER_gezond_gas_kWh/1000),0,TER_gezond_gas_kWh/1000)*0.902</f>
        <v>3807.7477421500007</v>
      </c>
      <c r="E9" s="33">
        <f>$C$29*'E Balans VL '!I10/100/3.6*1000000</f>
        <v>0</v>
      </c>
      <c r="F9" s="33">
        <f>$C$29*('E Balans VL '!L10+'E Balans VL '!N10)/100/3.6*1000000</f>
        <v>78.179747266338055</v>
      </c>
      <c r="G9" s="34"/>
      <c r="H9" s="33"/>
      <c r="I9" s="33"/>
      <c r="J9" s="33">
        <f>$C$29*('E Balans VL '!D10+'E Balans VL '!E10)/100/3.6*1000000</f>
        <v>0</v>
      </c>
      <c r="K9" s="33"/>
      <c r="L9" s="33"/>
      <c r="M9" s="33"/>
      <c r="N9" s="33">
        <f>$C$29*'E Balans VL '!Y10/100/3.6*1000000</f>
        <v>9.0045126624035543</v>
      </c>
      <c r="O9" s="33"/>
      <c r="P9" s="33"/>
      <c r="R9" s="32"/>
    </row>
    <row r="10" spans="1:18">
      <c r="A10" s="32" t="s">
        <v>49</v>
      </c>
      <c r="B10" s="37">
        <f t="shared" si="0"/>
        <v>4458.3087029999997</v>
      </c>
      <c r="C10" s="33"/>
      <c r="D10" s="37">
        <f>IF(ISERROR(TER_ander_gas_kWh/1000),0,TER_ander_gas_kWh/1000)*0.902</f>
        <v>2903.9495014199997</v>
      </c>
      <c r="E10" s="33">
        <f>$C$30*'E Balans VL '!I14/100/3.6*1000000</f>
        <v>40.427075244033745</v>
      </c>
      <c r="F10" s="33">
        <f>$C$30*('E Balans VL '!L14+'E Balans VL '!N14)/100/3.6*1000000</f>
        <v>3524.0570516732178</v>
      </c>
      <c r="G10" s="34"/>
      <c r="H10" s="33"/>
      <c r="I10" s="33"/>
      <c r="J10" s="33">
        <f>$C$30*('E Balans VL '!D14+'E Balans VL '!E14)/100/3.6*1000000</f>
        <v>4.412621503229644E-2</v>
      </c>
      <c r="K10" s="33"/>
      <c r="L10" s="33"/>
      <c r="M10" s="33"/>
      <c r="N10" s="33">
        <f>$C$30*'E Balans VL '!Y14/100/3.6*1000000</f>
        <v>1573.5557042690052</v>
      </c>
      <c r="O10" s="33"/>
      <c r="P10" s="33"/>
      <c r="R10" s="32"/>
    </row>
    <row r="11" spans="1:18">
      <c r="A11" s="32" t="s">
        <v>54</v>
      </c>
      <c r="B11" s="37">
        <f t="shared" si="0"/>
        <v>594.23459400000002</v>
      </c>
      <c r="C11" s="33"/>
      <c r="D11" s="37">
        <f>IF(ISERROR(TER_onderwijs_gas_kWh/1000),0,TER_onderwijs_gas_kWh/1000)*0.902</f>
        <v>2342.7457978100001</v>
      </c>
      <c r="E11" s="33">
        <f>$C$31*'E Balans VL '!I11/100/3.6*1000000</f>
        <v>0</v>
      </c>
      <c r="F11" s="33">
        <f>$C$31*('E Balans VL '!L11+'E Balans VL '!N11)/100/3.6*1000000</f>
        <v>70.721906321150669</v>
      </c>
      <c r="G11" s="34"/>
      <c r="H11" s="33"/>
      <c r="I11" s="33"/>
      <c r="J11" s="33">
        <f>$C$31*('E Balans VL '!D11+'E Balans VL '!E11)/100/3.6*1000000</f>
        <v>0</v>
      </c>
      <c r="K11" s="33"/>
      <c r="L11" s="33"/>
      <c r="M11" s="33"/>
      <c r="N11" s="33">
        <f>$C$31*'E Balans VL '!Y11/100/3.6*1000000</f>
        <v>1.321563237606969</v>
      </c>
      <c r="O11" s="33"/>
      <c r="P11" s="33"/>
      <c r="R11" s="32"/>
    </row>
    <row r="12" spans="1:18">
      <c r="A12" s="32" t="s">
        <v>248</v>
      </c>
      <c r="B12" s="37">
        <f t="shared" si="0"/>
        <v>10003.928526</v>
      </c>
      <c r="C12" s="33"/>
      <c r="D12" s="37">
        <f>IF(ISERROR(TER_rest_gas_kWh/1000),0,TER_rest_gas_kWh/1000)*0.902</f>
        <v>7741.0506091380003</v>
      </c>
      <c r="E12" s="33">
        <f>$C$32*'E Balans VL '!I8/100/3.6*1000000</f>
        <v>29.568554628432256</v>
      </c>
      <c r="F12" s="33">
        <f>$C$32*('E Balans VL '!L8+'E Balans VL '!N8)/100/3.6*1000000</f>
        <v>2346.2380851813514</v>
      </c>
      <c r="G12" s="34"/>
      <c r="H12" s="33"/>
      <c r="I12" s="33"/>
      <c r="J12" s="33">
        <f>$C$32*('E Balans VL '!D8+'E Balans VL '!E8)/100/3.6*1000000</f>
        <v>2.0061188386440641E-2</v>
      </c>
      <c r="K12" s="33"/>
      <c r="L12" s="33"/>
      <c r="M12" s="33"/>
      <c r="N12" s="33">
        <f>$C$32*'E Balans VL '!Y8/100/3.6*1000000</f>
        <v>739.50291052495118</v>
      </c>
      <c r="O12" s="33"/>
      <c r="P12" s="33"/>
      <c r="R12" s="32"/>
    </row>
    <row r="13" spans="1:18">
      <c r="A13" s="16" t="s">
        <v>464</v>
      </c>
      <c r="B13" s="244">
        <f ca="1">'lokale energieproductie'!N42+'lokale energieproductie'!N35</f>
        <v>67.5</v>
      </c>
      <c r="C13" s="244">
        <f ca="1">'lokale energieproductie'!O42+'lokale energieproductie'!O35</f>
        <v>96.428571428571431</v>
      </c>
      <c r="D13" s="302">
        <f ca="1">('lokale energieproductie'!P35+'lokale energieproductie'!P42)*(-1)</f>
        <v>-192.85714285714286</v>
      </c>
      <c r="E13" s="245"/>
      <c r="F13" s="302">
        <f ca="1">('lokale energieproductie'!S35+'lokale energieproductie'!S42)*(-1)</f>
        <v>0</v>
      </c>
      <c r="G13" s="246"/>
      <c r="H13" s="245"/>
      <c r="I13" s="245"/>
      <c r="J13" s="245"/>
      <c r="K13" s="245"/>
      <c r="L13" s="302">
        <f ca="1">('lokale energieproductie'!U35+'lokale energieproductie'!T35+'lokale energieproductie'!U42+'lokale energieproductie'!T42)*(-1)</f>
        <v>0</v>
      </c>
      <c r="M13" s="245"/>
      <c r="N13" s="302">
        <f ca="1">('lokale energieproductie'!Q35+'lokale energieproductie'!R35+'lokale energieproductie'!V35+'lokale energieproductie'!Q42+'lokale energieproductie'!R42+'lokale energieproductie'!V42)*(-1)</f>
        <v>0</v>
      </c>
      <c r="O13" s="245"/>
      <c r="P13" s="245"/>
      <c r="R13" s="32"/>
    </row>
    <row r="14" spans="1:18">
      <c r="A14" s="16" t="s">
        <v>478</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249</v>
      </c>
      <c r="B16" s="21">
        <f t="shared" ref="B16:N16" ca="1" si="1">MAX((B5+B13+B14),0)</f>
        <v>34491.871465000004</v>
      </c>
      <c r="C16" s="21">
        <f t="shared" ca="1" si="1"/>
        <v>96.428571428571431</v>
      </c>
      <c r="D16" s="21">
        <f t="shared" ca="1" si="1"/>
        <v>36219.124160994856</v>
      </c>
      <c r="E16" s="21">
        <f t="shared" si="1"/>
        <v>92.861222857229379</v>
      </c>
      <c r="F16" s="21">
        <f t="shared" ca="1" si="1"/>
        <v>7763.4661107825023</v>
      </c>
      <c r="G16" s="21">
        <f t="shared" si="1"/>
        <v>0</v>
      </c>
      <c r="H16" s="21">
        <f t="shared" si="1"/>
        <v>0</v>
      </c>
      <c r="I16" s="21">
        <f t="shared" si="1"/>
        <v>0</v>
      </c>
      <c r="J16" s="21">
        <f t="shared" si="1"/>
        <v>6.4187403418737077E-2</v>
      </c>
      <c r="K16" s="21">
        <f t="shared" si="1"/>
        <v>0</v>
      </c>
      <c r="L16" s="21">
        <f t="shared" ca="1" si="1"/>
        <v>0</v>
      </c>
      <c r="M16" s="21">
        <f t="shared" si="1"/>
        <v>0</v>
      </c>
      <c r="N16" s="21">
        <f t="shared" ca="1" si="1"/>
        <v>2368.7382237788943</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0.18511569550327223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6384.986775452945</v>
      </c>
      <c r="C20" s="23">
        <f t="shared" ref="C20:P20" ca="1" si="2">C16*C18</f>
        <v>22.915966386554626</v>
      </c>
      <c r="D20" s="23">
        <f t="shared" ca="1" si="2"/>
        <v>7316.263080520961</v>
      </c>
      <c r="E20" s="23">
        <f t="shared" si="2"/>
        <v>21.079497588591071</v>
      </c>
      <c r="F20" s="23">
        <f t="shared" ca="1" si="2"/>
        <v>2072.8454515789281</v>
      </c>
      <c r="G20" s="23">
        <f t="shared" si="2"/>
        <v>0</v>
      </c>
      <c r="H20" s="23">
        <f t="shared" si="2"/>
        <v>0</v>
      </c>
      <c r="I20" s="23">
        <f t="shared" si="2"/>
        <v>0</v>
      </c>
      <c r="J20" s="23">
        <f t="shared" si="2"/>
        <v>2.2722340810232923E-2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463</v>
      </c>
      <c r="B23" s="200"/>
      <c r="C23" s="200"/>
      <c r="D23" s="222"/>
    </row>
    <row r="24" spans="1:18">
      <c r="A24" s="233"/>
      <c r="B24" s="32"/>
      <c r="C24" s="32"/>
      <c r="D24" s="234"/>
    </row>
    <row r="25" spans="1:18">
      <c r="A25" s="235"/>
      <c r="B25" s="221" t="s">
        <v>255</v>
      </c>
      <c r="C25" s="221" t="s">
        <v>256</v>
      </c>
      <c r="D25" s="236" t="s">
        <v>175</v>
      </c>
    </row>
    <row r="26" spans="1:18">
      <c r="A26" s="228" t="s">
        <v>53</v>
      </c>
      <c r="B26" s="33">
        <f>IF(ISERROR(TER_kantoor_ele_kWh/1000),0,TER_kantoor_ele_kWh/1000)</f>
        <v>9822.0774739999997</v>
      </c>
      <c r="C26" s="39">
        <f>IF(ISERROR(B26*3.6/1000000/'E Balans VL '!Z12*100),0,B26*3.6/1000000/'E Balans VL '!Z12*100)</f>
        <v>0.27487296370975339</v>
      </c>
      <c r="D26" s="234" t="s">
        <v>667</v>
      </c>
      <c r="F26" s="6"/>
    </row>
    <row r="27" spans="1:18">
      <c r="A27" s="228" t="s">
        <v>52</v>
      </c>
      <c r="B27" s="33">
        <f>IF(ISERROR(TER_horeca_ele_kWh/1000),0,TER_horeca_ele_kWh/1000)</f>
        <v>2864.9169779999997</v>
      </c>
      <c r="C27" s="39">
        <f>IF(ISERROR(B27*3.6/1000000/'E Balans VL '!Z9*100),0,B27*3.6/1000000/'E Balans VL '!Z9*100)</f>
        <v>0.21352924900721418</v>
      </c>
      <c r="D27" s="234" t="s">
        <v>667</v>
      </c>
      <c r="F27" s="6"/>
    </row>
    <row r="28" spans="1:18">
      <c r="A28" s="168" t="s">
        <v>51</v>
      </c>
      <c r="B28" s="33">
        <f>IF(ISERROR(TER_handel_ele_kWh/1000),0,TER_handel_ele_kWh/1000)</f>
        <v>5523.6238010000006</v>
      </c>
      <c r="C28" s="39">
        <f>IF(ISERROR(B28*3.6/1000000/'E Balans VL '!Z13*100),0,B28*3.6/1000000/'E Balans VL '!Z13*100)</f>
        <v>0.16003400498313208</v>
      </c>
      <c r="D28" s="234" t="s">
        <v>667</v>
      </c>
      <c r="F28" s="6"/>
    </row>
    <row r="29" spans="1:18">
      <c r="A29" s="228" t="s">
        <v>50</v>
      </c>
      <c r="B29" s="33">
        <f>IF(ISERROR(TER_gezond_ele_kWh/1000),0,TER_gezond_ele_kWh/1000)</f>
        <v>1157.281389</v>
      </c>
      <c r="C29" s="39">
        <f>IF(ISERROR(B29*3.6/1000000/'E Balans VL '!Z10*100),0,B29*3.6/1000000/'E Balans VL '!Z10*100)</f>
        <v>0.11671320819491721</v>
      </c>
      <c r="D29" s="234" t="s">
        <v>667</v>
      </c>
      <c r="F29" s="6"/>
    </row>
    <row r="30" spans="1:18">
      <c r="A30" s="228" t="s">
        <v>49</v>
      </c>
      <c r="B30" s="33">
        <f>IF(ISERROR(TER_ander_ele_kWh/1000),0,TER_ander_ele_kWh/1000)</f>
        <v>4458.3087029999997</v>
      </c>
      <c r="C30" s="39">
        <f>IF(ISERROR(B30*3.6/1000000/'E Balans VL '!Z14*100),0,B30*3.6/1000000/'E Balans VL '!Z14*100)</f>
        <v>0.18072169979097516</v>
      </c>
      <c r="D30" s="234" t="s">
        <v>667</v>
      </c>
      <c r="F30" s="6"/>
    </row>
    <row r="31" spans="1:18">
      <c r="A31" s="228" t="s">
        <v>54</v>
      </c>
      <c r="B31" s="33">
        <f>IF(ISERROR(TER_onderwijs_ele_kWh/1000),0,TER_onderwijs_ele_kWh/1000)</f>
        <v>594.23459400000002</v>
      </c>
      <c r="C31" s="39">
        <f>IF(ISERROR(B31*3.6/1000000/'E Balans VL '!Z11*100),0,B31*3.6/1000000/'E Balans VL '!Z11*100)</f>
        <v>0.16938105764943104</v>
      </c>
      <c r="D31" s="234" t="s">
        <v>667</v>
      </c>
    </row>
    <row r="32" spans="1:18">
      <c r="A32" s="228" t="s">
        <v>248</v>
      </c>
      <c r="B32" s="33">
        <f>IF(ISERROR(TER_rest_ele_kWh/1000),0,TER_rest_ele_kWh/1000)</f>
        <v>10003.928526</v>
      </c>
      <c r="C32" s="39">
        <f>IF(ISERROR(B32*3.6/1000000/'E Balans VL '!Z8*100),0,B32*3.6/1000000/'E Balans VL '!Z8*100)</f>
        <v>8.216186369873299E-2</v>
      </c>
      <c r="D32" s="234" t="s">
        <v>667</v>
      </c>
    </row>
    <row r="33" spans="1:4">
      <c r="A33" s="237"/>
      <c r="B33" s="177"/>
      <c r="C33" s="177"/>
      <c r="D33" s="238"/>
    </row>
    <row r="34" spans="1:4">
      <c r="A34" s="32"/>
      <c r="B34" s="32"/>
      <c r="C34" s="32"/>
    </row>
    <row r="35" spans="1:4">
      <c r="A35" s="190" t="s">
        <v>456</v>
      </c>
      <c r="B35" s="200"/>
      <c r="C35" s="200"/>
      <c r="D35" s="222"/>
    </row>
    <row r="36" spans="1:4">
      <c r="A36" s="233"/>
      <c r="B36" s="32"/>
      <c r="C36" s="32"/>
      <c r="D36" s="229"/>
    </row>
    <row r="37" spans="1:4">
      <c r="A37" s="239"/>
      <c r="B37" s="240"/>
      <c r="C37" s="221" t="s">
        <v>363</v>
      </c>
      <c r="D37" s="241" t="s">
        <v>175</v>
      </c>
    </row>
    <row r="38" spans="1:4">
      <c r="A38" s="168" t="s">
        <v>254</v>
      </c>
      <c r="B38" s="311">
        <f>aantalZB_NB_ander+aantalZB_NB_ander_met_kantoor+aantalZB_NB_kantoor+aantalZB_NB_school+ZB_NHH_bestaande_bouw+aantalZB_NB_NIET_RESIDENTIEEL_EPN</f>
        <v>1</v>
      </c>
      <c r="C38" s="43"/>
      <c r="D38" s="229"/>
    </row>
    <row r="39" spans="1:4">
      <c r="A39" s="168" t="s">
        <v>453</v>
      </c>
      <c r="B39" s="307">
        <v>13.15681996793146</v>
      </c>
      <c r="C39" s="43"/>
      <c r="D39" s="301" t="s">
        <v>793</v>
      </c>
    </row>
    <row r="40" spans="1:4">
      <c r="A40" s="6" t="s">
        <v>454</v>
      </c>
      <c r="B40" s="312">
        <f>1.34/3.6</f>
        <v>0.37222222222222223</v>
      </c>
      <c r="C40" s="43" t="s">
        <v>208</v>
      </c>
      <c r="D40" s="301" t="s">
        <v>794</v>
      </c>
    </row>
    <row r="41" spans="1:4">
      <c r="A41" s="237"/>
      <c r="B41" s="177"/>
      <c r="C41" s="177"/>
      <c r="D41" s="238"/>
    </row>
    <row r="43" spans="1:4">
      <c r="A43" s="191" t="s">
        <v>457</v>
      </c>
      <c r="B43" s="200"/>
      <c r="C43" s="200"/>
      <c r="D43" s="222"/>
    </row>
    <row r="44" spans="1:4">
      <c r="A44" s="227"/>
      <c r="B44" s="32"/>
      <c r="C44" s="32"/>
      <c r="D44" s="229"/>
    </row>
    <row r="45" spans="1:4">
      <c r="A45" s="239"/>
      <c r="B45" s="240"/>
      <c r="C45" s="221" t="s">
        <v>363</v>
      </c>
      <c r="D45" s="241" t="s">
        <v>175</v>
      </c>
    </row>
    <row r="46" spans="1:4">
      <c r="A46" s="168" t="s">
        <v>254</v>
      </c>
      <c r="B46" s="523">
        <f>aantalWP_NB_ander+antalWP_NB_ander_met_kantoor+aantalWP_NB_kantoor+aantalWP_NB_school+WP_NHH_bestaande_bouw+aantalWP_NB_NIET_RESIDENTIEEL_EPN</f>
        <v>3</v>
      </c>
      <c r="C46" s="32"/>
      <c r="D46" s="229"/>
    </row>
    <row r="47" spans="1:4">
      <c r="A47" s="168" t="s">
        <v>423</v>
      </c>
      <c r="B47" s="524">
        <v>37.963784638354454</v>
      </c>
      <c r="C47" s="32" t="s">
        <v>251</v>
      </c>
      <c r="D47" s="301" t="s">
        <v>793</v>
      </c>
    </row>
    <row r="48" spans="1:4">
      <c r="A48" s="168" t="s">
        <v>424</v>
      </c>
      <c r="B48" s="524">
        <v>1887.1743212997605</v>
      </c>
      <c r="C48" s="32" t="s">
        <v>253</v>
      </c>
      <c r="D48" s="301" t="s">
        <v>793</v>
      </c>
    </row>
    <row r="49" spans="1:4">
      <c r="A49" s="168" t="s">
        <v>386</v>
      </c>
      <c r="B49" s="524">
        <v>3.75</v>
      </c>
      <c r="C49" s="32"/>
      <c r="D49" s="301" t="s">
        <v>794</v>
      </c>
    </row>
    <row r="50" spans="1:4">
      <c r="A50" s="172"/>
      <c r="B50" s="177"/>
      <c r="C50" s="177"/>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156</v>
      </c>
      <c r="B1" s="1162" t="s">
        <v>188</v>
      </c>
      <c r="C1" s="1163"/>
      <c r="D1" s="1163"/>
      <c r="E1" s="1163"/>
      <c r="F1" s="1163"/>
      <c r="G1" s="1163"/>
      <c r="H1" s="1163"/>
      <c r="I1" s="1163"/>
      <c r="J1" s="1163"/>
      <c r="K1" s="1163"/>
      <c r="L1" s="1163"/>
      <c r="M1" s="1163"/>
      <c r="N1" s="1163"/>
      <c r="O1" s="1163"/>
      <c r="P1" s="1163"/>
      <c r="R1" s="72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c r="R2" s="723"/>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3"/>
    </row>
    <row r="4" spans="1:18" ht="15.75">
      <c r="A4" s="13"/>
      <c r="B4" s="14"/>
      <c r="C4" s="14"/>
      <c r="D4" s="14"/>
      <c r="E4" s="14"/>
      <c r="F4" s="14"/>
      <c r="G4" s="14"/>
      <c r="H4" s="14"/>
      <c r="I4" s="14"/>
      <c r="J4" s="14"/>
      <c r="K4" s="14"/>
      <c r="L4" s="14"/>
      <c r="M4" s="14"/>
      <c r="N4" s="14"/>
      <c r="O4" s="14"/>
      <c r="P4" s="14"/>
      <c r="R4" s="6"/>
    </row>
    <row r="5" spans="1:18">
      <c r="A5" s="16" t="s">
        <v>257</v>
      </c>
      <c r="B5" s="30">
        <f>SUM(B6:B15)</f>
        <v>122829.44763799998</v>
      </c>
      <c r="C5" s="17">
        <f>IF(ISERROR('Eigen informatie GS &amp; warmtenet'!B61),0,'Eigen informatie GS &amp; warmtenet'!B61)</f>
        <v>0</v>
      </c>
      <c r="D5" s="30">
        <f>SUM(D6:D15)</f>
        <v>175010.329598104</v>
      </c>
      <c r="E5" s="17">
        <f>SUM(E6:E15)</f>
        <v>10931.421155242013</v>
      </c>
      <c r="F5" s="17">
        <f>SUM(F6:F15)</f>
        <v>14548.070945492458</v>
      </c>
      <c r="G5" s="18"/>
      <c r="H5" s="17"/>
      <c r="I5" s="17"/>
      <c r="J5" s="17">
        <f>SUM(J6:J15)</f>
        <v>152.64717071595337</v>
      </c>
      <c r="K5" s="17"/>
      <c r="L5" s="17"/>
      <c r="M5" s="17"/>
      <c r="N5" s="17">
        <f>SUM(N6:N15)</f>
        <v>2988.5724191891059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539.19224100000008</v>
      </c>
      <c r="C8" s="33"/>
      <c r="D8" s="37">
        <f>IF( ISERROR(IND_metaal_Gas_kWH/1000),0,IND_metaal_Gas_kWH/1000)*0.902</f>
        <v>274.56254011999999</v>
      </c>
      <c r="E8" s="33">
        <f>C30*'E Balans VL '!I18/100/3.6*1000000</f>
        <v>3.8693722696150576</v>
      </c>
      <c r="F8" s="33">
        <f>C30*'E Balans VL '!L18/100/3.6*1000000+C30*'E Balans VL '!N18/100/3.6*1000000</f>
        <v>35.888249549683671</v>
      </c>
      <c r="G8" s="34"/>
      <c r="H8" s="33"/>
      <c r="I8" s="33"/>
      <c r="J8" s="40">
        <f>C30*'E Balans VL '!D18/100/3.6*1000000+C30*'E Balans VL '!E18/100/3.6*1000000</f>
        <v>0.51980437679591018</v>
      </c>
      <c r="K8" s="33"/>
      <c r="L8" s="33"/>
      <c r="M8" s="33"/>
      <c r="N8" s="33">
        <f>C30*'E Balans VL '!Y18/100/3.6*1000000</f>
        <v>6.5337687614648958</v>
      </c>
      <c r="O8" s="33"/>
      <c r="P8" s="33"/>
      <c r="R8" s="32"/>
    </row>
    <row r="9" spans="1:18">
      <c r="A9" s="6" t="s">
        <v>32</v>
      </c>
      <c r="B9" s="37">
        <f t="shared" si="0"/>
        <v>9839.0772689999994</v>
      </c>
      <c r="C9" s="33"/>
      <c r="D9" s="37">
        <f>IF( ISERROR(IND_andere_gas_kWh/1000),0,IND_andere_gas_kWh/1000)*0.902</f>
        <v>1904.6555375099999</v>
      </c>
      <c r="E9" s="33">
        <f>C31*'E Balans VL '!I19/100/3.6*1000000</f>
        <v>25.868669932934154</v>
      </c>
      <c r="F9" s="33">
        <f>C31*'E Balans VL '!L19/100/3.6*1000000+C31*'E Balans VL '!N19/100/3.6*1000000</f>
        <v>6497.7725704086915</v>
      </c>
      <c r="G9" s="34"/>
      <c r="H9" s="33"/>
      <c r="I9" s="33"/>
      <c r="J9" s="40">
        <f>C31*'E Balans VL '!D19/100/3.6*1000000+C31*'E Balans VL '!E19/100/3.6*1000000</f>
        <v>0</v>
      </c>
      <c r="K9" s="33"/>
      <c r="L9" s="33"/>
      <c r="M9" s="33"/>
      <c r="N9" s="33">
        <f>C31*'E Balans VL '!Y19/100/3.6*1000000</f>
        <v>525.29267988269089</v>
      </c>
      <c r="O9" s="33"/>
      <c r="P9" s="33"/>
      <c r="R9" s="32"/>
    </row>
    <row r="10" spans="1:18">
      <c r="A10" s="6" t="s">
        <v>40</v>
      </c>
      <c r="B10" s="37">
        <f t="shared" si="0"/>
        <v>17642.345934999998</v>
      </c>
      <c r="C10" s="33"/>
      <c r="D10" s="37">
        <f>IF( ISERROR(IND_voed_gas_kWh/1000),0,IND_voed_gas_kWh/1000)*0.902</f>
        <v>34756.042793537999</v>
      </c>
      <c r="E10" s="33">
        <f>C32*'E Balans VL '!I20/100/3.6*1000000</f>
        <v>29.78431299689019</v>
      </c>
      <c r="F10" s="33">
        <f>C32*'E Balans VL '!L20/100/3.6*1000000+C32*'E Balans VL '!N20/100/3.6*1000000</f>
        <v>1035.5287085943935</v>
      </c>
      <c r="G10" s="34"/>
      <c r="H10" s="33"/>
      <c r="I10" s="33"/>
      <c r="J10" s="40">
        <f>C32*'E Balans VL '!D20/100/3.6*1000000+C32*'E Balans VL '!E20/100/3.6*1000000</f>
        <v>0</v>
      </c>
      <c r="K10" s="33"/>
      <c r="L10" s="33"/>
      <c r="M10" s="33"/>
      <c r="N10" s="33">
        <f>C32*'E Balans VL '!Y20/100/3.6*1000000</f>
        <v>960.53741856356646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34.616019999999999</v>
      </c>
      <c r="C12" s="33"/>
      <c r="D12" s="37">
        <f>IF( ISERROR(IND_min_gas_kWh/1000),0,IND_min_gas_kWh/1000)*0.902</f>
        <v>141.94718978</v>
      </c>
      <c r="E12" s="33">
        <f>C34*'E Balans VL '!I22/100/3.6*1000000</f>
        <v>0.49834529018421447</v>
      </c>
      <c r="F12" s="33">
        <f>C34*'E Balans VL '!L22/100/3.6*1000000+C34*'E Balans VL '!N22/100/3.6*1000000</f>
        <v>4.1618339619432412</v>
      </c>
      <c r="G12" s="34"/>
      <c r="H12" s="33"/>
      <c r="I12" s="33"/>
      <c r="J12" s="40">
        <f>C34*'E Balans VL '!D22/100/3.6*1000000+C34*'E Balans VL '!E22/100/3.6*1000000</f>
        <v>2.5274042289233779E-2</v>
      </c>
      <c r="K12" s="33"/>
      <c r="L12" s="33"/>
      <c r="M12" s="33"/>
      <c r="N12" s="33">
        <f>C34*'E Balans VL '!Y22/100/3.6*1000000</f>
        <v>20.590581108024683</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55198.1446</v>
      </c>
      <c r="C14" s="33"/>
      <c r="D14" s="37">
        <f>IF( ISERROR(IND_chemie_gas_kWh/1000),0,IND_chemie_gas_kWh/1000)*0.902</f>
        <v>105744.4678092</v>
      </c>
      <c r="E14" s="33">
        <f>C36*'E Balans VL '!I24/100/3.6*1000000</f>
        <v>8983.4472261865449</v>
      </c>
      <c r="F14" s="33">
        <f>C36*'E Balans VL '!L24/100/3.6*1000000+C36*'E Balans VL '!N24/100/3.6*1000000</f>
        <v>717.30912042364855</v>
      </c>
      <c r="G14" s="34"/>
      <c r="H14" s="33"/>
      <c r="I14" s="33"/>
      <c r="J14" s="40">
        <f>C36*'E Balans VL '!D24/100/3.6*1000000+C36*'E Balans VL '!E24/100/3.6*1000000</f>
        <v>0</v>
      </c>
      <c r="K14" s="33"/>
      <c r="L14" s="33"/>
      <c r="M14" s="33"/>
      <c r="N14" s="33">
        <f>C36*'E Balans VL '!Y24/100/3.6*1000000</f>
        <v>33.777772955433385</v>
      </c>
      <c r="O14" s="33"/>
      <c r="P14" s="33"/>
      <c r="R14" s="32"/>
    </row>
    <row r="15" spans="1:18">
      <c r="A15" s="6" t="s">
        <v>258</v>
      </c>
      <c r="B15" s="37">
        <f t="shared" si="0"/>
        <v>39576.071573000001</v>
      </c>
      <c r="C15" s="33"/>
      <c r="D15" s="37">
        <f>IF( ISERROR(IND_rest_gas_kWh/1000),0,IND_rest_gas_kWh/1000)*0.902</f>
        <v>32188.653727956003</v>
      </c>
      <c r="E15" s="33">
        <f>C37*'E Balans VL '!I15/100/3.6*1000000</f>
        <v>1887.9532285658445</v>
      </c>
      <c r="F15" s="33">
        <f>C37*'E Balans VL '!L15/100/3.6*1000000+C37*'E Balans VL '!N15/100/3.6*1000000</f>
        <v>6257.4104625540958</v>
      </c>
      <c r="G15" s="34"/>
      <c r="H15" s="33"/>
      <c r="I15" s="33"/>
      <c r="J15" s="40">
        <f>C37*'E Balans VL '!D15/100/3.6*1000000+C37*'E Balans VL '!E15/100/3.6*1000000</f>
        <v>152.10209229686822</v>
      </c>
      <c r="K15" s="33"/>
      <c r="L15" s="33"/>
      <c r="M15" s="33"/>
      <c r="N15" s="33">
        <f>C37*'E Balans VL '!Y15/100/3.6*1000000</f>
        <v>1441.8401979179255</v>
      </c>
      <c r="O15" s="33"/>
      <c r="P15" s="33"/>
      <c r="R15" s="32"/>
    </row>
    <row r="16" spans="1:18">
      <c r="A16" s="16" t="s">
        <v>464</v>
      </c>
      <c r="B16" s="244">
        <f>'lokale energieproductie'!N41+'lokale energieproductie'!N34</f>
        <v>14660.999999999998</v>
      </c>
      <c r="C16" s="244">
        <f>'lokale energieproductie'!O41+'lokale energieproductie'!O34</f>
        <v>20944.28571428571</v>
      </c>
      <c r="D16" s="302">
        <f>('lokale energieproductie'!P34+'lokale energieproductie'!P41)*(-1)</f>
        <v>-41888.57142857142</v>
      </c>
      <c r="E16" s="245"/>
      <c r="F16" s="302">
        <f>('lokale energieproductie'!S34+'lokale energieproductie'!S41)*(-1)</f>
        <v>0</v>
      </c>
      <c r="G16" s="246"/>
      <c r="H16" s="245"/>
      <c r="I16" s="245"/>
      <c r="J16" s="245"/>
      <c r="K16" s="245"/>
      <c r="L16" s="302">
        <f>('lokale energieproductie'!T34+'lokale energieproductie'!U34+'lokale energieproductie'!T41+'lokale energieproductie'!U41)*(-1)</f>
        <v>0</v>
      </c>
      <c r="M16" s="245"/>
      <c r="N16" s="302">
        <f>('lokale energieproductie'!Q34+'lokale energieproductie'!R34+'lokale energieproductie'!V34+'lokale energieproductie'!Q41+'lokale energieproductie'!R41+'lokale energieproductie'!V41)*(-1)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266</v>
      </c>
      <c r="B18" s="21">
        <f>B5+B16</f>
        <v>137490.44763799998</v>
      </c>
      <c r="C18" s="21">
        <f>C5+C16</f>
        <v>20944.28571428571</v>
      </c>
      <c r="D18" s="21">
        <f>MAX((D5+D16),0)</f>
        <v>133121.75816953258</v>
      </c>
      <c r="E18" s="21">
        <f>MAX((E5+E16),0)</f>
        <v>10931.421155242013</v>
      </c>
      <c r="F18" s="21">
        <f>MAX((F5+F16),0)</f>
        <v>14548.070945492458</v>
      </c>
      <c r="G18" s="21"/>
      <c r="H18" s="21"/>
      <c r="I18" s="21"/>
      <c r="J18" s="21">
        <f>MAX((J5+J16),0)</f>
        <v>152.64717071595337</v>
      </c>
      <c r="K18" s="21"/>
      <c r="L18" s="21">
        <f>MAX((L5+L16),0)</f>
        <v>0</v>
      </c>
      <c r="M18" s="21"/>
      <c r="N18" s="21">
        <f>MAX((N5+N16),0)</f>
        <v>2988.5724191891059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0.18511569550327223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25451.639839564599</v>
      </c>
      <c r="C22" s="23">
        <f ca="1">C18*C20</f>
        <v>4977.347899159663</v>
      </c>
      <c r="D22" s="23">
        <f>D18*D20</f>
        <v>26890.595150245583</v>
      </c>
      <c r="E22" s="23">
        <f>E18*E20</f>
        <v>2481.4326022399368</v>
      </c>
      <c r="F22" s="23">
        <f>F18*F20</f>
        <v>3884.3349424464864</v>
      </c>
      <c r="G22" s="23"/>
      <c r="H22" s="23"/>
      <c r="I22" s="23"/>
      <c r="J22" s="23">
        <f>J18*J20</f>
        <v>54.03709843344749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463</v>
      </c>
      <c r="B25" s="200"/>
      <c r="C25" s="200"/>
      <c r="D25" s="222"/>
    </row>
    <row r="26" spans="1:18">
      <c r="A26" s="233"/>
      <c r="B26" s="32"/>
      <c r="C26" s="32"/>
      <c r="D26" s="234"/>
    </row>
    <row r="27" spans="1:18">
      <c r="A27" s="235"/>
      <c r="B27" s="221" t="s">
        <v>255</v>
      </c>
      <c r="C27" s="221" t="s">
        <v>256</v>
      </c>
      <c r="D27" s="236" t="s">
        <v>175</v>
      </c>
    </row>
    <row r="28" spans="1:18">
      <c r="A28" s="168" t="s">
        <v>34</v>
      </c>
      <c r="B28" s="37"/>
      <c r="C28" s="39"/>
      <c r="D28" s="234" t="s">
        <v>667</v>
      </c>
    </row>
    <row r="29" spans="1:18">
      <c r="A29" s="168" t="s">
        <v>37</v>
      </c>
      <c r="B29" s="37">
        <f>IF( ISERROR(IND_nonf_ele_kWh/1000),0,IND_nonf_ele_kWh/1000)</f>
        <v>0</v>
      </c>
      <c r="C29" s="39">
        <f>IF(ISERROR(B29*3.6/1000000/'E Balans VL '!Z17*100),0,B29*3.6/1000000/'E Balans VL '!Z17*100)</f>
        <v>0</v>
      </c>
      <c r="D29" s="234" t="s">
        <v>667</v>
      </c>
    </row>
    <row r="30" spans="1:18">
      <c r="A30" s="168" t="s">
        <v>35</v>
      </c>
      <c r="B30" s="37">
        <f>IF( ISERROR(IND_metaal_ele_kWh/1000),0,IND_metaal_ele_kWh/1000)</f>
        <v>539.19224100000008</v>
      </c>
      <c r="C30" s="39">
        <f>IF(ISERROR(B30*3.6/1000000/'E Balans VL '!Z18*100),0,B30*3.6/1000000/'E Balans VL '!Z18*100)</f>
        <v>2.9834283380343454E-2</v>
      </c>
      <c r="D30" s="234" t="s">
        <v>667</v>
      </c>
    </row>
    <row r="31" spans="1:18">
      <c r="A31" s="6" t="s">
        <v>32</v>
      </c>
      <c r="B31" s="37">
        <f>IF( ISERROR(IND_ander_ele_kWh/1000),0,IND_ander_ele_kWh/1000)</f>
        <v>9839.0772689999994</v>
      </c>
      <c r="C31" s="39">
        <f>IF(ISERROR(B31*3.6/1000000/'E Balans VL '!Z19*100),0,B31*3.6/1000000/'E Balans VL '!Z19*100)</f>
        <v>0.42921129341353359</v>
      </c>
      <c r="D31" s="234" t="s">
        <v>667</v>
      </c>
    </row>
    <row r="32" spans="1:18">
      <c r="A32" s="168" t="s">
        <v>40</v>
      </c>
      <c r="B32" s="37">
        <f>IF( ISERROR(IND_voed_ele_kWh/1000),0,IND_voed_ele_kWh/1000)</f>
        <v>17642.345934999998</v>
      </c>
      <c r="C32" s="39">
        <f>IF(ISERROR(B32*3.6/1000000/'E Balans VL '!Z20*100),0,B32*3.6/1000000/'E Balans VL '!Z20*100)</f>
        <v>0.55378072302496684</v>
      </c>
      <c r="D32" s="234" t="s">
        <v>667</v>
      </c>
    </row>
    <row r="33" spans="1:5">
      <c r="A33" s="168" t="s">
        <v>39</v>
      </c>
      <c r="B33" s="37">
        <f>IF( ISERROR(IND_textiel_ele_kWh/1000),0,IND_textiel_ele_kWh/1000)</f>
        <v>0</v>
      </c>
      <c r="C33" s="39">
        <f>IF(ISERROR(B33*3.6/1000000/'E Balans VL '!Z21*100),0,B33*3.6/1000000/'E Balans VL '!Z21*100)</f>
        <v>0</v>
      </c>
      <c r="D33" s="234" t="s">
        <v>667</v>
      </c>
    </row>
    <row r="34" spans="1:5">
      <c r="A34" s="168" t="s">
        <v>36</v>
      </c>
      <c r="B34" s="37">
        <f>IF( ISERROR(IND_min_ele_kWh/1000),0,IND_min_ele_kWh/1000)</f>
        <v>34.616019999999999</v>
      </c>
      <c r="C34" s="39">
        <f>IF(ISERROR(B34*3.6/1000000/'E Balans VL '!Z22*100),0,B34*3.6/1000000/'E Balans VL '!Z22*100)</f>
        <v>1.5526715399528466E-2</v>
      </c>
      <c r="D34" s="234" t="s">
        <v>667</v>
      </c>
    </row>
    <row r="35" spans="1:5">
      <c r="A35" s="168" t="s">
        <v>38</v>
      </c>
      <c r="B35" s="37">
        <f>IF( ISERROR(IND_papier_ele_kWh/1000),0,IND_papier_ele_kWh/1000)</f>
        <v>0</v>
      </c>
      <c r="C35" s="39">
        <f>IF(ISERROR(B35*3.6/1000000/'E Balans VL '!Z22*100),0,B35*3.6/1000000/'E Balans VL '!Z22*100)</f>
        <v>0</v>
      </c>
      <c r="D35" s="234" t="s">
        <v>667</v>
      </c>
    </row>
    <row r="36" spans="1:5">
      <c r="A36" s="168" t="s">
        <v>33</v>
      </c>
      <c r="B36" s="37">
        <f>IF( ISERROR(IND_chemie_ele_kWh/1000),0,IND_chemie_ele_kWh/1000)</f>
        <v>55198.1446</v>
      </c>
      <c r="C36" s="39">
        <f>IF(ISERROR(B36*3.6/1000000/'E Balans VL '!Z24*100),0,B36*3.6/1000000/'E Balans VL '!Z24*100)</f>
        <v>1.6219818946186491</v>
      </c>
      <c r="D36" s="234" t="s">
        <v>667</v>
      </c>
    </row>
    <row r="37" spans="1:5">
      <c r="A37" s="168" t="s">
        <v>258</v>
      </c>
      <c r="B37" s="37">
        <f>IF( ISERROR(IND_rest_ele_kWh/1000),0,IND_rest_ele_kWh/1000)</f>
        <v>39576.071573000001</v>
      </c>
      <c r="C37" s="39">
        <f>IF(ISERROR(B37*3.6/1000000/'E Balans VL '!Z15*100),0,B37*3.6/1000000/'E Balans VL '!Z15*100)</f>
        <v>0.32208661224244362</v>
      </c>
      <c r="D37" s="234" t="s">
        <v>667</v>
      </c>
    </row>
    <row r="38" spans="1:5">
      <c r="A38" s="237"/>
      <c r="B38" s="177"/>
      <c r="C38" s="177"/>
      <c r="D38" s="238"/>
    </row>
    <row r="39" spans="1:5">
      <c r="A39" s="228"/>
      <c r="B39" s="32"/>
      <c r="C39" s="32"/>
      <c r="D39" s="32"/>
      <c r="E39" s="32"/>
    </row>
    <row r="40" spans="1:5">
      <c r="A40" s="190" t="s">
        <v>456</v>
      </c>
      <c r="B40" s="200"/>
      <c r="C40" s="200"/>
      <c r="D40" s="222"/>
    </row>
    <row r="41" spans="1:5">
      <c r="A41" s="233"/>
      <c r="B41" s="32"/>
      <c r="C41" s="32"/>
      <c r="D41" s="229"/>
    </row>
    <row r="42" spans="1:5">
      <c r="A42" s="239"/>
      <c r="B42" s="240"/>
      <c r="C42" s="221" t="s">
        <v>363</v>
      </c>
      <c r="D42" s="241" t="s">
        <v>175</v>
      </c>
    </row>
    <row r="43" spans="1:5">
      <c r="A43" s="168" t="s">
        <v>254</v>
      </c>
      <c r="B43" s="311">
        <f>aantalZB_NB_industrie+aantalZB_NB_industrie_met_kantoor</f>
        <v>0</v>
      </c>
      <c r="C43" s="43"/>
      <c r="D43" s="229"/>
    </row>
    <row r="44" spans="1:5">
      <c r="A44" s="168" t="s">
        <v>453</v>
      </c>
      <c r="B44" s="307">
        <v>13.15681996793146</v>
      </c>
      <c r="C44" s="43"/>
      <c r="D44" s="301" t="s">
        <v>793</v>
      </c>
    </row>
    <row r="45" spans="1:5">
      <c r="A45" s="6" t="s">
        <v>454</v>
      </c>
      <c r="B45" s="312">
        <f>1.34/3.6</f>
        <v>0.37222222222222223</v>
      </c>
      <c r="C45" s="43" t="s">
        <v>208</v>
      </c>
      <c r="D45" s="301" t="s">
        <v>794</v>
      </c>
    </row>
    <row r="46" spans="1:5" s="32" customFormat="1">
      <c r="A46" s="172"/>
      <c r="B46" s="243"/>
      <c r="C46" s="177"/>
      <c r="D46" s="238"/>
    </row>
    <row r="48" spans="1:5">
      <c r="A48" s="191" t="s">
        <v>457</v>
      </c>
      <c r="B48" s="200"/>
      <c r="C48" s="200"/>
      <c r="D48" s="222"/>
    </row>
    <row r="49" spans="1:4">
      <c r="A49" s="227"/>
      <c r="B49" s="32"/>
      <c r="C49" s="32"/>
      <c r="D49" s="229"/>
    </row>
    <row r="50" spans="1:4">
      <c r="A50" s="239"/>
      <c r="B50" s="240"/>
      <c r="C50" s="221" t="s">
        <v>363</v>
      </c>
      <c r="D50" s="241" t="s">
        <v>175</v>
      </c>
    </row>
    <row r="51" spans="1:4">
      <c r="A51" s="168" t="s">
        <v>254</v>
      </c>
      <c r="B51" s="311">
        <f>aantalWP_NB_industrie+AantalWP_NB_industrie_met_kantoor</f>
        <v>0</v>
      </c>
      <c r="C51" s="32"/>
      <c r="D51" s="229"/>
    </row>
    <row r="52" spans="1:4">
      <c r="A52" s="168" t="s">
        <v>250</v>
      </c>
      <c r="B52" s="307">
        <v>42.166215685288535</v>
      </c>
      <c r="C52" s="32" t="s">
        <v>251</v>
      </c>
      <c r="D52" s="301" t="s">
        <v>483</v>
      </c>
    </row>
    <row r="53" spans="1:4">
      <c r="A53" s="168" t="s">
        <v>252</v>
      </c>
      <c r="B53" s="307">
        <v>1870.3471198212708</v>
      </c>
      <c r="C53" s="32" t="s">
        <v>253</v>
      </c>
      <c r="D53" s="301" t="s">
        <v>483</v>
      </c>
    </row>
    <row r="54" spans="1:4">
      <c r="A54" s="168" t="s">
        <v>386</v>
      </c>
      <c r="B54" s="307">
        <v>3.75</v>
      </c>
      <c r="C54" s="32"/>
      <c r="D54" s="301" t="s">
        <v>483</v>
      </c>
    </row>
    <row r="55" spans="1:4">
      <c r="A55" s="172"/>
      <c r="B55" s="177"/>
      <c r="C55" s="177"/>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259</v>
      </c>
      <c r="B1" s="1162" t="s">
        <v>188</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1112.8168910000002</v>
      </c>
      <c r="C5" s="17">
        <f>'Eigen informatie GS &amp; warmtenet'!B62</f>
        <v>0</v>
      </c>
      <c r="D5" s="30">
        <f>IF(ISERROR(SUM(LB_lb_gas_kWh,LB_rest_gas_kWh)/1000),0,SUM(LB_lb_gas_kWh,LB_rest_gas_kWh)/1000)*0.902</f>
        <v>20352.792615671999</v>
      </c>
      <c r="E5" s="17">
        <f>B17*'E Balans VL '!I25/3.6*1000000/100</f>
        <v>45.209799678319122</v>
      </c>
      <c r="F5" s="17">
        <f>B17*('E Balans VL '!L25/3.6*1000000+'E Balans VL '!N25/3.6*1000000)/100</f>
        <v>3936.4227286320806</v>
      </c>
      <c r="G5" s="18"/>
      <c r="H5" s="17"/>
      <c r="I5" s="17"/>
      <c r="J5" s="17">
        <f>('E Balans VL '!D25+'E Balans VL '!E25)/3.6*1000000*landbouw!B17/100</f>
        <v>316.17434611179533</v>
      </c>
      <c r="K5" s="17"/>
      <c r="L5" s="17">
        <f>L6*(-1)</f>
        <v>0</v>
      </c>
      <c r="M5" s="17"/>
      <c r="N5" s="17">
        <f>N6*(-1)</f>
        <v>0</v>
      </c>
      <c r="O5" s="17"/>
      <c r="P5" s="17"/>
      <c r="R5" s="32"/>
    </row>
    <row r="6" spans="1:18">
      <c r="A6" s="16" t="s">
        <v>464</v>
      </c>
      <c r="B6" s="17" t="s">
        <v>204</v>
      </c>
      <c r="C6" s="17">
        <f>'lokale energieproductie'!O43+'lokale energieproductie'!O36</f>
        <v>9848.5714285714294</v>
      </c>
      <c r="D6" s="302">
        <f>('lokale energieproductie'!P36+'lokale energieproductie'!P43)*(-1)</f>
        <v>-19697.142857142859</v>
      </c>
      <c r="E6" s="245"/>
      <c r="F6" s="302">
        <f>('lokale energieproductie'!S36+'lokale energieproductie'!S43)*(-1)</f>
        <v>0</v>
      </c>
      <c r="G6" s="246"/>
      <c r="H6" s="245"/>
      <c r="I6" s="245"/>
      <c r="J6" s="245"/>
      <c r="K6" s="245"/>
      <c r="L6" s="302">
        <f>('lokale energieproductie'!T36+'lokale energieproductie'!U36+'lokale energieproductie'!T43+'lokale energieproductie'!U43)*(-1)</f>
        <v>0</v>
      </c>
      <c r="M6" s="245"/>
      <c r="N6" s="302">
        <f>('lokale energieproductie'!V36+'lokale energieproductie'!R36+'lokale energieproductie'!Q36+'lokale energieproductie'!Q43+'lokale energieproductie'!R43+'lokale energieproductie'!V43)*(-1)</f>
        <v>0</v>
      </c>
      <c r="O6" s="245"/>
      <c r="P6" s="245"/>
      <c r="R6" s="32"/>
    </row>
    <row r="7" spans="1:18">
      <c r="A7" s="32"/>
      <c r="B7" s="29"/>
      <c r="C7" s="29"/>
      <c r="D7" s="247"/>
      <c r="E7" s="29"/>
      <c r="F7" s="29"/>
      <c r="G7" s="28"/>
      <c r="H7" s="29"/>
      <c r="I7" s="29"/>
      <c r="J7" s="29"/>
      <c r="K7" s="29"/>
      <c r="L7" s="29"/>
      <c r="M7" s="29"/>
      <c r="N7" s="29"/>
      <c r="O7" s="29"/>
      <c r="P7" s="29"/>
      <c r="R7" s="32"/>
    </row>
    <row r="8" spans="1:18">
      <c r="A8" s="20" t="s">
        <v>261</v>
      </c>
      <c r="B8" s="21">
        <f>B5</f>
        <v>1112.8168910000002</v>
      </c>
      <c r="C8" s="21">
        <f>C5+C6</f>
        <v>9848.5714285714294</v>
      </c>
      <c r="D8" s="21">
        <f>MAX((D5+D6),0)</f>
        <v>655.64975852913994</v>
      </c>
      <c r="E8" s="21">
        <f>MAX((E5+E6),0)</f>
        <v>45.209799678319122</v>
      </c>
      <c r="F8" s="21">
        <f>MAX((F5+F6),0)</f>
        <v>3936.4227286320806</v>
      </c>
      <c r="G8" s="21"/>
      <c r="H8" s="21"/>
      <c r="I8" s="21"/>
      <c r="J8" s="21">
        <f>MAX((J5+J6),0)</f>
        <v>316.17434611179533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0.18511569550327223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205.99987274525412</v>
      </c>
      <c r="C12" s="23">
        <f ca="1">C8*C10</f>
        <v>2340.4840336134457</v>
      </c>
      <c r="D12" s="23">
        <f>D8*D10</f>
        <v>132.44125122288628</v>
      </c>
      <c r="E12" s="23">
        <f>E8*E10</f>
        <v>10.26262452697844</v>
      </c>
      <c r="F12" s="23">
        <f>F8*F10</f>
        <v>1051.0248685447657</v>
      </c>
      <c r="G12" s="23"/>
      <c r="H12" s="23"/>
      <c r="I12" s="23"/>
      <c r="J12" s="23">
        <f>J8*J10</f>
        <v>111.92571852357554</v>
      </c>
      <c r="K12" s="23"/>
      <c r="L12" s="23">
        <f>L8*L10</f>
        <v>0</v>
      </c>
      <c r="M12" s="23">
        <f>M8*M10</f>
        <v>0</v>
      </c>
      <c r="N12" s="23">
        <f>N8*N10</f>
        <v>0</v>
      </c>
      <c r="O12" s="23"/>
      <c r="P12" s="23"/>
    </row>
    <row r="14" spans="1:18">
      <c r="A14" s="190" t="s">
        <v>470</v>
      </c>
      <c r="B14" s="200"/>
      <c r="C14" s="222"/>
    </row>
    <row r="15" spans="1:18">
      <c r="A15" s="233"/>
      <c r="B15" s="32"/>
      <c r="C15" s="234"/>
    </row>
    <row r="16" spans="1:18">
      <c r="A16" s="252"/>
      <c r="B16" s="42" t="s">
        <v>280</v>
      </c>
      <c r="C16" s="236" t="s">
        <v>175</v>
      </c>
    </row>
    <row r="17" spans="1:4">
      <c r="A17" s="253" t="s">
        <v>105</v>
      </c>
      <c r="B17" s="251">
        <f>IF(ISERROR(SUM(LB_lb_ele_kWh,LB_rest_ele_kWh)*3.6/1000000000/'E Balans VL '!Z26*100),0,SUM(LB_lb_ele_kWh,LB_rest_ele_kWh)*3.6/1000000000/'E Balans VL '!Z26*100)</f>
        <v>0.16542820827426397</v>
      </c>
      <c r="C17" s="234" t="s">
        <v>666</v>
      </c>
      <c r="D17" s="249"/>
    </row>
    <row r="18" spans="1:4">
      <c r="A18" s="237"/>
      <c r="B18" s="250"/>
      <c r="C18" s="238"/>
    </row>
    <row r="19" spans="1:4">
      <c r="A19" s="32"/>
      <c r="B19" s="48"/>
      <c r="C19" s="32"/>
    </row>
    <row r="20" spans="1:4">
      <c r="A20" s="32"/>
      <c r="B20" s="48"/>
      <c r="C20" s="32"/>
    </row>
    <row r="21" spans="1:4" ht="15.75" thickBot="1">
      <c r="B21" s="32"/>
    </row>
    <row r="22" spans="1:4" ht="15.75" customHeight="1">
      <c r="A22" s="1169" t="s">
        <v>291</v>
      </c>
      <c r="B22" s="1172" t="s">
        <v>292</v>
      </c>
      <c r="C22" s="1172" t="s">
        <v>469</v>
      </c>
    </row>
    <row r="23" spans="1:4">
      <c r="A23" s="1170"/>
      <c r="B23" s="1173"/>
      <c r="C23" s="1173"/>
    </row>
    <row r="24" spans="1:4" ht="15.75" thickBot="1">
      <c r="A24" s="1171"/>
      <c r="B24" s="1174"/>
      <c r="C24" s="1174"/>
    </row>
    <row r="25" spans="1:4" ht="15.75">
      <c r="A25" s="13"/>
      <c r="B25" s="32"/>
    </row>
    <row r="26" spans="1:4">
      <c r="A26" s="41" t="s">
        <v>262</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154.04973997794082</v>
      </c>
      <c r="C26" s="244">
        <f>B26*'GWP N2O_CH4'!B5</f>
        <v>3235.0445395367569</v>
      </c>
      <c r="D26" s="50"/>
    </row>
    <row r="27" spans="1:4">
      <c r="A27" s="41" t="s">
        <v>263</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46.199206818406289</v>
      </c>
      <c r="C27" s="244">
        <f>B27*'GWP N2O_CH4'!B5</f>
        <v>970.18334318653206</v>
      </c>
      <c r="D27" s="50"/>
    </row>
    <row r="28" spans="1:4">
      <c r="A28" s="41" t="s">
        <v>264</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2.9152899103814915</v>
      </c>
      <c r="C28" s="244">
        <f>B28*'GWP N2O_CH4'!B4</f>
        <v>903.73987221826235</v>
      </c>
      <c r="D28" s="50"/>
    </row>
    <row r="29" spans="1:4">
      <c r="A29" s="41" t="s">
        <v>265</v>
      </c>
      <c r="B29" s="244">
        <f>B34*'ha_N2O bodem landbouw'!B4</f>
        <v>13.365979344490883</v>
      </c>
      <c r="C29" s="244">
        <f>B29*'GWP N2O_CH4'!B4</f>
        <v>4143.4535967921738</v>
      </c>
      <c r="D29" s="50"/>
    </row>
    <row r="31" spans="1:4">
      <c r="A31" s="190" t="s">
        <v>471</v>
      </c>
      <c r="B31" s="200"/>
      <c r="C31" s="222"/>
    </row>
    <row r="32" spans="1:4">
      <c r="A32" s="233"/>
      <c r="B32" s="32"/>
      <c r="C32" s="234"/>
    </row>
    <row r="33" spans="1:5">
      <c r="A33" s="235"/>
      <c r="B33" s="221" t="s">
        <v>576</v>
      </c>
      <c r="C33" s="236" t="s">
        <v>175</v>
      </c>
    </row>
    <row r="34" spans="1:5">
      <c r="A34" s="254" t="s">
        <v>105</v>
      </c>
      <c r="B34" s="35">
        <f>IF(ISERROR(aantalCultuurgronden/'ha_N2O bodem landbouw'!B5),0,aantalCultuurgronden/'ha_N2O bodem landbouw'!B5)</f>
        <v>2.9309186211997026E-3</v>
      </c>
      <c r="C34" s="887" t="s">
        <v>681</v>
      </c>
      <c r="D34" s="27"/>
      <c r="E34" s="27"/>
    </row>
    <row r="35" spans="1:5">
      <c r="A35" s="237"/>
      <c r="B35" s="177"/>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1" t="s">
        <v>473</v>
      </c>
      <c r="B1" s="1162" t="s">
        <v>521</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316</v>
      </c>
      <c r="B5" s="414">
        <f>SUM(B6:B11)</f>
        <v>1.6601701875228439E-3</v>
      </c>
      <c r="C5" s="429" t="s">
        <v>204</v>
      </c>
      <c r="D5" s="414">
        <f>SUM(D6:D11)</f>
        <v>2.8583990908219218E-3</v>
      </c>
      <c r="E5" s="414">
        <f>SUM(E6:E11)</f>
        <v>2.5255508974475634E-3</v>
      </c>
      <c r="F5" s="427" t="s">
        <v>204</v>
      </c>
      <c r="G5" s="414">
        <f>SUM(G6:G11)</f>
        <v>1.4499024438436672</v>
      </c>
      <c r="H5" s="414">
        <f>SUM(H6:H11)</f>
        <v>0.27568418555999091</v>
      </c>
      <c r="I5" s="429" t="s">
        <v>204</v>
      </c>
      <c r="J5" s="429" t="s">
        <v>204</v>
      </c>
      <c r="K5" s="429" t="s">
        <v>204</v>
      </c>
      <c r="L5" s="429" t="s">
        <v>204</v>
      </c>
      <c r="M5" s="414">
        <f>SUM(M6:M11)</f>
        <v>0.10182802533904385</v>
      </c>
      <c r="N5" s="429" t="s">
        <v>204</v>
      </c>
      <c r="O5" s="429" t="s">
        <v>204</v>
      </c>
      <c r="P5" s="430" t="s">
        <v>204</v>
      </c>
    </row>
    <row r="6" spans="1:18">
      <c r="A6" s="258" t="s">
        <v>609</v>
      </c>
      <c r="B6" s="84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9.9501377782151585E-4</v>
      </c>
      <c r="C6" s="415"/>
      <c r="D6" s="84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1.6880934868787943E-3</v>
      </c>
      <c r="E6" s="843">
        <f>vkm_GW_PW*SUMIFS(TableVerdeelsleutelVkm[LPG],TableVerdeelsleutelVkm[Voertuigtype],"Lichte voertuigen")*SUMIFS(TableECFTransport[EnergieConsumptieFactor (PJ per km)],TableECFTransport[Index],CONCATENATE($A6,"_LPG_LPG"))</f>
        <v>1.4615671746946537E-3</v>
      </c>
      <c r="F6" s="417"/>
      <c r="G6" s="84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0.46688583684001994</v>
      </c>
      <c r="H6" s="84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0.16242374339543969</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3.7666341311927594E-2</v>
      </c>
      <c r="N6" s="415"/>
      <c r="O6" s="415"/>
      <c r="P6" s="416"/>
    </row>
    <row r="7" spans="1:18">
      <c r="A7" s="258" t="s">
        <v>610</v>
      </c>
      <c r="B7" s="84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1.1829508675888825E-5</v>
      </c>
      <c r="C7" s="415"/>
      <c r="D7" s="843">
        <f>vkm_GW_ZV*SUMIFS(TableVerdeelsleutelVkm[CNG],TableVerdeelsleutelVkm[Voertuigtype],"Zware voertuigen")*SUMIFS(TableECFTransport[EnergieConsumptieFactor (PJ per km)],TableECFTransport[Index],CONCATENATE($A7,"_CNG_CNG"))</f>
        <v>0</v>
      </c>
      <c r="E7" s="843">
        <f>vkm_GW_ZV*SUMIFS(TableVerdeelsleutelVkm[LPG],TableVerdeelsleutelVkm[Voertuigtype],"Zware voertuigen")*SUMIFS(TableECFTransport[EnergieConsumptieFactor (PJ per km)],TableECFTransport[Index],CONCATENATE($A7,"_LPG_LPG"))</f>
        <v>0</v>
      </c>
      <c r="F7" s="417"/>
      <c r="G7" s="84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0.4514978003456227</v>
      </c>
      <c r="H7" s="84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7.1957383450135543E-6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2.6025468635801269E-2</v>
      </c>
      <c r="N7" s="415"/>
      <c r="O7" s="415"/>
      <c r="P7" s="416"/>
      <c r="R7" s="840"/>
    </row>
    <row r="8" spans="1:18">
      <c r="A8" s="258" t="s">
        <v>611</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3.5493374664479085E-4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7.6770139307156919E-4</v>
      </c>
      <c r="E8" s="417">
        <f>vkm_NGW_PW*SUMIFS(TableVerdeelsleutelVkm[LPG],TableVerdeelsleutelVkm[Voertuigtype],"Lichte voertuigen")*SUMIFS(TableECFTransport[EnergieConsumptieFactor (PJ per km)],TableECFTransport[Index],CONCATENATE($A8,"_LPG_LPG"))</f>
        <v>6.348413403950106E-4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0.18816217191463319</v>
      </c>
      <c r="H8" s="84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7.2581048823614935E-2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1.565166045465325E-2</v>
      </c>
      <c r="N8" s="415"/>
      <c r="O8" s="415"/>
      <c r="P8" s="416"/>
      <c r="R8" s="840"/>
    </row>
    <row r="9" spans="1:18">
      <c r="A9" s="258" t="s">
        <v>612</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2.6728080102758444E-6</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0.13114595211618105</v>
      </c>
      <c r="H9" s="84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1.9624240889675223E-6</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7.5595740289559369E-3</v>
      </c>
      <c r="N9" s="415"/>
      <c r="O9" s="415"/>
      <c r="P9" s="416"/>
      <c r="R9" s="840"/>
    </row>
    <row r="10" spans="1:18">
      <c r="A10" s="258" t="s">
        <v>613</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2.9326782245057471E-4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4.0260421087155864E-4</v>
      </c>
      <c r="E10" s="417">
        <f>vkm_SW_PW*SUMIFS(TableVerdeelsleutelVkm[LPG],TableVerdeelsleutelVkm[Voertuigtype],"Lichte voertuigen")*SUMIFS(TableECFTransport[EnergieConsumptieFactor (PJ per km)],TableECFTransport[Index],CONCATENATE($A10,"_LPG_LPG"))</f>
        <v>4.2914238235789917E-4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0.12343010047394801</v>
      </c>
      <c r="H10" s="84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4.0668699669570603E-2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9.8074369043850175E-3</v>
      </c>
      <c r="N10" s="415"/>
      <c r="O10" s="415"/>
      <c r="P10" s="416"/>
      <c r="R10" s="840"/>
    </row>
    <row r="11" spans="1:18">
      <c r="A11" s="4" t="s">
        <v>614</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2.4525239197977202E-6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8.8780582153262261E-2</v>
      </c>
      <c r="H11" s="84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1.5355089316986186E-6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5.1175440033208062E-3</v>
      </c>
      <c r="N11" s="418"/>
      <c r="O11" s="418"/>
      <c r="P11" s="420"/>
      <c r="R11" s="840"/>
    </row>
    <row r="12" spans="1:18">
      <c r="A12" s="323" t="s">
        <v>519</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461.15838542301219</v>
      </c>
      <c r="C14" s="21"/>
      <c r="D14" s="21">
        <f t="shared" ref="D14:M14" si="0">((D5)*10^9/3600)+D12</f>
        <v>793.99974745053385</v>
      </c>
      <c r="E14" s="21">
        <f t="shared" si="0"/>
        <v>701.54191595765644</v>
      </c>
      <c r="F14" s="21"/>
      <c r="G14" s="21">
        <f t="shared" si="0"/>
        <v>402750.67884546315</v>
      </c>
      <c r="H14" s="21">
        <f t="shared" si="0"/>
        <v>76578.940433330819</v>
      </c>
      <c r="I14" s="21"/>
      <c r="J14" s="21"/>
      <c r="K14" s="21"/>
      <c r="L14" s="21"/>
      <c r="M14" s="21">
        <f t="shared" si="0"/>
        <v>28285.562594178849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0.18511569550327223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85.367655254746978</v>
      </c>
      <c r="C18" s="23"/>
      <c r="D18" s="23">
        <f t="shared" ref="D18:M18" si="1">D14*D16</f>
        <v>160.38794898500785</v>
      </c>
      <c r="E18" s="23">
        <f t="shared" si="1"/>
        <v>159.250014922388</v>
      </c>
      <c r="F18" s="23"/>
      <c r="G18" s="23">
        <f t="shared" si="1"/>
        <v>107534.43125173867</v>
      </c>
      <c r="H18" s="23">
        <f t="shared" si="1"/>
        <v>19068.156167899375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29"/>
    </row>
    <row r="21" spans="1:18">
      <c r="A21" s="259" t="s">
        <v>475</v>
      </c>
      <c r="B21" s="260"/>
      <c r="C21" s="261"/>
      <c r="D21" s="261"/>
      <c r="E21" s="261"/>
      <c r="F21" s="261"/>
      <c r="G21" s="261"/>
      <c r="H21" s="261"/>
      <c r="I21" s="261"/>
      <c r="J21" s="261"/>
      <c r="K21" s="261"/>
      <c r="L21" s="261"/>
      <c r="M21" s="261"/>
      <c r="N21" s="262"/>
    </row>
    <row r="22" spans="1:18">
      <c r="A22" s="256"/>
      <c r="B22" s="257"/>
      <c r="C22" s="43"/>
      <c r="D22" s="43"/>
      <c r="E22" s="43"/>
      <c r="F22" s="43"/>
      <c r="G22" s="43"/>
      <c r="H22" s="43"/>
      <c r="I22" s="43"/>
      <c r="J22" s="43"/>
      <c r="K22" s="43"/>
      <c r="L22" s="43"/>
      <c r="M22" s="43"/>
      <c r="N22" s="171"/>
    </row>
    <row r="23" spans="1:18">
      <c r="A23" s="264" t="s">
        <v>296</v>
      </c>
      <c r="B23" s="874" t="s">
        <v>297</v>
      </c>
      <c r="C23" s="874" t="s">
        <v>615</v>
      </c>
      <c r="D23" s="874" t="s">
        <v>616</v>
      </c>
      <c r="E23" s="874" t="s">
        <v>617</v>
      </c>
      <c r="F23" s="874" t="s">
        <v>600</v>
      </c>
      <c r="G23" s="874" t="s">
        <v>618</v>
      </c>
      <c r="H23" s="874" t="s">
        <v>619</v>
      </c>
      <c r="I23" s="874" t="s">
        <v>112</v>
      </c>
      <c r="J23" s="874" t="s">
        <v>620</v>
      </c>
      <c r="K23" s="874" t="s">
        <v>621</v>
      </c>
      <c r="L23" s="875" t="s">
        <v>622</v>
      </c>
      <c r="M23" s="128" t="s">
        <v>175</v>
      </c>
      <c r="N23" s="265" t="s">
        <v>304</v>
      </c>
    </row>
    <row r="24" spans="1:18">
      <c r="A24" s="32" t="s">
        <v>607</v>
      </c>
      <c r="B24" s="1012">
        <v>2.1857577031362901E-3</v>
      </c>
      <c r="C24" s="1012">
        <v>0.73286639335235404</v>
      </c>
      <c r="D24" s="1012" t="s">
        <v>834</v>
      </c>
      <c r="E24" s="1012">
        <v>3.6256136221114157E-4</v>
      </c>
      <c r="F24" s="1013"/>
      <c r="G24" s="1012">
        <v>2.6985932462883127E-3</v>
      </c>
      <c r="H24" s="1012" t="s">
        <v>834</v>
      </c>
      <c r="I24" s="1012">
        <v>2.1184199772920974E-3</v>
      </c>
      <c r="J24" s="1012">
        <v>0.24994165417596889</v>
      </c>
      <c r="K24" s="1012">
        <v>6.4685181898363866E-3</v>
      </c>
      <c r="L24" s="1012">
        <v>3.3581019929130127E-3</v>
      </c>
      <c r="M24" s="1005" t="s">
        <v>872</v>
      </c>
      <c r="N24" s="842">
        <f>SUM(B24:L24)</f>
        <v>1.0000000000000002</v>
      </c>
      <c r="O24" s="840"/>
    </row>
    <row r="25" spans="1:18">
      <c r="A25" s="32" t="s">
        <v>608</v>
      </c>
      <c r="B25" s="1012" t="s">
        <v>834</v>
      </c>
      <c r="C25" s="1012">
        <v>0.99991937124543873</v>
      </c>
      <c r="D25" s="1012" t="s">
        <v>834</v>
      </c>
      <c r="E25" s="1012" t="s">
        <v>834</v>
      </c>
      <c r="F25" s="1013"/>
      <c r="G25" s="1012">
        <v>5.523851720144417E-5</v>
      </c>
      <c r="H25" s="1012" t="s">
        <v>834</v>
      </c>
      <c r="I25" s="1012" t="s">
        <v>834</v>
      </c>
      <c r="J25" s="1012">
        <v>2.5390237359768633E-5</v>
      </c>
      <c r="K25" s="1012" t="s">
        <v>834</v>
      </c>
      <c r="L25" s="1012" t="s">
        <v>834</v>
      </c>
      <c r="M25" s="1005" t="s">
        <v>872</v>
      </c>
      <c r="N25" s="842">
        <f>SUM(B25:L25)</f>
        <v>1</v>
      </c>
    </row>
    <row r="26" spans="1:18">
      <c r="A26" s="237"/>
      <c r="B26" s="177"/>
      <c r="C26" s="177"/>
      <c r="D26" s="177"/>
      <c r="E26" s="177"/>
      <c r="F26" s="177"/>
      <c r="G26" s="177"/>
      <c r="H26" s="177"/>
      <c r="I26" s="177"/>
      <c r="J26" s="177"/>
      <c r="K26" s="177"/>
      <c r="L26" s="175"/>
      <c r="M26" s="175"/>
      <c r="N26" s="173"/>
    </row>
    <row r="27" spans="1:18" s="43" customFormat="1"/>
    <row r="28" spans="1:18">
      <c r="A28" s="259" t="s">
        <v>476</v>
      </c>
      <c r="B28" s="261"/>
      <c r="C28" s="261"/>
      <c r="D28" s="261"/>
      <c r="E28" s="261"/>
      <c r="F28" s="261"/>
      <c r="G28" s="261"/>
      <c r="H28" s="261"/>
      <c r="I28" s="261"/>
      <c r="J28" s="261"/>
      <c r="K28" s="261"/>
      <c r="L28" s="262"/>
    </row>
    <row r="29" spans="1:18">
      <c r="A29" s="258"/>
      <c r="B29" s="263"/>
      <c r="C29" s="263"/>
      <c r="D29" s="263"/>
      <c r="E29" s="263"/>
      <c r="F29" s="43"/>
      <c r="G29" s="43"/>
      <c r="H29" s="43"/>
      <c r="I29" s="43"/>
      <c r="J29" s="43"/>
      <c r="K29" s="43"/>
      <c r="L29" s="171"/>
    </row>
    <row r="30" spans="1:18">
      <c r="A30" s="413" t="s">
        <v>195</v>
      </c>
      <c r="B30" s="270" t="s">
        <v>305</v>
      </c>
      <c r="C30" s="839">
        <v>2017</v>
      </c>
      <c r="D30" s="270" t="s">
        <v>306</v>
      </c>
      <c r="E30" s="240" t="s">
        <v>175</v>
      </c>
      <c r="F30" s="267"/>
      <c r="G30" s="240"/>
      <c r="H30" s="240"/>
      <c r="I30" s="240"/>
      <c r="J30" s="240"/>
      <c r="K30" s="240"/>
      <c r="L30" s="268"/>
    </row>
    <row r="31" spans="1:18">
      <c r="A31" s="271" t="s">
        <v>307</v>
      </c>
      <c r="B31" s="272"/>
      <c r="F31" s="53"/>
      <c r="G31" s="43"/>
      <c r="H31" s="43"/>
      <c r="I31" s="43"/>
      <c r="J31" s="43"/>
      <c r="K31" s="43"/>
      <c r="L31" s="171"/>
    </row>
    <row r="32" spans="1:18">
      <c r="A32" s="273" t="s">
        <v>308</v>
      </c>
      <c r="B32" s="274"/>
      <c r="F32" s="53"/>
      <c r="G32" s="43"/>
      <c r="H32" s="43"/>
      <c r="I32" s="43"/>
      <c r="J32" s="43"/>
      <c r="K32" s="43"/>
      <c r="L32" s="171"/>
    </row>
    <row r="33" spans="1:16">
      <c r="A33" s="273" t="s">
        <v>309</v>
      </c>
      <c r="B33" s="275"/>
      <c r="F33" s="53"/>
      <c r="G33" s="43"/>
      <c r="H33" s="43"/>
      <c r="I33" s="43"/>
      <c r="J33" s="43"/>
      <c r="K33" s="43"/>
      <c r="L33" s="171"/>
    </row>
    <row r="34" spans="1:16">
      <c r="A34" s="273" t="s">
        <v>310</v>
      </c>
      <c r="B34" s="275"/>
      <c r="F34" s="53"/>
      <c r="G34" s="43"/>
      <c r="H34" s="43"/>
      <c r="I34" s="43"/>
      <c r="J34" s="43"/>
      <c r="K34" s="43"/>
      <c r="L34" s="171"/>
    </row>
    <row r="35" spans="1:16">
      <c r="A35" s="273" t="s">
        <v>311</v>
      </c>
      <c r="B35" s="275"/>
      <c r="C35" s="277">
        <v>5.45E-2</v>
      </c>
      <c r="D35" s="58"/>
      <c r="E35" s="1006" t="s">
        <v>848</v>
      </c>
      <c r="F35" s="53"/>
      <c r="G35" s="43"/>
      <c r="H35" s="43"/>
      <c r="I35" s="43"/>
      <c r="J35" s="43"/>
      <c r="K35" s="43"/>
      <c r="L35" s="171"/>
    </row>
    <row r="36" spans="1:16">
      <c r="A36" s="258"/>
      <c r="B36" s="43"/>
      <c r="C36" s="43"/>
      <c r="D36" s="43"/>
      <c r="E36" s="153"/>
      <c r="F36" s="53"/>
      <c r="G36" s="43"/>
      <c r="H36" s="43"/>
      <c r="I36" s="43"/>
      <c r="J36" s="43"/>
      <c r="K36" s="43"/>
      <c r="L36" s="171"/>
    </row>
    <row r="37" spans="1:16">
      <c r="A37" s="413" t="s">
        <v>113</v>
      </c>
      <c r="B37" s="270" t="s">
        <v>305</v>
      </c>
      <c r="C37" s="839">
        <f>C30</f>
        <v>2017</v>
      </c>
      <c r="D37" s="270" t="s">
        <v>306</v>
      </c>
      <c r="E37" s="873" t="s">
        <v>175</v>
      </c>
      <c r="F37" s="280"/>
      <c r="G37" s="264"/>
      <c r="H37" s="264"/>
      <c r="I37" s="264"/>
      <c r="J37" s="264"/>
      <c r="K37" s="264"/>
      <c r="L37" s="265"/>
    </row>
    <row r="38" spans="1:16">
      <c r="A38" s="273" t="s">
        <v>312</v>
      </c>
      <c r="B38" s="274"/>
      <c r="F38" s="276"/>
      <c r="G38" s="58"/>
      <c r="H38" s="58"/>
      <c r="I38" s="58"/>
      <c r="J38" s="58"/>
      <c r="K38" s="58"/>
      <c r="L38" s="278"/>
    </row>
    <row r="39" spans="1:16">
      <c r="A39" s="273" t="s">
        <v>313</v>
      </c>
      <c r="B39" s="274"/>
      <c r="F39" s="276"/>
      <c r="G39" s="58"/>
      <c r="H39" s="58"/>
      <c r="I39" s="58"/>
      <c r="J39" s="58"/>
      <c r="K39" s="58"/>
      <c r="L39" s="278"/>
    </row>
    <row r="40" spans="1:16">
      <c r="A40" s="273" t="s">
        <v>309</v>
      </c>
      <c r="B40" s="275"/>
      <c r="F40" s="58"/>
      <c r="G40" s="58"/>
      <c r="H40" s="58"/>
      <c r="I40" s="58"/>
      <c r="J40" s="58"/>
      <c r="K40" s="58"/>
      <c r="L40" s="278"/>
    </row>
    <row r="41" spans="1:16" ht="15" customHeight="1">
      <c r="A41" s="273" t="s">
        <v>314</v>
      </c>
      <c r="B41" s="275"/>
      <c r="F41" s="58"/>
      <c r="G41" s="58"/>
      <c r="H41" s="58"/>
      <c r="I41" s="58"/>
      <c r="J41" s="58"/>
      <c r="K41" s="58"/>
      <c r="L41" s="278"/>
    </row>
    <row r="42" spans="1:16">
      <c r="A42" s="273" t="s">
        <v>311</v>
      </c>
      <c r="B42" s="275"/>
      <c r="C42" s="277">
        <v>6.2100000000000002E-2</v>
      </c>
      <c r="D42" s="276"/>
      <c r="E42" s="1006" t="str">
        <f>E35</f>
        <v>Data VMM 2020</v>
      </c>
      <c r="F42" s="58"/>
      <c r="G42" s="279"/>
      <c r="H42" s="58"/>
      <c r="I42" s="58"/>
      <c r="J42" s="58"/>
      <c r="K42" s="58"/>
      <c r="L42" s="278"/>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175" t="s">
        <v>474</v>
      </c>
      <c r="B46" s="1176" t="s">
        <v>520</v>
      </c>
      <c r="C46" s="1177"/>
      <c r="D46" s="1177"/>
      <c r="E46" s="1177"/>
      <c r="F46" s="1177"/>
      <c r="G46" s="1177"/>
      <c r="H46" s="1177"/>
      <c r="I46" s="1177"/>
      <c r="J46" s="1177"/>
      <c r="K46" s="1177"/>
      <c r="L46" s="1177"/>
      <c r="M46" s="1177"/>
      <c r="N46" s="1177"/>
      <c r="O46" s="1177"/>
      <c r="P46" s="1177"/>
    </row>
    <row r="47" spans="1:16" s="15" customFormat="1" ht="15.75" thickTop="1">
      <c r="A47" s="1175"/>
      <c r="B47" s="1178" t="s">
        <v>20</v>
      </c>
      <c r="C47" s="1178" t="s">
        <v>189</v>
      </c>
      <c r="D47" s="1180" t="s">
        <v>190</v>
      </c>
      <c r="E47" s="1181"/>
      <c r="F47" s="1181"/>
      <c r="G47" s="1181"/>
      <c r="H47" s="1181"/>
      <c r="I47" s="1181"/>
      <c r="J47" s="1181"/>
      <c r="K47" s="1182"/>
      <c r="L47" s="1180" t="s">
        <v>191</v>
      </c>
      <c r="M47" s="1181"/>
      <c r="N47" s="1181"/>
      <c r="O47" s="1181"/>
      <c r="P47" s="1182"/>
    </row>
    <row r="48" spans="1:16" s="15" customFormat="1" ht="45">
      <c r="A48" s="1175"/>
      <c r="B48" s="1179"/>
      <c r="C48" s="1179"/>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319</v>
      </c>
      <c r="B50" s="313">
        <f>SUM(B51:B52)</f>
        <v>8.992274874552997E-5</v>
      </c>
      <c r="C50" s="313">
        <f t="shared" ref="C50:P50" si="2">SUM(C51:C52)</f>
        <v>0</v>
      </c>
      <c r="D50" s="313">
        <f t="shared" si="2"/>
        <v>0</v>
      </c>
      <c r="E50" s="313">
        <f t="shared" si="2"/>
        <v>0</v>
      </c>
      <c r="F50" s="313">
        <f t="shared" si="2"/>
        <v>0</v>
      </c>
      <c r="G50" s="313">
        <f t="shared" si="2"/>
        <v>6.5150386776101042E-3</v>
      </c>
      <c r="H50" s="313">
        <f t="shared" si="2"/>
        <v>0</v>
      </c>
      <c r="I50" s="313">
        <f t="shared" si="2"/>
        <v>0</v>
      </c>
      <c r="J50" s="313">
        <f t="shared" si="2"/>
        <v>0</v>
      </c>
      <c r="K50" s="313">
        <f t="shared" si="2"/>
        <v>0</v>
      </c>
      <c r="L50" s="313">
        <f t="shared" si="2"/>
        <v>0</v>
      </c>
      <c r="M50" s="313">
        <f t="shared" si="2"/>
        <v>3.6850998960818418E-4</v>
      </c>
      <c r="N50" s="313">
        <f t="shared" si="2"/>
        <v>0</v>
      </c>
      <c r="O50" s="313">
        <f t="shared" si="2"/>
        <v>0</v>
      </c>
      <c r="P50" s="314">
        <f t="shared" si="2"/>
        <v>0</v>
      </c>
    </row>
    <row r="51" spans="1:18">
      <c r="A51" s="258"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8.992274874552997E-5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6.5150386776101042E-3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3.6850998960818418E-4</v>
      </c>
      <c r="N51" s="315"/>
      <c r="O51" s="315"/>
      <c r="P51" s="318"/>
    </row>
    <row r="52" spans="1:18">
      <c r="A52" s="4" t="s">
        <v>317</v>
      </c>
      <c r="B52" s="844">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24.978541318202769</v>
      </c>
      <c r="C54" s="21">
        <f t="shared" ref="C54:P54" si="3">(C50)*10^9/3600</f>
        <v>0</v>
      </c>
      <c r="D54" s="21">
        <f t="shared" si="3"/>
        <v>0</v>
      </c>
      <c r="E54" s="21">
        <f t="shared" si="3"/>
        <v>0</v>
      </c>
      <c r="F54" s="21">
        <f t="shared" si="3"/>
        <v>0</v>
      </c>
      <c r="G54" s="21">
        <f t="shared" si="3"/>
        <v>1809.7329660028067</v>
      </c>
      <c r="H54" s="21">
        <f t="shared" si="3"/>
        <v>0</v>
      </c>
      <c r="I54" s="21">
        <f t="shared" si="3"/>
        <v>0</v>
      </c>
      <c r="J54" s="21">
        <f t="shared" si="3"/>
        <v>0</v>
      </c>
      <c r="K54" s="21">
        <f t="shared" si="3"/>
        <v>0</v>
      </c>
      <c r="L54" s="21">
        <f t="shared" si="3"/>
        <v>0</v>
      </c>
      <c r="M54" s="21">
        <f t="shared" si="3"/>
        <v>102.36388600227339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0.18511569550327223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4.6239200487763279</v>
      </c>
      <c r="C58" s="23">
        <f t="shared" ref="C58:P58" ca="1" si="4">C54*C56</f>
        <v>0</v>
      </c>
      <c r="D58" s="23">
        <f t="shared" si="4"/>
        <v>0</v>
      </c>
      <c r="E58" s="23">
        <f t="shared" si="4"/>
        <v>0</v>
      </c>
      <c r="F58" s="23">
        <f t="shared" si="4"/>
        <v>0</v>
      </c>
      <c r="G58" s="23">
        <f t="shared" si="4"/>
        <v>483.19870192274942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9" t="s">
        <v>534</v>
      </c>
      <c r="B61" s="261"/>
      <c r="C61" s="262"/>
    </row>
    <row r="62" spans="1:18" s="15" customFormat="1">
      <c r="A62" s="288"/>
      <c r="B62" s="284"/>
      <c r="C62" s="289"/>
    </row>
    <row r="63" spans="1:18">
      <c r="A63" s="290"/>
      <c r="B63" s="132"/>
      <c r="C63" s="291" t="s">
        <v>175</v>
      </c>
    </row>
    <row r="64" spans="1:18">
      <c r="A64" s="282" t="s">
        <v>195</v>
      </c>
      <c r="B64" s="285">
        <f>100%-B65</f>
        <v>0.94399999999999995</v>
      </c>
      <c r="C64" s="171"/>
    </row>
    <row r="65" spans="1:12">
      <c r="A65" s="282" t="s">
        <v>833</v>
      </c>
      <c r="B65" s="1011">
        <v>5.6000000000000001E-2</v>
      </c>
      <c r="C65" s="171" t="s">
        <v>669</v>
      </c>
    </row>
    <row r="66" spans="1:12" s="15" customFormat="1">
      <c r="A66" s="283"/>
      <c r="B66" s="266"/>
      <c r="C66" s="229"/>
    </row>
    <row r="67" spans="1:12">
      <c r="A67" s="286" t="s">
        <v>304</v>
      </c>
      <c r="B67" s="287">
        <f>SUM(B64:B65)</f>
        <v>1</v>
      </c>
      <c r="C67" s="173"/>
    </row>
    <row r="70" spans="1:12">
      <c r="A70" s="259" t="s">
        <v>476</v>
      </c>
      <c r="B70" s="261"/>
      <c r="C70" s="261"/>
      <c r="D70" s="261"/>
      <c r="E70" s="261"/>
      <c r="F70" s="261"/>
      <c r="G70" s="261"/>
      <c r="H70" s="261"/>
      <c r="I70" s="261"/>
      <c r="J70" s="261"/>
      <c r="K70" s="261"/>
      <c r="L70" s="262"/>
    </row>
    <row r="71" spans="1:12">
      <c r="A71" s="411" t="s">
        <v>535</v>
      </c>
    </row>
    <row r="72" spans="1:12">
      <c r="A72" s="258"/>
      <c r="B72" s="263"/>
      <c r="C72" s="263"/>
      <c r="D72" s="263"/>
      <c r="E72" s="263"/>
    </row>
    <row r="73" spans="1:12">
      <c r="A73" s="269"/>
      <c r="B73" s="270" t="s">
        <v>305</v>
      </c>
      <c r="C73" s="839">
        <f>C30</f>
        <v>2017</v>
      </c>
      <c r="D73" s="270" t="s">
        <v>306</v>
      </c>
      <c r="E73" s="240"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5.45E-2</v>
      </c>
      <c r="D78" s="410"/>
      <c r="E78" t="str">
        <f>E35</f>
        <v>Data VMM 2020</v>
      </c>
    </row>
    <row r="79" spans="1:12">
      <c r="B79" s="410"/>
      <c r="C79" s="410"/>
      <c r="D79" s="410"/>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5"/>
  <sheetViews>
    <sheetView showGridLines="0" zoomScale="65" zoomScaleNormal="65" workbookViewId="0">
      <selection activeCell="A28" sqref="A28:XFD33"/>
    </sheetView>
  </sheetViews>
  <sheetFormatPr defaultColWidth="9.140625" defaultRowHeight="15"/>
  <cols>
    <col min="1" max="1" width="38" style="606" customWidth="1"/>
    <col min="2" max="2" width="27" style="606" customWidth="1"/>
    <col min="3" max="3" width="25.42578125" style="606" customWidth="1"/>
    <col min="4" max="4" width="41.28515625" style="606" customWidth="1"/>
    <col min="5" max="5" width="27.5703125" style="606" customWidth="1"/>
    <col min="6" max="7" width="18" style="606" customWidth="1"/>
    <col min="8" max="8" width="23.42578125" style="606" customWidth="1"/>
    <col min="9" max="9" width="28.5703125" style="606" customWidth="1"/>
    <col min="10" max="10" width="35.28515625" style="606" customWidth="1"/>
    <col min="11" max="11" width="32.7109375" style="606" customWidth="1"/>
    <col min="12" max="14" width="23.85546875" style="606" customWidth="1"/>
    <col min="15" max="15" width="21.140625" style="606" customWidth="1"/>
    <col min="16" max="16" width="17.5703125" style="606" customWidth="1"/>
    <col min="17" max="17" width="22.85546875" style="606" customWidth="1"/>
    <col min="18" max="18" width="19.140625" style="606" customWidth="1"/>
    <col min="19" max="19" width="24.7109375" style="606" customWidth="1"/>
    <col min="20" max="20" width="9.140625" style="606"/>
    <col min="21" max="21" width="21.140625" style="606" customWidth="1"/>
    <col min="22" max="22" width="14.85546875" style="606" customWidth="1"/>
    <col min="23" max="24" width="16.140625" style="606" customWidth="1"/>
    <col min="25" max="25" width="14.7109375" style="606" customWidth="1"/>
    <col min="26" max="27" width="16.140625" style="606" customWidth="1"/>
    <col min="28" max="28" width="17.28515625" style="606" customWidth="1"/>
    <col min="29" max="29" width="16.85546875" style="606" customWidth="1"/>
    <col min="30" max="16384" width="9.140625" style="606"/>
  </cols>
  <sheetData>
    <row r="1" spans="1:21" s="525" customFormat="1" ht="17.45" customHeight="1" thickTop="1" thickBot="1">
      <c r="A1" s="1201" t="s">
        <v>229</v>
      </c>
      <c r="B1" s="1204" t="s">
        <v>230</v>
      </c>
      <c r="C1" s="1214" t="s">
        <v>231</v>
      </c>
      <c r="D1" s="1215"/>
      <c r="E1" s="1215"/>
      <c r="F1" s="1215"/>
      <c r="G1" s="1215"/>
      <c r="H1" s="1215"/>
      <c r="I1" s="1215"/>
      <c r="J1" s="1215"/>
      <c r="K1" s="1215"/>
      <c r="L1" s="1215"/>
      <c r="M1" s="1215"/>
      <c r="N1" s="1216"/>
      <c r="O1" s="1206" t="s">
        <v>232</v>
      </c>
      <c r="P1" s="1204" t="s">
        <v>522</v>
      </c>
      <c r="Q1" s="1206"/>
      <c r="S1" s="1200"/>
      <c r="T1" s="1200"/>
      <c r="U1" s="1200"/>
    </row>
    <row r="2" spans="1:21" s="525" customFormat="1" ht="15.75" thickBot="1">
      <c r="A2" s="1202"/>
      <c r="B2" s="1202"/>
      <c r="C2" s="1209" t="s">
        <v>190</v>
      </c>
      <c r="D2" s="1210"/>
      <c r="E2" s="1210"/>
      <c r="F2" s="1210"/>
      <c r="G2" s="1211"/>
      <c r="H2" s="1212" t="s">
        <v>233</v>
      </c>
      <c r="I2" s="1198" t="s">
        <v>234</v>
      </c>
      <c r="J2" s="1198" t="s">
        <v>222</v>
      </c>
      <c r="K2" s="1198" t="s">
        <v>235</v>
      </c>
      <c r="L2" s="1198" t="s">
        <v>120</v>
      </c>
      <c r="M2" s="1198" t="s">
        <v>688</v>
      </c>
      <c r="N2" s="1217" t="s">
        <v>689</v>
      </c>
      <c r="O2" s="1207"/>
      <c r="P2" s="1219"/>
      <c r="Q2" s="1207"/>
      <c r="S2" s="1200"/>
      <c r="T2" s="1200"/>
      <c r="U2" s="1200"/>
    </row>
    <row r="3" spans="1:21" s="525" customFormat="1" ht="53.45" customHeight="1" thickBot="1">
      <c r="A3" s="1203"/>
      <c r="B3" s="1205"/>
      <c r="C3" s="526" t="s">
        <v>192</v>
      </c>
      <c r="D3" s="527" t="s">
        <v>193</v>
      </c>
      <c r="E3" s="528" t="s">
        <v>194</v>
      </c>
      <c r="F3" s="529" t="s">
        <v>196</v>
      </c>
      <c r="G3" s="530" t="s">
        <v>197</v>
      </c>
      <c r="H3" s="1213"/>
      <c r="I3" s="1199"/>
      <c r="J3" s="1199"/>
      <c r="K3" s="1199"/>
      <c r="L3" s="1199"/>
      <c r="M3" s="1199"/>
      <c r="N3" s="1218"/>
      <c r="O3" s="1208"/>
      <c r="P3" s="1205"/>
      <c r="Q3" s="1208"/>
      <c r="S3" s="1200"/>
      <c r="T3" s="1200"/>
      <c r="U3" s="1200"/>
    </row>
    <row r="4" spans="1:21" s="525" customFormat="1" ht="15.75" thickTop="1">
      <c r="A4" s="531" t="s">
        <v>237</v>
      </c>
      <c r="B4" s="532">
        <f>IF(ISERROR(kWh_wind_land),0,kWh_wind_land)</f>
        <v>24410.56222583029</v>
      </c>
      <c r="C4" s="1186"/>
      <c r="D4" s="1189"/>
      <c r="E4" s="1189"/>
      <c r="F4" s="1192"/>
      <c r="G4" s="1195"/>
      <c r="H4" s="1183"/>
      <c r="I4" s="1189"/>
      <c r="J4" s="1189"/>
      <c r="K4" s="1189"/>
      <c r="L4" s="1189"/>
      <c r="M4" s="1189"/>
      <c r="N4" s="913"/>
      <c r="O4" s="533"/>
      <c r="P4" s="1228"/>
      <c r="Q4" s="1229"/>
      <c r="S4" s="534"/>
      <c r="T4" s="1227"/>
      <c r="U4" s="1227"/>
    </row>
    <row r="5" spans="1:21" s="525" customFormat="1">
      <c r="A5" s="535" t="s">
        <v>238</v>
      </c>
      <c r="B5" s="532">
        <f>IF(ISERROR(kWh_waterkracht),0,kWh_waterkracht)</f>
        <v>0</v>
      </c>
      <c r="C5" s="1187"/>
      <c r="D5" s="1190"/>
      <c r="E5" s="1190"/>
      <c r="F5" s="1193"/>
      <c r="G5" s="1196"/>
      <c r="H5" s="1184"/>
      <c r="I5" s="1190"/>
      <c r="J5" s="1190"/>
      <c r="K5" s="1190"/>
      <c r="L5" s="1190"/>
      <c r="M5" s="1190"/>
      <c r="N5" s="913"/>
      <c r="O5" s="536"/>
      <c r="P5" s="1230"/>
      <c r="Q5" s="1231"/>
      <c r="S5" s="534"/>
      <c r="T5" s="1227"/>
      <c r="U5" s="1227"/>
    </row>
    <row r="6" spans="1:21" s="525" customFormat="1">
      <c r="A6" s="535" t="s">
        <v>239</v>
      </c>
      <c r="B6" s="532">
        <f>IF(ISERROR((kWh_PV_kleiner_dan_10kW+kWh_PV_groter_dan_10kW)),0,(kWh_PV_kleiner_dan_10kW+kWh_PV_groter_dan_10kW))</f>
        <v>12590.075053412182</v>
      </c>
      <c r="C6" s="1187"/>
      <c r="D6" s="1190"/>
      <c r="E6" s="1190"/>
      <c r="F6" s="1193"/>
      <c r="G6" s="1196"/>
      <c r="H6" s="1184"/>
      <c r="I6" s="1190"/>
      <c r="J6" s="1190"/>
      <c r="K6" s="1190"/>
      <c r="L6" s="1190"/>
      <c r="M6" s="1190"/>
      <c r="N6" s="913"/>
      <c r="O6" s="536"/>
      <c r="P6" s="1230"/>
      <c r="Q6" s="1231"/>
      <c r="S6" s="534"/>
      <c r="T6" s="1227"/>
      <c r="U6" s="1227"/>
    </row>
    <row r="7" spans="1:21" s="525" customFormat="1">
      <c r="A7" s="535" t="s">
        <v>686</v>
      </c>
      <c r="B7" s="532"/>
      <c r="C7" s="1188"/>
      <c r="D7" s="1191"/>
      <c r="E7" s="1191"/>
      <c r="F7" s="1194"/>
      <c r="G7" s="1197"/>
      <c r="H7" s="1185"/>
      <c r="I7" s="1191"/>
      <c r="J7" s="1191"/>
      <c r="K7" s="1191"/>
      <c r="L7" s="1191"/>
      <c r="M7" s="1191"/>
      <c r="N7" s="914"/>
      <c r="O7" s="536"/>
      <c r="P7" s="898"/>
      <c r="Q7" s="899"/>
      <c r="S7" s="897"/>
      <c r="T7" s="897"/>
      <c r="U7" s="897"/>
    </row>
    <row r="8" spans="1:21" s="525" customFormat="1">
      <c r="A8" s="537" t="s">
        <v>240</v>
      </c>
      <c r="B8" s="538">
        <f>N33</f>
        <v>21622.5</v>
      </c>
      <c r="C8" s="539">
        <f>B52</f>
        <v>25438.235294117647</v>
      </c>
      <c r="D8" s="540"/>
      <c r="E8" s="540">
        <f>E52</f>
        <v>0</v>
      </c>
      <c r="F8" s="541"/>
      <c r="G8" s="542"/>
      <c r="H8" s="540">
        <f>I52</f>
        <v>0</v>
      </c>
      <c r="I8" s="540">
        <f>G52+F52</f>
        <v>0</v>
      </c>
      <c r="J8" s="540">
        <f>H52+D52+C52</f>
        <v>0</v>
      </c>
      <c r="K8" s="540"/>
      <c r="L8" s="540"/>
      <c r="M8" s="540"/>
      <c r="N8" s="543"/>
      <c r="O8" s="544">
        <f>C8*$C$12+D8*$D$12+E8*$E$12+F8*$F$12+G8*$G$12+H8*$H$12+I8*$I$12+J8*$J$12</f>
        <v>5138.5235294117647</v>
      </c>
      <c r="P8" s="1230"/>
      <c r="Q8" s="1231"/>
      <c r="S8" s="534"/>
      <c r="T8" s="1227"/>
      <c r="U8" s="1227"/>
    </row>
    <row r="9" spans="1:21" s="525" customFormat="1" ht="17.45" customHeight="1" thickBot="1">
      <c r="A9" s="545" t="s">
        <v>236</v>
      </c>
      <c r="B9" s="546">
        <f>N40+'Eigen informatie GS &amp; warmtenet'!B12</f>
        <v>0</v>
      </c>
      <c r="C9" s="547">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22"/>
      <c r="O9" s="544">
        <f>C9*$C$12+D9*$D$12+E9*$E$12+F9*$F$12+G9*$G$12+H9*$H$12+I9*$I$12+J9*$J$12</f>
        <v>0</v>
      </c>
      <c r="P9" s="1232"/>
      <c r="Q9" s="1233"/>
      <c r="R9" s="551"/>
      <c r="S9" s="534"/>
      <c r="T9" s="1227"/>
      <c r="U9" s="1227"/>
    </row>
    <row r="10" spans="1:21" s="525" customFormat="1" ht="16.5" thickTop="1" thickBot="1">
      <c r="A10" s="552" t="s">
        <v>109</v>
      </c>
      <c r="B10" s="553">
        <f>SUM(B4:B9)</f>
        <v>58623.137279242474</v>
      </c>
      <c r="C10" s="554">
        <f t="shared" ref="C10:L10" si="0">SUM(C8:C9)</f>
        <v>25438.235294117647</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23"/>
      <c r="N10" s="923"/>
      <c r="O10" s="555">
        <f>SUM(O4:O9)</f>
        <v>5138.5235294117647</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278</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01" t="s">
        <v>241</v>
      </c>
      <c r="B14" s="1201" t="s">
        <v>242</v>
      </c>
      <c r="C14" s="1224" t="s">
        <v>243</v>
      </c>
      <c r="D14" s="1225"/>
      <c r="E14" s="1225"/>
      <c r="F14" s="1225"/>
      <c r="G14" s="1225"/>
      <c r="H14" s="1225"/>
      <c r="I14" s="1225"/>
      <c r="J14" s="1225"/>
      <c r="K14" s="1225"/>
      <c r="L14" s="1225"/>
      <c r="M14" s="1225"/>
      <c r="N14" s="1226"/>
      <c r="O14" s="1206" t="s">
        <v>232</v>
      </c>
      <c r="P14" s="1204" t="s">
        <v>244</v>
      </c>
      <c r="Q14" s="1206"/>
      <c r="R14" s="1200"/>
      <c r="S14" s="1200"/>
      <c r="T14" s="1200"/>
    </row>
    <row r="15" spans="1:21" s="525" customFormat="1" ht="15.75" customHeight="1" thickBot="1">
      <c r="A15" s="1202"/>
      <c r="B15" s="1202"/>
      <c r="C15" s="1220" t="s">
        <v>190</v>
      </c>
      <c r="D15" s="1221"/>
      <c r="E15" s="1221"/>
      <c r="F15" s="1221"/>
      <c r="G15" s="1222"/>
      <c r="H15" s="1223" t="s">
        <v>233</v>
      </c>
      <c r="I15" s="1223" t="s">
        <v>234</v>
      </c>
      <c r="J15" s="1223" t="s">
        <v>222</v>
      </c>
      <c r="K15" s="1223" t="s">
        <v>245</v>
      </c>
      <c r="L15" s="1223" t="s">
        <v>120</v>
      </c>
      <c r="M15" s="1223" t="s">
        <v>688</v>
      </c>
      <c r="N15" s="1217" t="s">
        <v>689</v>
      </c>
      <c r="O15" s="1207"/>
      <c r="P15" s="1219"/>
      <c r="Q15" s="1207"/>
      <c r="R15" s="1200"/>
      <c r="S15" s="1200"/>
      <c r="T15" s="1200"/>
    </row>
    <row r="16" spans="1:21" s="525" customFormat="1" ht="40.700000000000003" customHeight="1" thickBot="1">
      <c r="A16" s="1203"/>
      <c r="B16" s="1203"/>
      <c r="C16" s="565" t="s">
        <v>192</v>
      </c>
      <c r="D16" s="527" t="s">
        <v>193</v>
      </c>
      <c r="E16" s="566" t="s">
        <v>194</v>
      </c>
      <c r="F16" s="527" t="s">
        <v>196</v>
      </c>
      <c r="G16" s="567" t="s">
        <v>197</v>
      </c>
      <c r="H16" s="1213"/>
      <c r="I16" s="1213"/>
      <c r="J16" s="1213"/>
      <c r="K16" s="1213"/>
      <c r="L16" s="1213"/>
      <c r="M16" s="1213"/>
      <c r="N16" s="1218"/>
      <c r="O16" s="1208"/>
      <c r="P16" s="1205"/>
      <c r="Q16" s="1208"/>
      <c r="R16" s="1200"/>
      <c r="S16" s="1200"/>
      <c r="T16" s="1200"/>
    </row>
    <row r="17" spans="1:27" s="525" customFormat="1" ht="15.75" thickTop="1">
      <c r="A17" s="568" t="s">
        <v>240</v>
      </c>
      <c r="B17" s="569">
        <f>O33</f>
        <v>30889.28571428571</v>
      </c>
      <c r="C17" s="570">
        <f>B53</f>
        <v>36340.336134453777</v>
      </c>
      <c r="D17" s="571"/>
      <c r="E17" s="571">
        <f>E53</f>
        <v>0</v>
      </c>
      <c r="F17" s="572"/>
      <c r="G17" s="573"/>
      <c r="H17" s="570">
        <f>I53</f>
        <v>0</v>
      </c>
      <c r="I17" s="571">
        <f>G53+F53</f>
        <v>0</v>
      </c>
      <c r="J17" s="571">
        <f>H53+D53+C53</f>
        <v>0</v>
      </c>
      <c r="K17" s="571"/>
      <c r="L17" s="571"/>
      <c r="M17" s="571"/>
      <c r="N17" s="924"/>
      <c r="O17" s="574">
        <f>C17*$C$22+E17*$E$22+H17*$H$22+I17*$I$22+J17*$J$22+D17*$D$22+F17*$F$22+G17*$G$22+K17*$K$22+L17*$L$22</f>
        <v>7340.7478991596636</v>
      </c>
      <c r="P17" s="1237"/>
      <c r="Q17" s="1238"/>
      <c r="R17" s="575"/>
      <c r="S17" s="1239"/>
      <c r="T17" s="1239"/>
    </row>
    <row r="18" spans="1:27" s="525" customFormat="1">
      <c r="A18" s="576" t="s">
        <v>246</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0"/>
      <c r="Q18" s="1241"/>
      <c r="R18" s="534"/>
      <c r="S18" s="1227"/>
      <c r="T18" s="1227"/>
    </row>
    <row r="19" spans="1:27" s="525" customFormat="1" ht="15.75" thickBot="1">
      <c r="A19" s="545" t="s">
        <v>236</v>
      </c>
      <c r="B19" s="577">
        <f>'Eigen informatie GS &amp; warmtenet'!B11</f>
        <v>0</v>
      </c>
      <c r="C19" s="57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25"/>
      <c r="O19" s="574">
        <f>C19*$C$22+E19*$E$22+H19*$H$22+I19*$I$22+J19*$J$22+D19*$D$22+F19*$F$22+G19*$G$22+K19*$K$22+L19*$L$22</f>
        <v>0</v>
      </c>
      <c r="P19" s="1242"/>
      <c r="Q19" s="1243"/>
      <c r="R19" s="534"/>
      <c r="S19" s="1227"/>
      <c r="T19" s="1227"/>
    </row>
    <row r="20" spans="1:27" s="525" customFormat="1" ht="16.5" thickTop="1" thickBot="1">
      <c r="A20" s="552" t="s">
        <v>109</v>
      </c>
      <c r="B20" s="553">
        <f>SUM(B17:B19)</f>
        <v>30889.28571428571</v>
      </c>
      <c r="C20" s="553">
        <f>SUM(C17:C19)</f>
        <v>36340.336134453777</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7340.7478991596636</v>
      </c>
      <c r="P20" s="1234"/>
      <c r="Q20" s="1235"/>
      <c r="R20" s="534"/>
      <c r="S20" s="1236"/>
      <c r="T20" s="1236"/>
    </row>
    <row r="21" spans="1:27" s="525" customFormat="1" ht="15.75" thickTop="1">
      <c r="A21" s="575"/>
      <c r="B21" s="534"/>
      <c r="C21" s="534"/>
      <c r="D21" s="534"/>
      <c r="E21" s="534"/>
      <c r="F21" s="534"/>
      <c r="G21" s="534"/>
      <c r="H21" s="534"/>
      <c r="I21" s="534"/>
      <c r="J21" s="534"/>
      <c r="K21" s="534"/>
      <c r="L21" s="534"/>
      <c r="M21" s="897"/>
      <c r="N21" s="897"/>
      <c r="O21" s="534"/>
      <c r="P21" s="557"/>
      <c r="Q21" s="557"/>
      <c r="R21" s="534"/>
      <c r="S21" s="557"/>
      <c r="T21" s="557"/>
    </row>
    <row r="22" spans="1:27" s="560" customFormat="1">
      <c r="A22" s="561" t="s">
        <v>278</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267</v>
      </c>
      <c r="B27" s="627" t="s">
        <v>89</v>
      </c>
      <c r="C27" s="627" t="s">
        <v>90</v>
      </c>
      <c r="D27" s="627"/>
      <c r="E27" s="627"/>
      <c r="F27" s="627"/>
      <c r="G27" s="627" t="s">
        <v>91</v>
      </c>
      <c r="H27" s="627" t="s">
        <v>92</v>
      </c>
      <c r="I27" s="627"/>
      <c r="J27" s="627"/>
      <c r="K27" s="627"/>
      <c r="L27" s="627" t="s">
        <v>93</v>
      </c>
      <c r="M27" s="628" t="s">
        <v>286</v>
      </c>
      <c r="N27" s="628" t="s">
        <v>94</v>
      </c>
      <c r="O27" s="628" t="s">
        <v>95</v>
      </c>
      <c r="P27" s="628" t="s">
        <v>509</v>
      </c>
      <c r="Q27" s="628" t="s">
        <v>96</v>
      </c>
      <c r="R27" s="628" t="s">
        <v>97</v>
      </c>
      <c r="S27" s="628" t="s">
        <v>98</v>
      </c>
      <c r="T27" s="628" t="s">
        <v>99</v>
      </c>
      <c r="U27" s="628" t="s">
        <v>100</v>
      </c>
      <c r="V27" s="628" t="s">
        <v>101</v>
      </c>
      <c r="W27" s="627" t="s">
        <v>102</v>
      </c>
      <c r="X27" s="627" t="s">
        <v>882</v>
      </c>
      <c r="Y27" s="627" t="s">
        <v>287</v>
      </c>
      <c r="Z27" s="627" t="s">
        <v>103</v>
      </c>
      <c r="AA27" s="629" t="s">
        <v>288</v>
      </c>
    </row>
    <row r="28" spans="1:27" s="584" customFormat="1" ht="25.5" hidden="1">
      <c r="A28" s="583"/>
      <c r="B28" s="745">
        <v>12034</v>
      </c>
      <c r="C28" s="745">
        <v>2890</v>
      </c>
      <c r="D28" s="631"/>
      <c r="E28" s="630"/>
      <c r="F28" s="630"/>
      <c r="G28" s="630" t="s">
        <v>883</v>
      </c>
      <c r="H28" s="630" t="s">
        <v>884</v>
      </c>
      <c r="I28" s="630"/>
      <c r="J28" s="744"/>
      <c r="K28" s="744"/>
      <c r="L28" s="630" t="s">
        <v>885</v>
      </c>
      <c r="M28" s="630">
        <v>1532</v>
      </c>
      <c r="N28" s="630">
        <v>6894</v>
      </c>
      <c r="O28" s="630">
        <v>9848.5714285714294</v>
      </c>
      <c r="P28" s="630">
        <v>19697.142857142859</v>
      </c>
      <c r="Q28" s="630">
        <v>0</v>
      </c>
      <c r="R28" s="630">
        <v>0</v>
      </c>
      <c r="S28" s="630">
        <v>0</v>
      </c>
      <c r="T28" s="630">
        <v>0</v>
      </c>
      <c r="U28" s="630">
        <v>0</v>
      </c>
      <c r="V28" s="630">
        <v>0</v>
      </c>
      <c r="W28" s="630">
        <v>0</v>
      </c>
      <c r="X28" s="630"/>
      <c r="Y28" s="630">
        <v>10</v>
      </c>
      <c r="Z28" s="630" t="s">
        <v>105</v>
      </c>
      <c r="AA28" s="632" t="s">
        <v>105</v>
      </c>
    </row>
    <row r="29" spans="1:27" s="584" customFormat="1" ht="25.5" hidden="1">
      <c r="A29" s="583"/>
      <c r="B29" s="745">
        <v>12030</v>
      </c>
      <c r="C29" s="745">
        <v>2870</v>
      </c>
      <c r="D29" s="631"/>
      <c r="E29" s="630"/>
      <c r="F29" s="630"/>
      <c r="G29" s="630" t="s">
        <v>883</v>
      </c>
      <c r="H29" s="630" t="s">
        <v>884</v>
      </c>
      <c r="I29" s="630"/>
      <c r="J29" s="744"/>
      <c r="K29" s="744"/>
      <c r="L29" s="630" t="s">
        <v>885</v>
      </c>
      <c r="M29" s="630">
        <v>2014</v>
      </c>
      <c r="N29" s="630">
        <v>9062.9999999999982</v>
      </c>
      <c r="O29" s="630">
        <v>12947.142857142855</v>
      </c>
      <c r="P29" s="630">
        <v>25894.28571428571</v>
      </c>
      <c r="Q29" s="630">
        <v>0</v>
      </c>
      <c r="R29" s="630">
        <v>0</v>
      </c>
      <c r="S29" s="630">
        <v>0</v>
      </c>
      <c r="T29" s="630">
        <v>0</v>
      </c>
      <c r="U29" s="630">
        <v>0</v>
      </c>
      <c r="V29" s="630">
        <v>0</v>
      </c>
      <c r="W29" s="630">
        <v>0</v>
      </c>
      <c r="X29" s="630"/>
      <c r="Y29" s="630">
        <v>300</v>
      </c>
      <c r="Z29" s="630" t="s">
        <v>33</v>
      </c>
      <c r="AA29" s="632" t="s">
        <v>371</v>
      </c>
    </row>
    <row r="30" spans="1:27" s="584" customFormat="1" ht="25.5" hidden="1">
      <c r="A30" s="583"/>
      <c r="B30" s="745">
        <v>12030</v>
      </c>
      <c r="C30" s="745">
        <v>2870</v>
      </c>
      <c r="D30" s="631"/>
      <c r="E30" s="630"/>
      <c r="F30" s="630"/>
      <c r="G30" s="630" t="s">
        <v>883</v>
      </c>
      <c r="H30" s="630" t="s">
        <v>884</v>
      </c>
      <c r="I30" s="630"/>
      <c r="J30" s="744"/>
      <c r="K30" s="744"/>
      <c r="L30" s="630" t="s">
        <v>885</v>
      </c>
      <c r="M30" s="630">
        <v>1189</v>
      </c>
      <c r="N30" s="630">
        <v>5350.5</v>
      </c>
      <c r="O30" s="630">
        <v>7643.5714285714284</v>
      </c>
      <c r="P30" s="630">
        <v>15287.142857142859</v>
      </c>
      <c r="Q30" s="630">
        <v>0</v>
      </c>
      <c r="R30" s="630">
        <v>0</v>
      </c>
      <c r="S30" s="630">
        <v>0</v>
      </c>
      <c r="T30" s="630">
        <v>0</v>
      </c>
      <c r="U30" s="630">
        <v>0</v>
      </c>
      <c r="V30" s="630">
        <v>0</v>
      </c>
      <c r="W30" s="630">
        <v>0</v>
      </c>
      <c r="X30" s="630"/>
      <c r="Y30" s="630">
        <v>300</v>
      </c>
      <c r="Z30" s="630" t="s">
        <v>886</v>
      </c>
      <c r="AA30" s="632" t="s">
        <v>371</v>
      </c>
    </row>
    <row r="31" spans="1:27" s="584" customFormat="1" ht="25.5" hidden="1">
      <c r="A31" s="583"/>
      <c r="B31" s="745">
        <v>12030</v>
      </c>
      <c r="C31" s="745">
        <v>2870</v>
      </c>
      <c r="D31" s="631"/>
      <c r="E31" s="630"/>
      <c r="F31" s="630"/>
      <c r="G31" s="630" t="s">
        <v>887</v>
      </c>
      <c r="H31" s="630" t="s">
        <v>884</v>
      </c>
      <c r="I31" s="630"/>
      <c r="J31" s="744"/>
      <c r="K31" s="744"/>
      <c r="L31" s="630" t="s">
        <v>885</v>
      </c>
      <c r="M31" s="630">
        <v>55</v>
      </c>
      <c r="N31" s="630">
        <v>247.5</v>
      </c>
      <c r="O31" s="630">
        <v>353.57142857142856</v>
      </c>
      <c r="P31" s="630">
        <v>707.14285714285722</v>
      </c>
      <c r="Q31" s="630">
        <v>0</v>
      </c>
      <c r="R31" s="630">
        <v>0</v>
      </c>
      <c r="S31" s="630">
        <v>0</v>
      </c>
      <c r="T31" s="630">
        <v>0</v>
      </c>
      <c r="U31" s="630">
        <v>0</v>
      </c>
      <c r="V31" s="630">
        <v>0</v>
      </c>
      <c r="W31" s="630">
        <v>0</v>
      </c>
      <c r="X31" s="630"/>
      <c r="Y31" s="630">
        <v>500</v>
      </c>
      <c r="Z31" s="630" t="s">
        <v>40</v>
      </c>
      <c r="AA31" s="632" t="s">
        <v>371</v>
      </c>
    </row>
    <row r="32" spans="1:27" s="584" customFormat="1" ht="25.5" hidden="1">
      <c r="A32" s="583"/>
      <c r="B32" s="745">
        <v>12030</v>
      </c>
      <c r="C32" s="745">
        <v>2870</v>
      </c>
      <c r="D32" s="631"/>
      <c r="E32" s="630"/>
      <c r="F32" s="630"/>
      <c r="G32" s="630" t="s">
        <v>883</v>
      </c>
      <c r="H32" s="630" t="s">
        <v>884</v>
      </c>
      <c r="I32" s="630"/>
      <c r="J32" s="744"/>
      <c r="K32" s="744"/>
      <c r="L32" s="630" t="s">
        <v>885</v>
      </c>
      <c r="M32" s="630">
        <v>15</v>
      </c>
      <c r="N32" s="630">
        <v>67.5</v>
      </c>
      <c r="O32" s="630">
        <v>96.428571428571431</v>
      </c>
      <c r="P32" s="630">
        <v>192.85714285714286</v>
      </c>
      <c r="Q32" s="630">
        <v>0</v>
      </c>
      <c r="R32" s="630">
        <v>0</v>
      </c>
      <c r="S32" s="630">
        <v>0</v>
      </c>
      <c r="T32" s="630">
        <v>0</v>
      </c>
      <c r="U32" s="630">
        <v>0</v>
      </c>
      <c r="V32" s="630">
        <v>0</v>
      </c>
      <c r="W32" s="630">
        <v>0</v>
      </c>
      <c r="X32" s="630"/>
      <c r="Y32" s="630">
        <v>1101</v>
      </c>
      <c r="Z32" s="630" t="s">
        <v>51</v>
      </c>
      <c r="AA32" s="632" t="s">
        <v>149</v>
      </c>
    </row>
    <row r="33" spans="1:28" s="564" customFormat="1" hidden="1">
      <c r="A33" s="586" t="s">
        <v>268</v>
      </c>
      <c r="B33" s="587"/>
      <c r="C33" s="587"/>
      <c r="D33" s="587"/>
      <c r="E33" s="587"/>
      <c r="F33" s="587"/>
      <c r="G33" s="587"/>
      <c r="H33" s="587"/>
      <c r="I33" s="587"/>
      <c r="J33" s="587"/>
      <c r="K33" s="587"/>
      <c r="L33" s="588"/>
      <c r="M33" s="588">
        <f>SUM(M28:M32)</f>
        <v>4805</v>
      </c>
      <c r="N33" s="588">
        <f>SUM(N28:N32)</f>
        <v>21622.5</v>
      </c>
      <c r="O33" s="588">
        <f>SUM(O28:O32)</f>
        <v>30889.28571428571</v>
      </c>
      <c r="P33" s="588">
        <f>SUM(P28:P32)</f>
        <v>61778.57142857142</v>
      </c>
      <c r="Q33" s="588">
        <f>SUM(Q28:Q32)</f>
        <v>0</v>
      </c>
      <c r="R33" s="588">
        <f>SUM(R28:R32)</f>
        <v>0</v>
      </c>
      <c r="S33" s="588">
        <f>SUM(S28:S32)</f>
        <v>0</v>
      </c>
      <c r="T33" s="588">
        <f>SUM(T28:T32)</f>
        <v>0</v>
      </c>
      <c r="U33" s="588">
        <f>SUM(U28:U32)</f>
        <v>0</v>
      </c>
      <c r="V33" s="588">
        <f>SUM(V28:V32)</f>
        <v>0</v>
      </c>
      <c r="W33" s="588">
        <f>SUM(W28:W32)</f>
        <v>0</v>
      </c>
      <c r="X33" s="588"/>
      <c r="Y33" s="589"/>
      <c r="Z33" s="589"/>
      <c r="AA33" s="590"/>
    </row>
    <row r="34" spans="1:28" s="564" customFormat="1">
      <c r="A34" s="586" t="s">
        <v>275</v>
      </c>
      <c r="B34" s="587"/>
      <c r="C34" s="587"/>
      <c r="D34" s="587"/>
      <c r="E34" s="587"/>
      <c r="F34" s="587"/>
      <c r="G34" s="587"/>
      <c r="H34" s="587"/>
      <c r="I34" s="587"/>
      <c r="J34" s="587"/>
      <c r="K34" s="587"/>
      <c r="L34" s="588"/>
      <c r="M34" s="588">
        <f>SUMIF($AA$28:$AA$32,"industrie",M28:M32)</f>
        <v>3258</v>
      </c>
      <c r="N34" s="588">
        <f>SUMIF($AA$28:$AA$32,"industrie",N28:N32)</f>
        <v>14660.999999999998</v>
      </c>
      <c r="O34" s="588">
        <f>SUMIF($AA$28:$AA$32,"industrie",O28:O32)</f>
        <v>20944.28571428571</v>
      </c>
      <c r="P34" s="588">
        <f>SUMIF($AA$28:$AA$32,"industrie",P28:P32)</f>
        <v>41888.57142857142</v>
      </c>
      <c r="Q34" s="588">
        <f>SUMIF($AA$28:$AA$32,"industrie",Q28:Q32)</f>
        <v>0</v>
      </c>
      <c r="R34" s="588">
        <f>SUMIF($AA$28:$AA$32,"industrie",R28:R32)</f>
        <v>0</v>
      </c>
      <c r="S34" s="588">
        <f>SUMIF($AA$28:$AA$32,"industrie",S28:S32)</f>
        <v>0</v>
      </c>
      <c r="T34" s="588">
        <f>SUMIF($AA$28:$AA$32,"industrie",T28:T32)</f>
        <v>0</v>
      </c>
      <c r="U34" s="588">
        <f>SUMIF($AA$28:$AA$32,"industrie",U28:U32)</f>
        <v>0</v>
      </c>
      <c r="V34" s="588">
        <f>SUMIF($AA$28:$AA$32,"industrie",V28:V32)</f>
        <v>0</v>
      </c>
      <c r="W34" s="588">
        <f>SUMIF($AA$28:$AA$32,"industrie",W28:W32)</f>
        <v>0</v>
      </c>
      <c r="X34" s="588"/>
      <c r="Y34" s="589"/>
      <c r="Z34" s="589"/>
      <c r="AA34" s="590"/>
    </row>
    <row r="35" spans="1:28" s="564" customFormat="1">
      <c r="A35" s="586" t="s">
        <v>276</v>
      </c>
      <c r="B35" s="587"/>
      <c r="C35" s="587"/>
      <c r="D35" s="587"/>
      <c r="E35" s="587"/>
      <c r="F35" s="587"/>
      <c r="G35" s="587"/>
      <c r="H35" s="587"/>
      <c r="I35" s="587"/>
      <c r="J35" s="587"/>
      <c r="K35" s="587"/>
      <c r="L35" s="588"/>
      <c r="M35" s="588">
        <f ca="1">SUMIF($AA$28:AD32,"tertiair",M28:M32)</f>
        <v>15</v>
      </c>
      <c r="N35" s="588">
        <f ca="1">SUMIF($AA$28:AE32,"tertiair",N28:N32)</f>
        <v>67.5</v>
      </c>
      <c r="O35" s="588">
        <f ca="1">SUMIF($AA$28:AF32,"tertiair",O28:O32)</f>
        <v>96.428571428571431</v>
      </c>
      <c r="P35" s="588">
        <f ca="1">SUMIF($AA$28:AG32,"tertiair",P28:P32)</f>
        <v>192.85714285714286</v>
      </c>
      <c r="Q35" s="588">
        <f ca="1">SUMIF($AA$28:AH32,"tertiair",Q28:Q32)</f>
        <v>0</v>
      </c>
      <c r="R35" s="588">
        <f ca="1">SUMIF($AA$28:AI32,"tertiair",R28:R32)</f>
        <v>0</v>
      </c>
      <c r="S35" s="588">
        <f ca="1">SUMIF($AA$28:AJ32,"tertiair",S28:S32)</f>
        <v>0</v>
      </c>
      <c r="T35" s="588">
        <f ca="1">SUMIF($AA$28:AK32,"tertiair",T28:T32)</f>
        <v>0</v>
      </c>
      <c r="U35" s="588">
        <f ca="1">SUMIF($AA$28:AL32,"tertiair",U28:U32)</f>
        <v>0</v>
      </c>
      <c r="V35" s="588">
        <f ca="1">SUMIF($AA$28:AM32,"tertiair",V28:V32)</f>
        <v>0</v>
      </c>
      <c r="W35" s="588">
        <f ca="1">SUMIF($AA$28:AN32,"tertiair",W28:W32)</f>
        <v>0</v>
      </c>
      <c r="X35" s="588"/>
      <c r="Y35" s="589"/>
      <c r="Z35" s="589"/>
      <c r="AA35" s="590"/>
    </row>
    <row r="36" spans="1:28" s="564" customFormat="1" ht="15.75" thickBot="1">
      <c r="A36" s="591" t="s">
        <v>277</v>
      </c>
      <c r="B36" s="592"/>
      <c r="C36" s="592"/>
      <c r="D36" s="592"/>
      <c r="E36" s="592"/>
      <c r="F36" s="592"/>
      <c r="G36" s="592"/>
      <c r="H36" s="592"/>
      <c r="I36" s="592"/>
      <c r="J36" s="592"/>
      <c r="K36" s="592"/>
      <c r="L36" s="593"/>
      <c r="M36" s="593">
        <f>SUMIF($AA$28:$AA$32,"landbouw",M28:M32)</f>
        <v>1532</v>
      </c>
      <c r="N36" s="593">
        <f>SUMIF($AA$28:$AA$32,"landbouw",N28:N32)</f>
        <v>6894</v>
      </c>
      <c r="O36" s="593">
        <f>SUMIF($AA$28:$AA$32,"landbouw",O28:O32)</f>
        <v>9848.5714285714294</v>
      </c>
      <c r="P36" s="593">
        <f>SUMIF($AA$28:$AA$32,"landbouw",P28:P32)</f>
        <v>19697.142857142859</v>
      </c>
      <c r="Q36" s="593">
        <f>SUMIF($AA$28:$AA$32,"landbouw",Q28:Q32)</f>
        <v>0</v>
      </c>
      <c r="R36" s="593">
        <f>SUMIF($AA$28:$AA$32,"landbouw",R28:R32)</f>
        <v>0</v>
      </c>
      <c r="S36" s="593">
        <f>SUMIF($AA$28:$AA$32,"landbouw",S28:S32)</f>
        <v>0</v>
      </c>
      <c r="T36" s="593">
        <f>SUMIF($AA$28:$AA$32,"landbouw",T28:T32)</f>
        <v>0</v>
      </c>
      <c r="U36" s="593">
        <f>SUMIF($AA$28:$AA$32,"landbouw",U28:U32)</f>
        <v>0</v>
      </c>
      <c r="V36" s="593">
        <f>SUMIF($AA$28:$AA$32,"landbouw",V28:V32)</f>
        <v>0</v>
      </c>
      <c r="W36" s="593">
        <f>SUMIF($AA$28:$AA$32,"landbouw",W28:W32)</f>
        <v>0</v>
      </c>
      <c r="X36" s="593"/>
      <c r="Y36" s="594"/>
      <c r="Z36" s="594"/>
      <c r="AA36" s="595"/>
    </row>
    <row r="37" spans="1:28" s="525" customFormat="1" ht="15.75" thickBot="1">
      <c r="A37" s="596"/>
      <c r="B37" s="597"/>
      <c r="C37" s="597"/>
      <c r="D37" s="597"/>
      <c r="E37" s="597"/>
      <c r="F37" s="597"/>
      <c r="G37" s="597"/>
      <c r="H37" s="597"/>
      <c r="I37" s="597"/>
      <c r="J37" s="597"/>
      <c r="K37" s="597"/>
      <c r="L37" s="580"/>
      <c r="M37" s="580"/>
      <c r="N37" s="580"/>
      <c r="O37" s="581"/>
      <c r="P37" s="581"/>
    </row>
    <row r="38" spans="1:28" s="525" customFormat="1" ht="45">
      <c r="A38" s="598" t="s">
        <v>269</v>
      </c>
      <c r="B38" s="627" t="s">
        <v>89</v>
      </c>
      <c r="C38" s="627" t="s">
        <v>90</v>
      </c>
      <c r="D38" s="627"/>
      <c r="E38" s="627"/>
      <c r="F38" s="627"/>
      <c r="G38" s="627" t="s">
        <v>91</v>
      </c>
      <c r="H38" s="627" t="s">
        <v>92</v>
      </c>
      <c r="I38" s="627"/>
      <c r="J38" s="627"/>
      <c r="K38" s="627"/>
      <c r="L38" s="627" t="s">
        <v>93</v>
      </c>
      <c r="M38" s="628" t="s">
        <v>286</v>
      </c>
      <c r="N38" s="628" t="s">
        <v>94</v>
      </c>
      <c r="O38" s="628" t="s">
        <v>95</v>
      </c>
      <c r="P38" s="628" t="s">
        <v>509</v>
      </c>
      <c r="Q38" s="628" t="s">
        <v>96</v>
      </c>
      <c r="R38" s="628" t="s">
        <v>97</v>
      </c>
      <c r="S38" s="628" t="s">
        <v>98</v>
      </c>
      <c r="T38" s="628" t="s">
        <v>99</v>
      </c>
      <c r="U38" s="628" t="s">
        <v>100</v>
      </c>
      <c r="V38" s="628" t="s">
        <v>101</v>
      </c>
      <c r="W38" s="627" t="s">
        <v>102</v>
      </c>
      <c r="X38" s="627" t="s">
        <v>882</v>
      </c>
      <c r="Y38" s="627" t="s">
        <v>287</v>
      </c>
      <c r="Z38" s="627" t="s">
        <v>103</v>
      </c>
      <c r="AA38" s="629" t="s">
        <v>288</v>
      </c>
    </row>
    <row r="39" spans="1:28" s="599" customFormat="1" ht="12.75" hidden="1">
      <c r="A39" s="585"/>
      <c r="B39" s="745"/>
      <c r="C39" s="745"/>
      <c r="D39" s="633"/>
      <c r="E39" s="633"/>
      <c r="F39" s="633"/>
      <c r="G39" s="633"/>
      <c r="H39" s="633"/>
      <c r="I39" s="633"/>
      <c r="J39" s="744"/>
      <c r="K39" s="744"/>
      <c r="L39" s="633"/>
      <c r="M39" s="633"/>
      <c r="N39" s="633"/>
      <c r="O39" s="633"/>
      <c r="P39" s="633"/>
      <c r="Q39" s="633"/>
      <c r="R39" s="633"/>
      <c r="S39" s="633"/>
      <c r="T39" s="633"/>
      <c r="U39" s="633"/>
      <c r="V39" s="633"/>
      <c r="W39" s="633"/>
      <c r="X39" s="633"/>
      <c r="Y39" s="633"/>
      <c r="Z39" s="633"/>
      <c r="AA39" s="634"/>
    </row>
    <row r="40" spans="1:28" s="564" customFormat="1" hidden="1">
      <c r="A40" s="586" t="s">
        <v>268</v>
      </c>
      <c r="B40" s="587"/>
      <c r="C40" s="587"/>
      <c r="D40" s="587"/>
      <c r="E40" s="587"/>
      <c r="F40" s="587"/>
      <c r="G40" s="587"/>
      <c r="H40" s="587"/>
      <c r="I40" s="587"/>
      <c r="J40" s="587"/>
      <c r="K40" s="587"/>
      <c r="L40" s="588"/>
      <c r="M40" s="588">
        <f>SUM(M39:M39)</f>
        <v>0</v>
      </c>
      <c r="N40" s="588">
        <f>SUM(N39:N39)</f>
        <v>0</v>
      </c>
      <c r="O40" s="588">
        <f>SUM(O39:O39)</f>
        <v>0</v>
      </c>
      <c r="P40" s="588">
        <f>SUM(P39:P39)</f>
        <v>0</v>
      </c>
      <c r="Q40" s="588">
        <f>SUM(Q39:Q39)</f>
        <v>0</v>
      </c>
      <c r="R40" s="588">
        <f>SUM(R39:R39)</f>
        <v>0</v>
      </c>
      <c r="S40" s="588">
        <f>SUM(S39:S39)</f>
        <v>0</v>
      </c>
      <c r="T40" s="588">
        <f>SUM(T39:T39)</f>
        <v>0</v>
      </c>
      <c r="U40" s="588">
        <f>SUM(U39:U39)</f>
        <v>0</v>
      </c>
      <c r="V40" s="588">
        <f>SUM(V39:V39)</f>
        <v>0</v>
      </c>
      <c r="W40" s="588">
        <f>SUM(W39:W39)</f>
        <v>0</v>
      </c>
      <c r="X40" s="588"/>
      <c r="Y40" s="589"/>
      <c r="Z40" s="589"/>
      <c r="AA40" s="590"/>
    </row>
    <row r="41" spans="1:28" s="564" customFormat="1">
      <c r="A41" s="586" t="s">
        <v>275</v>
      </c>
      <c r="B41" s="587"/>
      <c r="C41" s="587"/>
      <c r="D41" s="587"/>
      <c r="E41" s="587"/>
      <c r="F41" s="587"/>
      <c r="G41" s="587"/>
      <c r="H41" s="587"/>
      <c r="I41" s="587"/>
      <c r="J41" s="587"/>
      <c r="K41" s="587"/>
      <c r="L41" s="588"/>
      <c r="M41" s="588">
        <f>SUMIF($AA$39:$AA$39,"industrie",M39:M39)</f>
        <v>0</v>
      </c>
      <c r="N41" s="588">
        <f>SUMIF($AA$39:$AA$39,"industrie",N39:N39)</f>
        <v>0</v>
      </c>
      <c r="O41" s="588">
        <f>SUMIF($AA$39:$AA$39,"industrie",O39:O39)</f>
        <v>0</v>
      </c>
      <c r="P41" s="588">
        <f>SUMIF($AA$39:$AA$39,"industrie",P39:P39)</f>
        <v>0</v>
      </c>
      <c r="Q41" s="588">
        <f>SUMIF($AA$39:$AA$39,"industrie",Q39:Q39)</f>
        <v>0</v>
      </c>
      <c r="R41" s="588">
        <f>SUMIF($AA$39:$AA$39,"industrie",R39:R39)</f>
        <v>0</v>
      </c>
      <c r="S41" s="588">
        <f>SUMIF($AA$39:$AA$39,"industrie",S39:S39)</f>
        <v>0</v>
      </c>
      <c r="T41" s="588">
        <f>SUMIF($AA$39:$AA$39,"industrie",T39:T39)</f>
        <v>0</v>
      </c>
      <c r="U41" s="588">
        <f>SUMIF($AA$39:$AA$39,"industrie",U39:U39)</f>
        <v>0</v>
      </c>
      <c r="V41" s="588">
        <f>SUMIF($AA$39:$AA$39,"industrie",V39:V39)</f>
        <v>0</v>
      </c>
      <c r="W41" s="588">
        <f>SUMIF($AA$39:$AA$39,"industrie",W39:W39)</f>
        <v>0</v>
      </c>
      <c r="X41" s="588"/>
      <c r="Y41" s="589"/>
      <c r="Z41" s="589"/>
      <c r="AA41" s="590"/>
    </row>
    <row r="42" spans="1:28" s="564" customFormat="1">
      <c r="A42" s="586" t="s">
        <v>276</v>
      </c>
      <c r="B42" s="587"/>
      <c r="C42" s="587"/>
      <c r="D42" s="587"/>
      <c r="E42" s="587"/>
      <c r="F42" s="587"/>
      <c r="G42" s="587"/>
      <c r="H42" s="587"/>
      <c r="I42" s="587"/>
      <c r="J42" s="587"/>
      <c r="K42" s="587"/>
      <c r="L42" s="588"/>
      <c r="M42" s="588">
        <f>SUMIF($AA$39:$AA$40,"tertiair",M39:M40)</f>
        <v>0</v>
      </c>
      <c r="N42" s="588">
        <f>SUMIF($AA$39:$AA$40,"tertiair",N39:N40)</f>
        <v>0</v>
      </c>
      <c r="O42" s="588">
        <f>SUMIF($AA$39:$AA$40,"tertiair",O39:O40)</f>
        <v>0</v>
      </c>
      <c r="P42" s="588">
        <f>SUMIF($AA$39:$AA$40,"tertiair",P39:P40)</f>
        <v>0</v>
      </c>
      <c r="Q42" s="588">
        <f>SUMIF($AA$39:$AA$40,"tertiair",Q39:Q40)</f>
        <v>0</v>
      </c>
      <c r="R42" s="588">
        <f>SUMIF($AA$39:$AA$40,"tertiair",R39:R40)</f>
        <v>0</v>
      </c>
      <c r="S42" s="588">
        <f>SUMIF($AA$39:$AA$40,"tertiair",S39:S40)</f>
        <v>0</v>
      </c>
      <c r="T42" s="588">
        <f>SUMIF($AA$39:$AA$40,"tertiair",T39:T40)</f>
        <v>0</v>
      </c>
      <c r="U42" s="588">
        <f>SUMIF($AA$39:$AA$40,"tertiair",U39:U40)</f>
        <v>0</v>
      </c>
      <c r="V42" s="588">
        <f>SUMIF($AA$39:$AA$40,"tertiair",V39:V40)</f>
        <v>0</v>
      </c>
      <c r="W42" s="588">
        <f>SUMIF($AA$39:$AA$40,"tertiair",W39:W40)</f>
        <v>0</v>
      </c>
      <c r="X42" s="588"/>
      <c r="Y42" s="589"/>
      <c r="Z42" s="589"/>
      <c r="AA42" s="590"/>
    </row>
    <row r="43" spans="1:28" s="564" customFormat="1" ht="15.75" thickBot="1">
      <c r="A43" s="591" t="s">
        <v>277</v>
      </c>
      <c r="B43" s="592"/>
      <c r="C43" s="592"/>
      <c r="D43" s="592"/>
      <c r="E43" s="592"/>
      <c r="F43" s="592"/>
      <c r="G43" s="592"/>
      <c r="H43" s="592"/>
      <c r="I43" s="592"/>
      <c r="J43" s="592"/>
      <c r="K43" s="592"/>
      <c r="L43" s="593"/>
      <c r="M43" s="593">
        <f>SUMIF($AA$39:$AA$41,"landbouw",M39:M41)</f>
        <v>0</v>
      </c>
      <c r="N43" s="593">
        <f>SUMIF($AA$39:$AA$41,"landbouw",N39:N41)</f>
        <v>0</v>
      </c>
      <c r="O43" s="593">
        <f>SUMIF($AA$39:$AA$41,"landbouw",O39:O41)</f>
        <v>0</v>
      </c>
      <c r="P43" s="593">
        <f>SUMIF($AA$39:$AA$41,"landbouw",P39:P41)</f>
        <v>0</v>
      </c>
      <c r="Q43" s="593">
        <f>SUMIF($AA$39:$AA$41,"landbouw",Q39:Q41)</f>
        <v>0</v>
      </c>
      <c r="R43" s="593">
        <f>SUMIF($AA$39:$AA$41,"landbouw",R39:R41)</f>
        <v>0</v>
      </c>
      <c r="S43" s="593">
        <f>SUMIF($AA$39:$AA$41,"landbouw",S39:S41)</f>
        <v>0</v>
      </c>
      <c r="T43" s="593">
        <f>SUMIF($AA$39:$AA$41,"landbouw",T39:T41)</f>
        <v>0</v>
      </c>
      <c r="U43" s="593">
        <f>SUMIF($AA$39:$AA$41,"landbouw",U39:U41)</f>
        <v>0</v>
      </c>
      <c r="V43" s="593">
        <f>SUMIF($AA$39:$AA$41,"landbouw",V39:V41)</f>
        <v>0</v>
      </c>
      <c r="W43" s="593">
        <f>SUMIF($AA$39:$AA$41,"landbouw",W39:W41)</f>
        <v>0</v>
      </c>
      <c r="X43" s="593"/>
      <c r="Y43" s="594"/>
      <c r="Z43" s="594"/>
      <c r="AA43" s="595"/>
    </row>
    <row r="44" spans="1:28" s="600" customFormat="1">
      <c r="A44" s="596"/>
      <c r="B44" s="580"/>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row>
    <row r="45" spans="1:28" s="600" customFormat="1" ht="15.75" thickBot="1">
      <c r="A45" s="596"/>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row>
    <row r="46" spans="1:28">
      <c r="A46" s="601" t="s">
        <v>270</v>
      </c>
      <c r="B46" s="602"/>
      <c r="C46" s="602"/>
      <c r="D46" s="602"/>
      <c r="E46" s="602"/>
      <c r="F46" s="602"/>
      <c r="G46" s="602"/>
      <c r="H46" s="602"/>
      <c r="I46" s="603"/>
      <c r="J46" s="604"/>
      <c r="K46" s="604"/>
      <c r="L46" s="605"/>
      <c r="M46" s="605"/>
      <c r="N46" s="605"/>
      <c r="O46" s="605"/>
      <c r="P46" s="605"/>
    </row>
    <row r="47" spans="1:28">
      <c r="A47" s="607"/>
      <c r="B47" s="597"/>
      <c r="C47" s="597"/>
      <c r="D47" s="597"/>
      <c r="E47" s="597"/>
      <c r="F47" s="597"/>
      <c r="G47" s="597"/>
      <c r="H47" s="597"/>
      <c r="I47" s="608"/>
      <c r="J47" s="597"/>
      <c r="K47" s="597"/>
      <c r="L47" s="605"/>
      <c r="M47" s="605"/>
      <c r="N47" s="605"/>
      <c r="O47" s="605"/>
      <c r="P47" s="605"/>
    </row>
    <row r="48" spans="1:28">
      <c r="A48" s="609"/>
      <c r="B48" s="610" t="s">
        <v>271</v>
      </c>
      <c r="C48" s="610" t="s">
        <v>272</v>
      </c>
      <c r="D48" s="610"/>
      <c r="E48" s="610"/>
      <c r="F48" s="610"/>
      <c r="G48" s="610"/>
      <c r="H48" s="610"/>
      <c r="I48" s="611"/>
      <c r="J48" s="610"/>
      <c r="K48" s="610"/>
      <c r="L48" s="610"/>
      <c r="M48" s="610"/>
      <c r="N48" s="610"/>
      <c r="O48" s="610"/>
      <c r="P48" s="605"/>
    </row>
    <row r="49" spans="1:16">
      <c r="A49" s="607" t="s">
        <v>268</v>
      </c>
      <c r="B49" s="612">
        <f>IF(ISERROR(O33/(O33+N33)),0,O33/(O33+N33))</f>
        <v>0.58823529411764708</v>
      </c>
      <c r="C49" s="613">
        <f>IF(ISERROR(N33/(O33+N33)),0,N33/(N33+O33))</f>
        <v>0.41176470588235298</v>
      </c>
      <c r="D49" s="580"/>
      <c r="E49" s="580"/>
      <c r="F49" s="580"/>
      <c r="G49" s="580"/>
      <c r="H49" s="580"/>
      <c r="I49" s="614"/>
      <c r="J49" s="580"/>
      <c r="K49" s="580"/>
      <c r="L49" s="615"/>
      <c r="M49" s="615"/>
      <c r="N49" s="615"/>
      <c r="O49" s="615"/>
      <c r="P49" s="605"/>
    </row>
    <row r="50" spans="1:16">
      <c r="A50" s="607"/>
      <c r="B50" s="616"/>
      <c r="C50" s="616"/>
      <c r="D50" s="616"/>
      <c r="E50" s="616"/>
      <c r="F50" s="616"/>
      <c r="G50" s="616"/>
      <c r="H50" s="616"/>
      <c r="I50" s="617"/>
      <c r="J50" s="616"/>
      <c r="K50" s="616"/>
      <c r="L50" s="618"/>
      <c r="M50" s="618"/>
      <c r="N50" s="618"/>
      <c r="O50" s="618"/>
      <c r="P50" s="605"/>
    </row>
    <row r="51" spans="1:16" ht="30">
      <c r="A51" s="619"/>
      <c r="B51" s="620" t="s">
        <v>509</v>
      </c>
      <c r="C51" s="620" t="s">
        <v>96</v>
      </c>
      <c r="D51" s="620" t="s">
        <v>97</v>
      </c>
      <c r="E51" s="620" t="s">
        <v>98</v>
      </c>
      <c r="F51" s="620" t="s">
        <v>99</v>
      </c>
      <c r="G51" s="620" t="s">
        <v>100</v>
      </c>
      <c r="H51" s="620" t="s">
        <v>101</v>
      </c>
      <c r="I51" s="621" t="s">
        <v>102</v>
      </c>
      <c r="J51" s="610"/>
      <c r="K51" s="610"/>
      <c r="L51" s="618"/>
      <c r="M51" s="618"/>
      <c r="N51" s="618"/>
      <c r="O51" s="605"/>
      <c r="P51" s="605"/>
    </row>
    <row r="52" spans="1:16">
      <c r="A52" s="609" t="s">
        <v>273</v>
      </c>
      <c r="B52" s="622">
        <f t="shared" ref="B52:I52" si="2">$C$49*P33</f>
        <v>25438.235294117647</v>
      </c>
      <c r="C52" s="622">
        <f t="shared" si="2"/>
        <v>0</v>
      </c>
      <c r="D52" s="622">
        <f t="shared" si="2"/>
        <v>0</v>
      </c>
      <c r="E52" s="622">
        <f t="shared" si="2"/>
        <v>0</v>
      </c>
      <c r="F52" s="622">
        <f t="shared" si="2"/>
        <v>0</v>
      </c>
      <c r="G52" s="622">
        <f t="shared" si="2"/>
        <v>0</v>
      </c>
      <c r="H52" s="622">
        <f t="shared" si="2"/>
        <v>0</v>
      </c>
      <c r="I52" s="623">
        <f t="shared" si="2"/>
        <v>0</v>
      </c>
      <c r="J52" s="580"/>
      <c r="K52" s="580"/>
      <c r="L52" s="618"/>
      <c r="M52" s="618"/>
      <c r="N52" s="618"/>
      <c r="O52" s="605"/>
      <c r="P52" s="605"/>
    </row>
    <row r="53" spans="1:16" ht="15.75" thickBot="1">
      <c r="A53" s="624" t="s">
        <v>274</v>
      </c>
      <c r="B53" s="625">
        <f t="shared" ref="B53:I53" si="3">$B$49*P33</f>
        <v>36340.336134453777</v>
      </c>
      <c r="C53" s="625">
        <f t="shared" si="3"/>
        <v>0</v>
      </c>
      <c r="D53" s="625">
        <f t="shared" si="3"/>
        <v>0</v>
      </c>
      <c r="E53" s="625">
        <f t="shared" si="3"/>
        <v>0</v>
      </c>
      <c r="F53" s="625">
        <f t="shared" si="3"/>
        <v>0</v>
      </c>
      <c r="G53" s="625">
        <f t="shared" si="3"/>
        <v>0</v>
      </c>
      <c r="H53" s="625">
        <f t="shared" si="3"/>
        <v>0</v>
      </c>
      <c r="I53" s="626">
        <f t="shared" si="3"/>
        <v>0</v>
      </c>
      <c r="J53" s="580"/>
      <c r="K53" s="580"/>
      <c r="L53" s="618"/>
      <c r="M53" s="618"/>
      <c r="N53" s="618"/>
      <c r="O53" s="605"/>
      <c r="P53" s="605"/>
    </row>
    <row r="54" spans="1:16">
      <c r="J54" s="560"/>
      <c r="K54" s="560"/>
      <c r="L54" s="560"/>
      <c r="M54" s="560"/>
      <c r="N54" s="560"/>
    </row>
    <row r="55" spans="1:16">
      <c r="J55" s="560"/>
      <c r="K55" s="560"/>
      <c r="L55" s="560"/>
      <c r="M55" s="560"/>
      <c r="N55" s="560"/>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388</v>
      </c>
      <c r="B1" s="345" t="s">
        <v>395</v>
      </c>
      <c r="C1" s="345" t="s">
        <v>394</v>
      </c>
      <c r="D1" s="345" t="s">
        <v>393</v>
      </c>
      <c r="E1" s="346" t="s">
        <v>389</v>
      </c>
      <c r="F1" s="347" t="s">
        <v>390</v>
      </c>
      <c r="G1" s="347" t="s">
        <v>391</v>
      </c>
      <c r="H1" s="347" t="s">
        <v>392</v>
      </c>
    </row>
    <row r="2" spans="1:8" s="11" customFormat="1">
      <c r="A2" s="1017" t="s">
        <v>815</v>
      </c>
      <c r="B2" s="1018" t="s">
        <v>840</v>
      </c>
      <c r="C2" s="1017" t="s">
        <v>602</v>
      </c>
      <c r="D2" s="1017" t="s">
        <v>646</v>
      </c>
      <c r="E2" s="341"/>
      <c r="F2" s="338" t="s">
        <v>649</v>
      </c>
      <c r="G2" s="338" t="s">
        <v>654</v>
      </c>
      <c r="H2" s="339" t="s">
        <v>655</v>
      </c>
    </row>
    <row r="3" spans="1:8" s="11" customFormat="1">
      <c r="A3" s="1017" t="s">
        <v>848</v>
      </c>
      <c r="B3" s="1018" t="s">
        <v>849</v>
      </c>
      <c r="C3" s="1017" t="s">
        <v>186</v>
      </c>
      <c r="D3" s="1019" t="s">
        <v>850</v>
      </c>
      <c r="E3" s="341"/>
      <c r="F3" s="848" t="s">
        <v>644</v>
      </c>
      <c r="G3" s="848" t="s">
        <v>643</v>
      </c>
      <c r="H3" s="848" t="s">
        <v>645</v>
      </c>
    </row>
    <row r="4" spans="1:8" s="11" customFormat="1">
      <c r="A4" s="340" t="s">
        <v>381</v>
      </c>
      <c r="B4" s="751">
        <v>2018</v>
      </c>
      <c r="C4" s="340" t="s">
        <v>381</v>
      </c>
      <c r="D4" s="340" t="s">
        <v>652</v>
      </c>
      <c r="E4" s="341"/>
      <c r="F4" s="848" t="s">
        <v>640</v>
      </c>
      <c r="G4" s="848" t="s">
        <v>641</v>
      </c>
      <c r="H4" s="848" t="s">
        <v>642</v>
      </c>
    </row>
    <row r="5" spans="1:8">
      <c r="A5" s="335" t="s">
        <v>781</v>
      </c>
      <c r="B5" s="846" t="s">
        <v>768</v>
      </c>
      <c r="C5" s="335" t="s">
        <v>781</v>
      </c>
      <c r="D5" s="335" t="s">
        <v>653</v>
      </c>
      <c r="E5" s="337"/>
      <c r="F5" s="338" t="s">
        <v>784</v>
      </c>
      <c r="G5" s="338" t="s">
        <v>787</v>
      </c>
      <c r="H5" s="339" t="s">
        <v>783</v>
      </c>
    </row>
    <row r="6" spans="1:8">
      <c r="A6" s="340" t="s">
        <v>405</v>
      </c>
      <c r="B6" s="343" t="s">
        <v>406</v>
      </c>
      <c r="C6" s="340" t="s">
        <v>408</v>
      </c>
      <c r="D6" s="340" t="s">
        <v>404</v>
      </c>
      <c r="E6" s="337" t="s">
        <v>407</v>
      </c>
      <c r="F6" s="338"/>
      <c r="G6" s="338"/>
      <c r="H6" s="339"/>
    </row>
    <row r="7" spans="1:8" s="840" customFormat="1">
      <c r="A7" s="340" t="s">
        <v>647</v>
      </c>
      <c r="B7" s="751">
        <v>2018</v>
      </c>
      <c r="C7" s="340" t="s">
        <v>381</v>
      </c>
      <c r="D7" s="340" t="s">
        <v>729</v>
      </c>
      <c r="E7" s="337" t="s">
        <v>648</v>
      </c>
      <c r="F7" s="338"/>
      <c r="G7" s="338"/>
      <c r="H7" s="339"/>
    </row>
    <row r="8" spans="1:8" s="840" customFormat="1">
      <c r="A8" s="340" t="s">
        <v>658</v>
      </c>
      <c r="B8" s="751">
        <v>2017</v>
      </c>
      <c r="C8" s="340" t="s">
        <v>660</v>
      </c>
      <c r="D8" s="340" t="s">
        <v>659</v>
      </c>
      <c r="E8" s="342" t="s">
        <v>657</v>
      </c>
      <c r="F8" s="338"/>
      <c r="G8" s="338"/>
      <c r="H8" s="339"/>
    </row>
    <row r="9" spans="1:8" s="11" customFormat="1">
      <c r="A9" s="340" t="s">
        <v>579</v>
      </c>
      <c r="B9" s="751" t="s">
        <v>767</v>
      </c>
      <c r="C9" s="340" t="s">
        <v>580</v>
      </c>
      <c r="D9" s="340" t="s">
        <v>581</v>
      </c>
      <c r="E9" s="341"/>
      <c r="F9" s="848" t="s">
        <v>630</v>
      </c>
      <c r="G9" s="848" t="s">
        <v>631</v>
      </c>
      <c r="H9" s="339" t="s">
        <v>632</v>
      </c>
    </row>
    <row r="10" spans="1:8">
      <c r="A10" s="335" t="s">
        <v>635</v>
      </c>
      <c r="B10" s="846" t="s">
        <v>670</v>
      </c>
      <c r="C10" s="335" t="s">
        <v>636</v>
      </c>
      <c r="D10" s="335" t="s">
        <v>731</v>
      </c>
      <c r="E10" s="640"/>
      <c r="F10" s="338" t="s">
        <v>639</v>
      </c>
      <c r="G10" s="338" t="s">
        <v>637</v>
      </c>
      <c r="H10" s="339" t="s">
        <v>638</v>
      </c>
    </row>
    <row r="11" spans="1:8" s="840" customFormat="1">
      <c r="A11" s="340" t="s">
        <v>651</v>
      </c>
      <c r="B11" s="751">
        <v>2017</v>
      </c>
      <c r="C11" s="340" t="s">
        <v>399</v>
      </c>
      <c r="D11" s="340" t="s">
        <v>650</v>
      </c>
      <c r="E11" s="337"/>
      <c r="F11" s="338" t="s">
        <v>649</v>
      </c>
      <c r="G11" s="338" t="s">
        <v>654</v>
      </c>
      <c r="H11" s="339" t="s">
        <v>655</v>
      </c>
    </row>
    <row r="12" spans="1:8" s="10" customFormat="1">
      <c r="A12" s="340" t="s">
        <v>383</v>
      </c>
      <c r="B12" s="336" t="s">
        <v>398</v>
      </c>
      <c r="C12" s="335"/>
      <c r="D12" s="344" t="s">
        <v>397</v>
      </c>
      <c r="E12" s="337"/>
      <c r="F12" s="338"/>
      <c r="G12" s="338"/>
      <c r="H12" s="339"/>
    </row>
    <row r="13" spans="1:8">
      <c r="A13" s="335" t="s">
        <v>377</v>
      </c>
      <c r="B13" s="336" t="s">
        <v>662</v>
      </c>
      <c r="C13" s="335" t="s">
        <v>626</v>
      </c>
      <c r="D13" s="335" t="s">
        <v>663</v>
      </c>
      <c r="E13" s="342" t="s">
        <v>378</v>
      </c>
      <c r="F13" s="338" t="s">
        <v>379</v>
      </c>
      <c r="G13" s="338" t="s">
        <v>788</v>
      </c>
      <c r="H13" s="338" t="s">
        <v>380</v>
      </c>
    </row>
    <row r="14" spans="1:8">
      <c r="A14" s="335" t="s">
        <v>382</v>
      </c>
      <c r="B14" s="846" t="s">
        <v>668</v>
      </c>
      <c r="C14" s="335" t="s">
        <v>382</v>
      </c>
      <c r="D14" s="335" t="s">
        <v>396</v>
      </c>
      <c r="E14" s="337"/>
      <c r="F14" s="338" t="s">
        <v>676</v>
      </c>
      <c r="G14" s="854" t="s">
        <v>789</v>
      </c>
      <c r="H14" s="854" t="s">
        <v>680</v>
      </c>
    </row>
    <row r="15" spans="1:8" s="847" customFormat="1">
      <c r="A15" s="850" t="s">
        <v>482</v>
      </c>
      <c r="B15" s="851" t="s">
        <v>826</v>
      </c>
      <c r="C15" s="850" t="s">
        <v>672</v>
      </c>
      <c r="D15" s="852" t="s">
        <v>825</v>
      </c>
      <c r="E15" s="853"/>
      <c r="F15" s="338" t="s">
        <v>628</v>
      </c>
      <c r="G15" s="854" t="s">
        <v>633</v>
      </c>
      <c r="H15" s="339" t="s">
        <v>634</v>
      </c>
    </row>
    <row r="16" spans="1:8" s="847" customFormat="1">
      <c r="A16" s="850" t="s">
        <v>482</v>
      </c>
      <c r="B16" s="851" t="s">
        <v>671</v>
      </c>
      <c r="C16" s="850" t="s">
        <v>672</v>
      </c>
      <c r="D16" s="852" t="s">
        <v>825</v>
      </c>
      <c r="E16" s="853"/>
      <c r="F16" s="338" t="s">
        <v>628</v>
      </c>
      <c r="G16" s="854" t="s">
        <v>633</v>
      </c>
      <c r="H16" s="339" t="s">
        <v>634</v>
      </c>
    </row>
    <row r="17" spans="1:8" s="11" customFormat="1">
      <c r="A17" s="340" t="s">
        <v>481</v>
      </c>
      <c r="B17" s="851" t="s">
        <v>730</v>
      </c>
      <c r="C17" s="340" t="s">
        <v>399</v>
      </c>
      <c r="D17" s="340" t="s">
        <v>775</v>
      </c>
      <c r="E17" s="342" t="s">
        <v>629</v>
      </c>
      <c r="F17" s="338" t="s">
        <v>628</v>
      </c>
      <c r="G17" s="854" t="s">
        <v>633</v>
      </c>
      <c r="H17" s="339" t="s">
        <v>634</v>
      </c>
    </row>
    <row r="18" spans="1:8" s="11" customFormat="1">
      <c r="A18" s="340" t="s">
        <v>868</v>
      </c>
      <c r="B18" s="851" t="s">
        <v>869</v>
      </c>
      <c r="C18" s="340"/>
      <c r="D18" s="340"/>
      <c r="E18" s="342" t="s">
        <v>870</v>
      </c>
      <c r="F18" s="338"/>
      <c r="G18" s="854"/>
      <c r="H18" s="339"/>
    </row>
    <row r="19" spans="1:8">
      <c r="A19" s="340" t="s">
        <v>186</v>
      </c>
      <c r="B19" s="751" t="s">
        <v>768</v>
      </c>
      <c r="C19" s="340" t="s">
        <v>400</v>
      </c>
      <c r="D19" s="340" t="s">
        <v>627</v>
      </c>
      <c r="E19" s="337"/>
      <c r="F19" s="338" t="s">
        <v>401</v>
      </c>
      <c r="G19" s="338" t="s">
        <v>402</v>
      </c>
      <c r="H19" s="339" t="s">
        <v>403</v>
      </c>
    </row>
    <row r="20" spans="1:8" s="11" customFormat="1">
      <c r="A20" s="1022" t="s">
        <v>872</v>
      </c>
      <c r="B20" s="1023" t="s">
        <v>873</v>
      </c>
      <c r="C20" s="1022" t="s">
        <v>186</v>
      </c>
      <c r="D20" s="1022" t="s">
        <v>874</v>
      </c>
      <c r="E20" s="337"/>
      <c r="F20" s="848" t="s">
        <v>644</v>
      </c>
      <c r="G20" s="848" t="s">
        <v>643</v>
      </c>
      <c r="H20" s="848" t="s">
        <v>645</v>
      </c>
    </row>
    <row r="21" spans="1:8" s="840" customFormat="1">
      <c r="A21" s="340" t="s">
        <v>382</v>
      </c>
      <c r="B21" s="751" t="s">
        <v>767</v>
      </c>
      <c r="C21" s="340" t="s">
        <v>382</v>
      </c>
      <c r="D21" s="340" t="s">
        <v>673</v>
      </c>
      <c r="E21" s="337"/>
      <c r="F21" s="338" t="s">
        <v>675</v>
      </c>
      <c r="G21" s="848" t="s">
        <v>790</v>
      </c>
      <c r="H21" s="849" t="s">
        <v>679</v>
      </c>
    </row>
    <row r="22" spans="1:8" s="840" customFormat="1">
      <c r="A22" s="340" t="s">
        <v>382</v>
      </c>
      <c r="B22" s="751" t="s">
        <v>782</v>
      </c>
      <c r="C22" s="340" t="s">
        <v>382</v>
      </c>
      <c r="D22" s="340" t="s">
        <v>674</v>
      </c>
      <c r="E22" s="337"/>
      <c r="F22" s="338" t="s">
        <v>785</v>
      </c>
      <c r="G22" s="848" t="s">
        <v>791</v>
      </c>
      <c r="H22" s="339" t="s">
        <v>786</v>
      </c>
    </row>
    <row r="23" spans="1:8" s="11" customFormat="1">
      <c r="A23" s="340" t="s">
        <v>382</v>
      </c>
      <c r="B23" s="878" t="s">
        <v>768</v>
      </c>
      <c r="C23" s="340" t="s">
        <v>382</v>
      </c>
      <c r="D23" s="340" t="s">
        <v>604</v>
      </c>
      <c r="E23" s="341"/>
      <c r="F23" s="848" t="s">
        <v>678</v>
      </c>
      <c r="G23" s="848" t="s">
        <v>792</v>
      </c>
      <c r="H23" s="848" t="s">
        <v>677</v>
      </c>
    </row>
    <row r="24" spans="1:8" s="11" customFormat="1">
      <c r="A24" s="340" t="s">
        <v>382</v>
      </c>
      <c r="B24" s="878" t="s">
        <v>768</v>
      </c>
      <c r="C24" s="340" t="s">
        <v>382</v>
      </c>
      <c r="D24" s="879" t="s">
        <v>584</v>
      </c>
      <c r="E24" s="341"/>
      <c r="F24" s="848" t="s">
        <v>678</v>
      </c>
      <c r="G24" s="848" t="s">
        <v>792</v>
      </c>
      <c r="H24" s="849" t="s">
        <v>677</v>
      </c>
    </row>
    <row r="27" spans="1:8">
      <c r="F27" s="840"/>
    </row>
    <row r="28" spans="1:8">
      <c r="G28" s="840"/>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2" r:id="rId11" xr:uid="{A9055A9B-BCE6-4D69-8C41-AA9360476766}"/>
    <hyperlink ref="E18" r:id="rId12" xr:uid="{50974318-158D-4D28-837B-26D6C5CC5909}"/>
  </hyperlinks>
  <pageMargins left="0.7" right="0.7" top="0.75" bottom="0.75" header="0.3" footer="0.3"/>
  <pageSetup paperSize="9" orientation="portrait" r:id="rId13"/>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6"/>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5" t="s">
        <v>569</v>
      </c>
      <c r="B1" s="855" t="s">
        <v>570</v>
      </c>
      <c r="C1" s="855" t="s">
        <v>572</v>
      </c>
      <c r="D1" s="855" t="s">
        <v>571</v>
      </c>
    </row>
    <row r="2" spans="1:4" s="841" customFormat="1">
      <c r="A2" s="976" t="s">
        <v>809</v>
      </c>
      <c r="B2" s="864">
        <v>43599</v>
      </c>
      <c r="C2" s="841" t="s">
        <v>737</v>
      </c>
      <c r="D2" s="876" t="s">
        <v>738</v>
      </c>
    </row>
    <row r="3" spans="1:4" s="841" customFormat="1">
      <c r="A3" s="976" t="s">
        <v>809</v>
      </c>
      <c r="B3" s="864">
        <v>43599</v>
      </c>
      <c r="C3" s="841" t="s">
        <v>734</v>
      </c>
      <c r="D3" s="865" t="s">
        <v>732</v>
      </c>
    </row>
    <row r="4" spans="1:4" s="841" customFormat="1">
      <c r="A4" s="976" t="s">
        <v>809</v>
      </c>
      <c r="B4" s="864">
        <v>43599</v>
      </c>
      <c r="C4" s="841" t="s">
        <v>735</v>
      </c>
      <c r="D4" s="977" t="s">
        <v>733</v>
      </c>
    </row>
    <row r="5" spans="1:4" s="841" customFormat="1">
      <c r="A5" s="976" t="s">
        <v>809</v>
      </c>
      <c r="B5" s="864">
        <v>43599</v>
      </c>
      <c r="C5" s="841" t="s">
        <v>736</v>
      </c>
      <c r="D5" s="865" t="s">
        <v>728</v>
      </c>
    </row>
    <row r="6" spans="1:4" s="841" customFormat="1">
      <c r="A6" s="976" t="s">
        <v>809</v>
      </c>
      <c r="B6" s="880">
        <v>43608</v>
      </c>
      <c r="C6" s="841" t="s">
        <v>832</v>
      </c>
      <c r="D6" s="865" t="s">
        <v>765</v>
      </c>
    </row>
    <row r="7" spans="1:4" s="841" customFormat="1">
      <c r="A7" s="976" t="s">
        <v>809</v>
      </c>
      <c r="B7" s="880">
        <v>43608</v>
      </c>
      <c r="C7" s="841" t="s">
        <v>764</v>
      </c>
      <c r="D7" s="865" t="s">
        <v>766</v>
      </c>
    </row>
    <row r="8" spans="1:4" s="841" customFormat="1">
      <c r="A8" s="976" t="s">
        <v>809</v>
      </c>
      <c r="B8" s="880">
        <v>43608</v>
      </c>
      <c r="C8" s="841" t="s">
        <v>776</v>
      </c>
      <c r="D8" s="881" t="s">
        <v>777</v>
      </c>
    </row>
    <row r="9" spans="1:4" s="7" customFormat="1">
      <c r="A9" s="976" t="s">
        <v>809</v>
      </c>
      <c r="B9" s="880">
        <v>43608</v>
      </c>
      <c r="C9" s="841" t="s">
        <v>778</v>
      </c>
      <c r="D9" s="884" t="s">
        <v>779</v>
      </c>
    </row>
    <row r="10" spans="1:4" s="7" customFormat="1">
      <c r="A10" s="976" t="s">
        <v>809</v>
      </c>
      <c r="B10" s="864">
        <v>43614</v>
      </c>
      <c r="C10" s="864" t="s">
        <v>795</v>
      </c>
      <c r="D10" s="881" t="s">
        <v>801</v>
      </c>
    </row>
    <row r="11" spans="1:4" s="7" customFormat="1">
      <c r="A11" s="976" t="s">
        <v>809</v>
      </c>
      <c r="B11" s="864">
        <v>43614</v>
      </c>
      <c r="C11" s="864" t="s">
        <v>796</v>
      </c>
      <c r="D11" s="881" t="s">
        <v>802</v>
      </c>
    </row>
    <row r="12" spans="1:4" s="7" customFormat="1">
      <c r="A12" s="976" t="s">
        <v>809</v>
      </c>
      <c r="B12" s="864">
        <v>43614</v>
      </c>
      <c r="C12" s="864" t="s">
        <v>797</v>
      </c>
      <c r="D12" s="881" t="s">
        <v>803</v>
      </c>
    </row>
    <row r="13" spans="1:4" s="7" customFormat="1">
      <c r="A13" s="976" t="s">
        <v>809</v>
      </c>
      <c r="B13" s="864">
        <v>43614</v>
      </c>
      <c r="C13" s="864" t="s">
        <v>798</v>
      </c>
      <c r="D13" s="881" t="s">
        <v>804</v>
      </c>
    </row>
    <row r="14" spans="1:4" s="7" customFormat="1">
      <c r="A14" s="976" t="s">
        <v>809</v>
      </c>
      <c r="B14" s="864">
        <v>43614</v>
      </c>
      <c r="C14" s="864" t="s">
        <v>799</v>
      </c>
      <c r="D14" s="881" t="s">
        <v>805</v>
      </c>
    </row>
    <row r="15" spans="1:4" s="7" customFormat="1">
      <c r="A15" s="976" t="s">
        <v>809</v>
      </c>
      <c r="B15" s="864">
        <v>43614</v>
      </c>
      <c r="C15" s="864" t="s">
        <v>800</v>
      </c>
      <c r="D15" s="881" t="s">
        <v>806</v>
      </c>
    </row>
    <row r="16" spans="1:4" s="7" customFormat="1">
      <c r="A16" s="976" t="s">
        <v>808</v>
      </c>
      <c r="B16" s="864">
        <v>43678</v>
      </c>
      <c r="C16" s="864" t="s">
        <v>810</v>
      </c>
      <c r="D16" s="884" t="s">
        <v>807</v>
      </c>
    </row>
    <row r="17" spans="1:4" s="7" customFormat="1">
      <c r="A17" s="976" t="s">
        <v>814</v>
      </c>
      <c r="B17" s="1010">
        <v>43930</v>
      </c>
      <c r="C17" s="1007" t="s">
        <v>811</v>
      </c>
      <c r="D17" s="1009" t="s">
        <v>812</v>
      </c>
    </row>
    <row r="18" spans="1:4" s="7" customFormat="1">
      <c r="A18" s="976" t="s">
        <v>814</v>
      </c>
      <c r="B18" s="1010">
        <v>43930</v>
      </c>
      <c r="C18" s="1007" t="s">
        <v>813</v>
      </c>
      <c r="D18" s="1009" t="s">
        <v>812</v>
      </c>
    </row>
    <row r="19" spans="1:4" s="7" customFormat="1">
      <c r="A19" s="976" t="s">
        <v>814</v>
      </c>
      <c r="B19" s="1010">
        <v>43943</v>
      </c>
      <c r="C19" s="1007" t="s">
        <v>816</v>
      </c>
      <c r="D19" s="1008" t="s">
        <v>738</v>
      </c>
    </row>
    <row r="20" spans="1:4" s="7" customFormat="1">
      <c r="A20" s="976" t="s">
        <v>814</v>
      </c>
      <c r="B20" s="1010">
        <v>43943</v>
      </c>
      <c r="C20" s="1007" t="s">
        <v>817</v>
      </c>
      <c r="D20" s="1009" t="s">
        <v>818</v>
      </c>
    </row>
    <row r="21" spans="1:4">
      <c r="A21" s="976" t="s">
        <v>814</v>
      </c>
      <c r="B21" s="1010">
        <v>43943</v>
      </c>
      <c r="C21" s="1007" t="s">
        <v>819</v>
      </c>
      <c r="D21" s="1009" t="s">
        <v>820</v>
      </c>
    </row>
    <row r="22" spans="1:4">
      <c r="A22" s="976" t="s">
        <v>814</v>
      </c>
      <c r="B22" s="1010">
        <v>43943</v>
      </c>
      <c r="C22" s="1007" t="s">
        <v>821</v>
      </c>
      <c r="D22" s="1009" t="s">
        <v>822</v>
      </c>
    </row>
    <row r="23" spans="1:4">
      <c r="A23" s="976" t="s">
        <v>814</v>
      </c>
      <c r="B23" s="1010">
        <v>43951</v>
      </c>
      <c r="C23" t="s">
        <v>776</v>
      </c>
      <c r="D23" s="1009" t="s">
        <v>823</v>
      </c>
    </row>
    <row r="24" spans="1:4">
      <c r="A24" s="976" t="s">
        <v>827</v>
      </c>
      <c r="B24" s="1010">
        <v>44309</v>
      </c>
      <c r="C24" s="1010" t="s">
        <v>828</v>
      </c>
    </row>
    <row r="25" spans="1:4">
      <c r="A25" s="976" t="s">
        <v>827</v>
      </c>
      <c r="B25" s="1010">
        <v>44309</v>
      </c>
      <c r="C25" s="1010" t="s">
        <v>829</v>
      </c>
    </row>
    <row r="26" spans="1:4">
      <c r="A26" s="976" t="s">
        <v>827</v>
      </c>
      <c r="B26" s="1010">
        <v>44315</v>
      </c>
      <c r="C26" t="s">
        <v>831</v>
      </c>
      <c r="D26" s="865" t="s">
        <v>765</v>
      </c>
    </row>
    <row r="27" spans="1:4">
      <c r="A27" s="976" t="s">
        <v>827</v>
      </c>
      <c r="B27" s="1020">
        <v>44326</v>
      </c>
      <c r="C27" t="s">
        <v>841</v>
      </c>
      <c r="D27" s="1021" t="s">
        <v>845</v>
      </c>
    </row>
    <row r="28" spans="1:4">
      <c r="A28" s="976" t="s">
        <v>827</v>
      </c>
      <c r="B28" s="1020">
        <v>44326</v>
      </c>
      <c r="C28" t="s">
        <v>842</v>
      </c>
      <c r="D28" s="1021" t="s">
        <v>846</v>
      </c>
    </row>
    <row r="29" spans="1:4">
      <c r="A29" s="976" t="s">
        <v>827</v>
      </c>
      <c r="B29" s="1020">
        <v>44326</v>
      </c>
      <c r="C29" t="s">
        <v>843</v>
      </c>
      <c r="D29" s="1021" t="s">
        <v>818</v>
      </c>
    </row>
    <row r="30" spans="1:4">
      <c r="A30" s="976" t="s">
        <v>827</v>
      </c>
      <c r="B30" s="1020">
        <v>44326</v>
      </c>
      <c r="C30" t="s">
        <v>844</v>
      </c>
      <c r="D30" s="1021" t="s">
        <v>847</v>
      </c>
    </row>
    <row r="31" spans="1:4">
      <c r="A31" s="976" t="s">
        <v>864</v>
      </c>
      <c r="B31" s="1020">
        <v>44698</v>
      </c>
      <c r="C31" t="s">
        <v>776</v>
      </c>
    </row>
    <row r="32" spans="1:4">
      <c r="A32" s="976" t="s">
        <v>864</v>
      </c>
      <c r="B32" s="1020">
        <v>44699</v>
      </c>
      <c r="C32" t="s">
        <v>865</v>
      </c>
    </row>
    <row r="33" spans="1:4">
      <c r="A33" s="976" t="s">
        <v>864</v>
      </c>
      <c r="B33" s="1020">
        <v>44699</v>
      </c>
      <c r="C33" t="s">
        <v>867</v>
      </c>
    </row>
    <row r="34" spans="1:4">
      <c r="A34" s="976" t="s">
        <v>864</v>
      </c>
      <c r="B34" s="880">
        <v>44768</v>
      </c>
      <c r="C34" s="1026" t="s">
        <v>875</v>
      </c>
      <c r="D34" s="1021" t="s">
        <v>818</v>
      </c>
    </row>
    <row r="35" spans="1:4">
      <c r="A35" s="976" t="s">
        <v>864</v>
      </c>
      <c r="B35" s="880">
        <v>44768</v>
      </c>
      <c r="C35" s="1026" t="s">
        <v>876</v>
      </c>
      <c r="D35" s="1021" t="s">
        <v>847</v>
      </c>
    </row>
    <row r="36" spans="1:4">
      <c r="A36" s="976" t="s">
        <v>864</v>
      </c>
      <c r="B36" s="880">
        <v>44768</v>
      </c>
      <c r="C36" s="880" t="s">
        <v>878</v>
      </c>
      <c r="D36" s="1008" t="s">
        <v>879</v>
      </c>
    </row>
  </sheetData>
  <phoneticPr fontId="134" type="noConversion"/>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 ref="D35" location="'ECF transport '!A1" display=" ECF transport '!A1 " xr:uid="{C1746A97-1EC9-40FF-BDA2-71E74219FD16}"/>
    <hyperlink ref="D34" location="transport!A21" display="transport!A21" xr:uid="{6F1C59F6-8E2F-4110-880C-4C9B0F385910}"/>
    <hyperlink ref="D36" location="'lokale energieproductie'!X27" display="lokale energieproductie'!X27" xr:uid="{ACCA52CE-C10D-4AC1-9185-7FA54C900A7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2022-07-26T10:28:44Z</dcterms:modified>
</cp:coreProperties>
</file>