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BE6C767-F12E-45BB-AC63-E745A542421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I9" i="18"/>
  <c r="I77" i="14"/>
  <c r="I9" i="59"/>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<sst xmlns="http://schemas.openxmlformats.org/spreadsheetml/2006/main" count="2425" uniqueCount="888">
  <si>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</si>
  <si>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</si>
  <si>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</si>
  <si>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</si>
  <si>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</si>
  <si>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</si>
  <si>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</si>
  <si>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</si>
  <si>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</si>
  <si>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</si>
  <si>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</si>
  <si>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</si>
  <si>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</si>
  <si>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</si>
  <si>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</si>
  <si>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</si>
  <si>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</si>
  <si>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</si>
  <si>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</si>
  <si>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</si>
  <si>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</si>
  <si>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</si>
  <si>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</si>
  <si>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</si>
  <si>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</si>
  <si>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</si>
  <si>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</si>
  <si>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</si>
  <si>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</si>
  <si>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</si>
  <si>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</si>
  <si>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</si>
  <si>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</si>
  <si>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</si>
  <si>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</si>
  <si>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</si>
  <si>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</si>
  <si>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</si>
  <si>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</si>
  <si>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</si>
  <si>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</si>
  <si>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</si>
  <si>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</si>
  <si>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</si>
  <si>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</si>
  <si>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</si>
  <si>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</si>
  <si>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</si>
  <si>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</si>
  <si>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</si>
  <si>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</si>
  <si>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</si>
  <si>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</si>
  <si>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</si>
  <si>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</si>
  <si>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</si>
  <si>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</si>
  <si>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</si>
  <si>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</si>
  <si>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</si>
  <si>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</si>
  <si>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</si>
  <si>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</si>
  <si>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</si>
  <si>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</si>
  <si>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</si>
  <si>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</si>
  <si>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</si>
  <si>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</si>
  <si>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</si>
  <si>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</si>
  <si>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</si>
  <si>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</si>
  <si>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</si>
  <si>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</si>
  <si>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</si>
  <si>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</si>
  <si>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</si>
  <si>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</si>
  <si>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</si>
  <si>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</si>
  <si>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</si>
  <si>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</si>
  <si>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</si>
  <si>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</si>
  <si>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</si>
  <si>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</si>
  <si>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</si>
  <si>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</si>
  <si>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</si>
  <si>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</si>
  <si>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</si>
  <si>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</si>
  <si>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</si>
  <si>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</si>
  <si>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</si>
  <si>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</si>
  <si>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</si>
  <si>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</si>
  <si>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</si>
  <si>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</si>
  <si>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</si>
  <si>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</si>
  <si>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</si>
  <si>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</si>
  <si>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</si>
  <si>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</si>
  <si>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</si>
  <si>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</si>
  <si>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</si>
  <si>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</si>
  <si>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</si>
  <si>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</si>
  <si>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</si>
  <si>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</si>
  <si>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</si>
  <si>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</si>
  <si>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</si>
  <si>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</si>
  <si>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</si>
  <si>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</si>
  <si>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</si>
  <si>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</si>
  <si>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</si>
  <si>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</si>
  <si>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</si>
  <si>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</si>
  <si>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</si>
  <si>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</si>
  <si>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</si>
  <si>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</si>
  <si>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</si>
  <si>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</si>
  <si>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</si>
  <si>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</si>
  <si>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</si>
  <si>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</si>
  <si>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</si>
  <si>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</si>
  <si>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</si>
  <si>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</si>
  <si>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</si>
  <si>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</si>
  <si>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</si>
  <si>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</si>
  <si>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</si>
  <si>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</si>
  <si>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</si>
  <si>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</si>
  <si>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</si>
  <si>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</si>
  <si>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</si>
  <si>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</si>
  <si>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</si>
  <si>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</si>
  <si>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</si>
  <si>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</si>
  <si>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</si>
  <si>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</si>
  <si>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</si>
  <si>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</si>
  <si>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</si>
  <si>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</si>
  <si>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</si>
  <si>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</si>
  <si>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</si>
  <si>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</si>
  <si>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</si>
  <si>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</si>
  <si>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</si>
  <si>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</si>
  <si>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</si>
  <si>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</si>
  <si>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</si>
  <si>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</si>
  <si>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</si>
  <si>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</si>
  <si>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</si>
  <si>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</si>
  <si>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</si>
  <si>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</si>
  <si>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</si>
  <si>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</si>
  <si>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</si>
  <si>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</si>
  <si>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</si>
  <si>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</si>
  <si>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</si>
  <si>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</si>
  <si>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</si>
  <si>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</si>
  <si>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</si>
  <si>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</si>
  <si>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</si>
  <si>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</si>
  <si>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</si>
  <si>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</si>
  <si>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</si>
  <si>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</si>
  <si>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</si>
  <si>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</si>
  <si>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</si>
  <si>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</si>
  <si>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</si>
  <si>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</si>
  <si>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</si>
  <si>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</si>
  <si>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</si>
  <si>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</si>
  <si>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</si>
  <si>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</si>
  <si>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</si>
  <si>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</si>
  <si>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</si>
  <si>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</si>
  <si>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</si>
  <si>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</si>
  <si>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</si>
  <si>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</si>
  <si>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</si>
  <si>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</si>
  <si>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</si>
  <si>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</si>
  <si>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</si>
  <si>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</si>
  <si>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</si>
  <si>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</si>
  <si>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</si>
  <si>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</si>
  <si>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</si>
  <si>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</si>
  <si>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</si>
  <si>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</si>
  <si>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</si>
  <si>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</si>
  <si>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</si>
  <si>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</si>
  <si>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</si>
  <si>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</si>
  <si>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</si>
  <si>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</si>
  <si>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</si>
  <si>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</si>
  <si>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</si>
  <si>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</si>
  <si>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</si>
  <si>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</si>
  <si>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</si>
  <si>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</si>
  <si>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</si>
  <si>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</si>
  <si>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</si>
  <si>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</si>
  <si>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</si>
  <si>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</si>
  <si>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</si>
  <si>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</si>
  <si>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</si>
  <si>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</si>
  <si>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</si>
  <si>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</si>
  <si>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</si>
  <si>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</si>
  <si>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</si>
  <si>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</si>
  <si>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</si>
  <si>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</si>
  <si>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</si>
  <si>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</si>
  <si>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</si>
  <si>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</si>
  <si>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</si>
  <si>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</si>
  <si>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</si>
  <si>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</si>
  <si>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</si>
  <si>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</si>
  <si>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</si>
  <si>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</si>
  <si>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</si>
  <si>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</si>
  <si>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</si>
  <si>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</si>
  <si>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</si>
  <si>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</si>
  <si>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</si>
  <si>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</si>
  <si>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</si>
  <si>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</si>
  <si>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</si>
  <si>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</si>
  <si>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</si>
  <si>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</si>
  <si>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</si>
  <si>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</si>
  <si>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</si>
  <si>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</si>
  <si>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</si>
  <si>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</si>
  <si>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</si>
  <si>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</si>
  <si>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</si>
  <si>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</si>
  <si>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</si>
  <si>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</si>
  <si>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</si>
  <si>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</si>
  <si>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</si>
  <si>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</si>
  <si>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</si>
  <si>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</si>
  <si>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</si>
  <si>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</si>
  <si>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</si>
  <si>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</si>
  <si>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</si>
  <si>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</si>
  <si>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</si>
  <si>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</si>
  <si>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</si>
  <si>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</si>
  <si>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</si>
  <si>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</si>
  <si>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</si>
  <si>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</si>
  <si>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</si>
  <si>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</si>
  <si>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</si>
  <si>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</si>
  <si>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</si>
  <si>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</si>
  <si>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</si>
  <si>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</si>
  <si>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</si>
  <si>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</si>
  <si>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</si>
  <si>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</si>
  <si>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</si>
  <si>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</si>
  <si>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</si>
  <si>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</si>
  <si>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</si>
  <si>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</si>
  <si>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</si>
  <si>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</si>
  <si>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</si>
  <si>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</si>
  <si>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</si>
  <si>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</si>
  <si>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</si>
  <si>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</si>
  <si>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</si>
  <si>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</si>
  <si>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</si>
  <si>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</si>
  <si>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</si>
  <si>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</si>
  <si>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</si>
  <si>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</si>
  <si>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</si>
  <si>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</si>
  <si>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</si>
  <si>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</si>
  <si>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</si>
  <si>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</si>
  <si>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</si>
  <si>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</si>
  <si>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</si>
  <si>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</si>
  <si>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</si>
  <si>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</si>
  <si>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</si>
  <si>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</si>
  <si>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</si>
  <si>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</si>
  <si>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</si>
  <si>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</si>
  <si>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</si>
  <si>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</si>
  <si>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</si>
  <si>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</si>
  <si>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</si>
  <si>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</si>
  <si>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</si>
  <si>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</si>
  <si>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</si>
  <si>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</si>
  <si>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</si>
  <si>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</si>
  <si>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</si>
  <si>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</si>
  <si>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</si>
  <si>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</si>
  <si>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</si>
  <si>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</si>
  <si>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</si>
  <si>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</si>
  <si>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</si>
  <si>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</si>
  <si>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</si>
  <si>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</si>
  <si>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</si>
  <si>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</si>
  <si>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</si>
  <si>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</si>
  <si>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</si>
  <si>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</si>
  <si>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</si>
  <si>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</si>
  <si>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</si>
  <si>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</si>
  <si>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</si>
  <si>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</si>
  <si>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</si>
  <si>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</si>
  <si>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</si>
  <si>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</si>
  <si>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</si>
  <si>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</si>
  <si>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</si>
  <si>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</si>
  <si>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</si>
  <si>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</si>
  <si>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</si>
  <si>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</si>
  <si>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</si>
  <si>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</si>
  <si>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</si>
  <si>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</si>
  <si>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</si>
  <si>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</si>
  <si>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</si>
  <si>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</si>
  <si>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</si>
  <si>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</si>
  <si>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</si>
  <si>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</si>
  <si>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</si>
  <si>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</si>
  <si>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</si>
  <si>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</si>
  <si>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</si>
  <si>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</si>
  <si>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</si>
  <si>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</si>
  <si>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</si>
  <si>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</si>
  <si>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</si>
  <si>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</si>
  <si>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</si>
  <si>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</si>
  <si>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</si>
  <si>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</si>
  <si>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</si>
  <si>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</si>
  <si>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</si>
  <si>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</si>
  <si>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</si>
  <si>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</si>
  <si>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</si>
  <si>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</si>
  <si>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</si>
  <si>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</si>
  <si>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</si>
  <si>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</si>
  <si>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</si>
  <si>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</si>
  <si>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</si>
  <si>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</si>
  <si>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</si>
  <si>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</si>
  <si>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</si>
  <si>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</si>
  <si>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</si>
  <si>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</si>
  <si>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</si>
  <si>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</si>
  <si>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</si>
  <si>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</si>
  <si>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</si>
  <si>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</si>
  <si>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</si>
  <si>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</si>
  <si>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</si>
  <si>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</si>
  <si>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</si>
  <si>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</si>
  <si>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</si>
  <si>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</si>
  <si>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</si>
  <si>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</si>
  <si>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</si>
  <si>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</si>
  <si>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</si>
  <si>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</si>
  <si>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</si>
  <si>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</si>
  <si>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</si>
  <si>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</si>
  <si>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</si>
  <si>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</si>
  <si>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</si>
  <si>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</si>
  <si>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</si>
  <si>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</si>
  <si>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</si>
  <si>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</si>
  <si>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</si>
  <si>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</si>
  <si>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</si>
  <si>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</si>
  <si>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</si>
  <si>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</si>
  <si>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</si>
  <si>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</si>
  <si>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</si>
  <si>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</si>
  <si>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</si>
  <si>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</si>
  <si>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</si>
  <si>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</si>
  <si>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</si>
  <si>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</si>
  <si>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</si>
  <si>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</si>
  <si>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</si>
  <si>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</si>
  <si>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</si>
  <si>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</si>
  <si>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</si>
  <si>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</si>
  <si>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</si>
  <si>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</si>
  <si>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</si>
  <si>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</si>
  <si>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</si>
  <si>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</si>
  <si>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</si>
  <si>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</si>
  <si>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</si>
  <si>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</si>
  <si>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</si>
  <si>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</si>
  <si>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</si>
  <si>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</si>
  <si>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</si>
  <si>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</si>
  <si>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</si>
  <si>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</si>
  <si>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</si>
  <si>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</si>
  <si>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</si>
  <si>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</si>
  <si>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</si>
  <si>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</si>
  <si>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</si>
  <si>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</si>
  <si>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</si>
  <si>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</si>
  <si>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</si>
  <si>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</si>
  <si>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</si>
  <si>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</si>
  <si>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</si>
  <si>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</si>
  <si>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</si>
  <si>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</si>
  <si>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</si>
  <si>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</si>
  <si>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</si>
  <si>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</si>
  <si>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</si>
  <si>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</si>
  <si>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</si>
  <si>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</si>
  <si>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</si>
  <si>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</si>
  <si>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</si>
  <si>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</si>
  <si>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</si>
  <si>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</si>
  <si>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</si>
  <si>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</si>
  <si>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</si>
  <si>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</si>
  <si>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</si>
  <si>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</si>
  <si>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</si>
  <si>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</si>
  <si>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</si>
  <si>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</si>
  <si>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</si>
  <si>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</si>
  <si>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</si>
  <si>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</si>
  <si>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</si>
  <si>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</si>
  <si>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</si>
  <si>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</si>
  <si>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</si>
  <si>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</si>
  <si>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</si>
  <si>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</si>
  <si>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</si>
  <si>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</si>
  <si>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</si>
  <si>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</si>
  <si>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</si>
  <si>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</si>
  <si>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</si>
  <si>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</si>
  <si>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</si>
  <si>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</si>
  <si>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</si>
  <si>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</si>
  <si>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</si>
  <si>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</si>
  <si>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</si>
  <si>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</si>
  <si>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</si>
  <si>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</si>
  <si>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</si>
  <si>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</si>
  <si>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</si>
  <si>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</si>
  <si>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</si>
  <si>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</si>
  <si>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</si>
  <si>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</si>
  <si>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</si>
  <si>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</si>
  <si>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</si>
  <si>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</si>
  <si>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</si>
  <si>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</si>
  <si>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</si>
  <si>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</si>
  <si>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</si>
  <si>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</si>
  <si>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</si>
  <si>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</si>
  <si>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</si>
  <si>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</si>
  <si>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</si>
  <si>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</si>
  <si>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</si>
  <si>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</si>
  <si>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</si>
  <si>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</si>
  <si>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</si>
  <si>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</si>
  <si>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</si>
  <si>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</si>
  <si>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</si>
  <si>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</si>
  <si>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</si>
  <si>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</si>
  <si>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</si>
  <si>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</si>
  <si>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</si>
  <si>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</si>
  <si>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</si>
  <si>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</si>
  <si>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</si>
  <si>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</si>
  <si>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</si>
  <si>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</si>
  <si>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</si>
  <si>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</si>
  <si>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</si>
  <si>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</si>
  <si>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</si>
  <si>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</si>
  <si>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</si>
  <si>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</si>
  <si>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</si>
  <si>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</si>
  <si>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</si>
  <si>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</si>
  <si>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</si>
  <si>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</si>
  <si>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</si>
  <si>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</si>
  <si>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</si>
  <si>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</si>
  <si>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</si>
  <si>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</si>
  <si>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</si>
  <si>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</si>
  <si>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</si>
  <si>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</si>
  <si>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</si>
  <si>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</si>
  <si>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</si>
  <si>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</si>
  <si>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</si>
  <si>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</si>
  <si>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</si>
  <si>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</si>
  <si>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</si>
  <si>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</si>
  <si>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</si>
  <si>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</si>
  <si>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</si>
  <si>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</si>
  <si>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</si>
  <si>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</si>
  <si>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</si>
  <si>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</si>
  <si>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</si>
  <si>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</si>
  <si>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</si>
  <si>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</si>
  <si>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</si>
  <si>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</si>
  <si>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</si>
  <si>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</si>
  <si>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</si>
  <si>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</si>
  <si>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</si>
  <si>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</si>
  <si>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</si>
  <si>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</si>
  <si>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</si>
  <si>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</si>
  <si>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</si>
  <si>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</si>
  <si>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</si>
  <si>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</si>
  <si>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</si>
  <si>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</si>
  <si>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</si>
  <si>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</si>
  <si>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</si>
  <si>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</si>
  <si>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</si>
  <si>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</si>
  <si>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</si>
  <si>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</si>
  <si>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</si>
  <si>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</si>
  <si>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</si>
  <si>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</si>
  <si>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</si>
  <si>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</si>
  <si>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</si>
  <si>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</si>
  <si>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</si>
  <si>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</si>
  <si>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</si>
  <si>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</si>
  <si>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</si>
  <si>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</si>
  <si>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</si>
  <si>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</si>
  <si>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</si>
  <si>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</si>
  <si>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</si>
  <si>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</si>
  <si>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</si>
  <si>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</si>
  <si>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</si>
  <si>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</si>
  <si>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</si>
  <si>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</si>
  <si>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</si>
  <si>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</si>
  <si>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</si>
  <si>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</si>
  <si>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</si>
  <si>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</si>
  <si>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</si>
  <si>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</si>
  <si>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</si>
  <si>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</si>
  <si>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</si>
  <si>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</si>
  <si>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</si>
  <si>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</si>
  <si>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</si>
  <si>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</si>
  <si>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</si>
  <si>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</si>
  <si>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</si>
  <si>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</si>
  <si>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</si>
  <si>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</si>
  <si>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</si>
  <si>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</si>
  <si>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</si>
  <si>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</si>
  <si>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</si>
  <si>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</si>
  <si>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</si>
  <si>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</si>
  <si>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</si>
  <si>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</si>
  <si>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</si>
  <si>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</si>
  <si>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</si>
  <si>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</si>
  <si>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</si>
  <si>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</si>
  <si>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</si>
  <si>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</si>
  <si>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</si>
  <si>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</si>
  <si>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</si>
  <si>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</si>
  <si>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</si>
  <si>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</si>
  <si>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</si>
  <si>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</si>
  <si>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</si>
  <si>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</si>
  <si>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</si>
  <si>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</si>
  <si>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</si>
  <si>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</si>
  <si>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</si>
  <si>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</si>
  <si>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</si>
  <si>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</si>
  <si>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</si>
  <si>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</si>
  <si>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</si>
  <si>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</si>
  <si>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</si>
  <si>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</si>
  <si>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</si>
  <si>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</si>
  <si>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</si>
  <si>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</si>
  <si>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</si>
  <si>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</si>
  <si>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</si>
  <si>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</si>
  <si>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</si>
  <si>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</si>
  <si>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</si>
  <si>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</si>
  <si>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</si>
  <si>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</si>
  <si>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</si>
  <si>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</si>
  <si>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</si>
  <si>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</si>
  <si>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</si>
  <si>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</si>
  <si>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</si>
  <si>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</si>
  <si>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</si>
  <si>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</si>
  <si>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</si>
  <si>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</si>
  <si>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</si>
  <si>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</si>
  <si>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</si>
  <si>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</si>
  <si>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</si>
  <si>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</si>
  <si>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</si>
  <si>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</si>
  <si>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</si>
  <si>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</si>
  <si>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</si>
  <si>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</si>
  <si>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</si>
  <si>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</si>
  <si>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</si>
  <si>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</si>
  <si>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</si>
  <si>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</si>
  <si>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</si>
  <si>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</si>
  <si>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</si>
  <si>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</si>
  <si>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</si>
  <si>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</si>
  <si>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</si>
  <si>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11056</t>
  </si>
  <si>
    <t>ZWIJNDRECHT</t>
  </si>
  <si>
    <t>vloeibaar gas (MWh)</t>
  </si>
  <si>
    <t>interne verbrandingsmotor</t>
  </si>
  <si>
    <t>WKK interne verbrandinsgmotor (gas)</t>
  </si>
  <si>
    <t>IMEA</t>
  </si>
  <si>
    <t>Interne verbrandingsmotor</t>
  </si>
  <si>
    <t>I.M.E.A. of IMEA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</si>
</sst>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F03AB1E-656B-492B-B66E-F5F6CE6E6F6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151843.3966749449</c:v>
                </c:pt>
                <c:pt idx="1">
                  <c:v>105032.61614430741</c:v>
                </c:pt>
                <c:pt idx="2">
                  <c:v>1270.5200989999998</c:v>
                </c:pt>
                <c:pt idx="3">
                  <c:v>51438.000790279453</c:v>
                </c:pt>
                <c:pt idx="4">
                  <c:v>61924.058910734893</c:v>
                </c:pt>
                <c:pt idx="5">
                  <c:v>237376.93955373549</c:v>
                </c:pt>
                <c:pt idx="6">
                  <c:v>2274.5363764982808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151843.3966749449</c:v>
                </c:pt>
                <c:pt idx="1">
                  <c:v>105032.61614430741</c:v>
                </c:pt>
                <c:pt idx="2">
                  <c:v>1270.5200989999998</c:v>
                </c:pt>
                <c:pt idx="3">
                  <c:v>51438.000790279453</c:v>
                </c:pt>
                <c:pt idx="4">
                  <c:v>61924.058910734893</c:v>
                </c:pt>
                <c:pt idx="5">
                  <c:v>237376.93955373549</c:v>
                </c:pt>
                <c:pt idx="6">
                  <c:v>2274.5363764982808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30602.346431217495</c:v>
                </c:pt>
                <c:pt idx="1">
                  <c:v>21543.674422890519</c:v>
                </c:pt>
                <c:pt idx="2">
                  <c:v>272.92441463455538</c:v>
                </c:pt>
                <c:pt idx="3">
                  <c:v>12369.432839299765</c:v>
                </c:pt>
                <c:pt idx="4">
                  <c:v>13253.001340575331</c:v>
                </c:pt>
                <c:pt idx="5">
                  <c:v>59260.000586127775</c:v>
                </c:pt>
                <c:pt idx="6">
                  <c:v>528.33354359275268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30602.346431217495</c:v>
                </c:pt>
                <c:pt idx="1">
                  <c:v>21543.674422890519</c:v>
                </c:pt>
                <c:pt idx="2">
                  <c:v>272.92441463455538</c:v>
                </c:pt>
                <c:pt idx="3">
                  <c:v>12369.432839299765</c:v>
                </c:pt>
                <c:pt idx="4">
                  <c:v>13253.001340575331</c:v>
                </c:pt>
                <c:pt idx="5">
                  <c:v>59260.000586127775</c:v>
                </c:pt>
                <c:pt idx="6">
                  <c:v>528.33354359275268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11056</v>
      </c>
      <c r="B6" s="382"/>
      <c r="C6" s="383"/>
    </row>
    <row r="7" spans="1:7" s="380" customFormat="1" ht="15.75" customHeight="1">
      <c r="A7" s="384" t="str">
        <f>txtMunicipality</f>
        <v>ZWIJNDRECHT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0.2148131421528621</v>
      </c>
      <c r="C17" s="492">
        <f ca="1">'EF ele_warmte'!B22</f>
        <v>0.23764705882352938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0.2148131421528621</v>
      </c>
      <c r="C29" s="493">
        <f ca="1">'EF ele_warmte'!B22</f>
        <v>0.23764705882352938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8142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364.37</v>
      </c>
      <c r="C14" s="324"/>
      <c r="D14" s="324"/>
      <c r="E14" s="324"/>
      <c r="F14" s="324"/>
    </row>
    <row r="15" spans="1:6">
      <c r="A15" s="1257" t="s">
        <v>177</v>
      </c>
      <c r="B15" s="1258">
        <v>0</v>
      </c>
      <c r="C15" s="324"/>
      <c r="D15" s="324"/>
      <c r="E15" s="324"/>
      <c r="F15" s="324"/>
    </row>
    <row r="16" spans="1:6">
      <c r="A16" s="1257" t="s">
        <v>6</v>
      </c>
      <c r="B16" s="1258">
        <v>30</v>
      </c>
      <c r="C16" s="324"/>
      <c r="D16" s="324"/>
      <c r="E16" s="324"/>
      <c r="F16" s="324"/>
    </row>
    <row r="17" spans="1:6">
      <c r="A17" s="1257" t="s">
        <v>7</v>
      </c>
      <c r="B17" s="1258">
        <v>19</v>
      </c>
      <c r="C17" s="324"/>
      <c r="D17" s="324"/>
      <c r="E17" s="324"/>
      <c r="F17" s="324"/>
    </row>
    <row r="18" spans="1:6">
      <c r="A18" s="1257" t="s">
        <v>8</v>
      </c>
      <c r="B18" s="1258">
        <v>34</v>
      </c>
      <c r="C18" s="324"/>
      <c r="D18" s="324"/>
      <c r="E18" s="324"/>
      <c r="F18" s="324"/>
    </row>
    <row r="19" spans="1:6">
      <c r="A19" s="1257" t="s">
        <v>9</v>
      </c>
      <c r="B19" s="1258">
        <v>29</v>
      </c>
      <c r="C19" s="324"/>
      <c r="D19" s="324"/>
      <c r="E19" s="324"/>
      <c r="F19" s="324"/>
    </row>
    <row r="20" spans="1:6">
      <c r="A20" s="1257" t="s">
        <v>10</v>
      </c>
      <c r="B20" s="1258">
        <v>7</v>
      </c>
      <c r="C20" s="324"/>
      <c r="D20" s="324"/>
      <c r="E20" s="324"/>
      <c r="F20" s="324"/>
    </row>
    <row r="21" spans="1:6">
      <c r="A21" s="1257" t="s">
        <v>11</v>
      </c>
      <c r="B21" s="1258">
        <v>59</v>
      </c>
      <c r="C21" s="324"/>
      <c r="D21" s="324"/>
      <c r="E21" s="324"/>
      <c r="F21" s="324"/>
    </row>
    <row r="22" spans="1:6">
      <c r="A22" s="1257" t="s">
        <v>12</v>
      </c>
      <c r="B22" s="1258">
        <v>240</v>
      </c>
      <c r="C22" s="324"/>
      <c r="D22" s="324"/>
      <c r="E22" s="324"/>
      <c r="F22" s="324"/>
    </row>
    <row r="23" spans="1:6">
      <c r="A23" s="1257" t="s">
        <v>13</v>
      </c>
      <c r="B23" s="1258">
        <v>10</v>
      </c>
      <c r="C23" s="324"/>
      <c r="D23" s="324"/>
      <c r="E23" s="324"/>
      <c r="F23" s="324"/>
    </row>
    <row r="24" spans="1:6">
      <c r="A24" s="1257" t="s">
        <v>14</v>
      </c>
      <c r="B24" s="1258">
        <v>1</v>
      </c>
      <c r="C24" s="324"/>
      <c r="D24" s="324"/>
      <c r="E24" s="324"/>
      <c r="F24" s="324"/>
    </row>
    <row r="25" spans="1:6">
      <c r="A25" s="1257" t="s">
        <v>15</v>
      </c>
      <c r="B25" s="1258">
        <v>30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15</v>
      </c>
      <c r="C29" s="324"/>
      <c r="D29" s="324"/>
      <c r="E29" s="324"/>
      <c r="F29" s="324"/>
    </row>
    <row r="30" spans="1:6">
      <c r="A30" s="1252" t="s">
        <v>665</v>
      </c>
      <c r="B30" s="1260">
        <v>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4</v>
      </c>
      <c r="D36" s="1258">
        <v>263256.14799999999</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7324.4210000000003</v>
      </c>
    </row>
    <row r="39" spans="1:6">
      <c r="A39" s="1257" t="s">
        <v>29</v>
      </c>
      <c r="B39" s="1257" t="s">
        <v>30</v>
      </c>
      <c r="C39" s="1258">
        <v>6774</v>
      </c>
      <c r="D39" s="1258">
        <v>96149029.829999998</v>
      </c>
      <c r="E39" s="1258">
        <v>8243</v>
      </c>
      <c r="F39" s="1258">
        <v>28900962.260000002</v>
      </c>
    </row>
    <row r="40" spans="1:6">
      <c r="A40" s="1257" t="s">
        <v>29</v>
      </c>
      <c r="B40" s="1257" t="s">
        <v>28</v>
      </c>
      <c r="C40" s="1258">
        <v>0</v>
      </c>
      <c r="D40" s="1258">
        <v>0</v>
      </c>
      <c r="E40" s="1258">
        <v>0</v>
      </c>
      <c r="F40" s="1258">
        <v>0</v>
      </c>
    </row>
    <row r="41" spans="1:6">
      <c r="A41" s="1257" t="s">
        <v>31</v>
      </c>
      <c r="B41" s="1257" t="s">
        <v>32</v>
      </c>
      <c r="C41" s="1258">
        <v>39</v>
      </c>
      <c r="D41" s="1258">
        <v>2784944.585</v>
      </c>
      <c r="E41" s="1258">
        <v>70</v>
      </c>
      <c r="F41" s="1258">
        <v>1856437.33</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8</v>
      </c>
      <c r="F44" s="1258">
        <v>1841912.959</v>
      </c>
    </row>
    <row r="45" spans="1:6">
      <c r="A45" s="1257" t="s">
        <v>31</v>
      </c>
      <c r="B45" s="1257" t="s">
        <v>36</v>
      </c>
      <c r="C45" s="1258">
        <v>0</v>
      </c>
      <c r="D45" s="1258">
        <v>0</v>
      </c>
      <c r="E45" s="1258">
        <v>4</v>
      </c>
      <c r="F45" s="1258">
        <v>17977.423999999999</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20</v>
      </c>
      <c r="D48" s="1258">
        <v>9170658.5079999994</v>
      </c>
      <c r="E48" s="1258">
        <v>28</v>
      </c>
      <c r="F48" s="1258">
        <v>36126302.799999997</v>
      </c>
    </row>
    <row r="49" spans="1:6">
      <c r="A49" s="1257" t="s">
        <v>31</v>
      </c>
      <c r="B49" s="1257" t="s">
        <v>39</v>
      </c>
      <c r="C49" s="1258">
        <v>4</v>
      </c>
      <c r="D49" s="1258">
        <v>72410.668999999994</v>
      </c>
      <c r="E49" s="1258">
        <v>4</v>
      </c>
      <c r="F49" s="1258">
        <v>42179.642999999996</v>
      </c>
    </row>
    <row r="50" spans="1:6">
      <c r="A50" s="1257" t="s">
        <v>31</v>
      </c>
      <c r="B50" s="1257" t="s">
        <v>40</v>
      </c>
      <c r="C50" s="1258">
        <v>4</v>
      </c>
      <c r="D50" s="1258">
        <v>495475.56199999998</v>
      </c>
      <c r="E50" s="1258">
        <v>7</v>
      </c>
      <c r="F50" s="1258">
        <v>312522.37699999998</v>
      </c>
    </row>
    <row r="51" spans="1:6">
      <c r="A51" s="1257" t="s">
        <v>41</v>
      </c>
      <c r="B51" s="1257" t="s">
        <v>42</v>
      </c>
      <c r="C51" s="1258">
        <v>3</v>
      </c>
      <c r="D51" s="1258">
        <v>43785.612999999998</v>
      </c>
      <c r="E51" s="1258">
        <v>27</v>
      </c>
      <c r="F51" s="1258">
        <v>1278935.2890000001</v>
      </c>
    </row>
    <row r="52" spans="1:6">
      <c r="A52" s="1257" t="s">
        <v>41</v>
      </c>
      <c r="B52" s="1257" t="s">
        <v>28</v>
      </c>
      <c r="C52" s="1258">
        <v>6</v>
      </c>
      <c r="D52" s="1258">
        <v>15503125.060000001</v>
      </c>
      <c r="E52" s="1258">
        <v>2</v>
      </c>
      <c r="F52" s="1258">
        <v>230.727</v>
      </c>
    </row>
    <row r="53" spans="1:6">
      <c r="A53" s="1257" t="s">
        <v>43</v>
      </c>
      <c r="B53" s="1257" t="s">
        <v>44</v>
      </c>
      <c r="C53" s="1258">
        <v>137</v>
      </c>
      <c r="D53" s="1258">
        <v>2076082.379</v>
      </c>
      <c r="E53" s="1258">
        <v>327</v>
      </c>
      <c r="F53" s="1258">
        <v>785722.27</v>
      </c>
    </row>
    <row r="54" spans="1:6">
      <c r="A54" s="1257" t="s">
        <v>45</v>
      </c>
      <c r="B54" s="1257" t="s">
        <v>46</v>
      </c>
      <c r="C54" s="1258">
        <v>0</v>
      </c>
      <c r="D54" s="1258">
        <v>0</v>
      </c>
      <c r="E54" s="1258">
        <v>4</v>
      </c>
      <c r="F54" s="1258">
        <v>1270520.0989999999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54</v>
      </c>
      <c r="D57" s="1258">
        <v>3545235.9870000002</v>
      </c>
      <c r="E57" s="1258">
        <v>99</v>
      </c>
      <c r="F57" s="1258">
        <v>3262937.1719999998</v>
      </c>
    </row>
    <row r="58" spans="1:6">
      <c r="A58" s="1257" t="s">
        <v>48</v>
      </c>
      <c r="B58" s="1257" t="s">
        <v>50</v>
      </c>
      <c r="C58" s="1258">
        <v>31</v>
      </c>
      <c r="D58" s="1258">
        <v>3455593.5269999998</v>
      </c>
      <c r="E58" s="1258">
        <v>42</v>
      </c>
      <c r="F58" s="1258">
        <v>1568061.3670000001</v>
      </c>
    </row>
    <row r="59" spans="1:6">
      <c r="A59" s="1257" t="s">
        <v>48</v>
      </c>
      <c r="B59" s="1257" t="s">
        <v>51</v>
      </c>
      <c r="C59" s="1258">
        <v>104</v>
      </c>
      <c r="D59" s="1258">
        <v>5813745.977</v>
      </c>
      <c r="E59" s="1258">
        <v>162</v>
      </c>
      <c r="F59" s="1258">
        <v>7667286.9630000005</v>
      </c>
    </row>
    <row r="60" spans="1:6">
      <c r="A60" s="1257" t="s">
        <v>48</v>
      </c>
      <c r="B60" s="1257" t="s">
        <v>52</v>
      </c>
      <c r="C60" s="1258">
        <v>54</v>
      </c>
      <c r="D60" s="1258">
        <v>1850984.0260000001</v>
      </c>
      <c r="E60" s="1258">
        <v>57</v>
      </c>
      <c r="F60" s="1258">
        <v>1329698.564</v>
      </c>
    </row>
    <row r="61" spans="1:6">
      <c r="A61" s="1257" t="s">
        <v>48</v>
      </c>
      <c r="B61" s="1257" t="s">
        <v>53</v>
      </c>
      <c r="C61" s="1258">
        <v>105</v>
      </c>
      <c r="D61" s="1258">
        <v>11815758.41</v>
      </c>
      <c r="E61" s="1258">
        <v>302</v>
      </c>
      <c r="F61" s="1258">
        <v>4361196.335</v>
      </c>
    </row>
    <row r="62" spans="1:6">
      <c r="A62" s="1257" t="s">
        <v>48</v>
      </c>
      <c r="B62" s="1257" t="s">
        <v>54</v>
      </c>
      <c r="C62" s="1258">
        <v>3</v>
      </c>
      <c r="D62" s="1258">
        <v>656001.40399999998</v>
      </c>
      <c r="E62" s="1258">
        <v>6</v>
      </c>
      <c r="F62" s="1258">
        <v>228726.592</v>
      </c>
    </row>
    <row r="63" spans="1:6">
      <c r="A63" s="1257" t="s">
        <v>48</v>
      </c>
      <c r="B63" s="1257" t="s">
        <v>28</v>
      </c>
      <c r="C63" s="1258">
        <v>81</v>
      </c>
      <c r="D63" s="1258">
        <v>52959302.609999999</v>
      </c>
      <c r="E63" s="1258">
        <v>89</v>
      </c>
      <c r="F63" s="1258">
        <v>6886746.8420000002</v>
      </c>
    </row>
    <row r="64" spans="1:6">
      <c r="A64" s="1257" t="s">
        <v>55</v>
      </c>
      <c r="B64" s="1257" t="s">
        <v>56</v>
      </c>
      <c r="C64" s="1258">
        <v>0</v>
      </c>
      <c r="D64" s="1258">
        <v>0</v>
      </c>
      <c r="E64" s="1258">
        <v>0</v>
      </c>
      <c r="F64" s="1258">
        <v>0</v>
      </c>
    </row>
    <row r="65" spans="1:6">
      <c r="A65" s="1257" t="s">
        <v>55</v>
      </c>
      <c r="B65" s="1257" t="s">
        <v>28</v>
      </c>
      <c r="C65" s="1258">
        <v>4</v>
      </c>
      <c r="D65" s="1258">
        <v>230077.549</v>
      </c>
      <c r="E65" s="1258">
        <v>5</v>
      </c>
      <c r="F65" s="1258">
        <v>633855.06999999995</v>
      </c>
    </row>
    <row r="66" spans="1:6">
      <c r="A66" s="1257" t="s">
        <v>55</v>
      </c>
      <c r="B66" s="1257" t="s">
        <v>57</v>
      </c>
      <c r="C66" s="1258">
        <v>0</v>
      </c>
      <c r="D66" s="1258">
        <v>0</v>
      </c>
      <c r="E66" s="1258">
        <v>13</v>
      </c>
      <c r="F66" s="1258">
        <v>732130.99</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214663.67300000001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42441342</v>
      </c>
      <c r="E73" s="442"/>
      <c r="F73" s="324"/>
    </row>
    <row r="74" spans="1:6">
      <c r="A74" s="1257" t="s">
        <v>63</v>
      </c>
      <c r="B74" s="1257" t="s">
        <v>608</v>
      </c>
      <c r="C74" s="1270" t="s">
        <v>610</v>
      </c>
      <c r="D74" s="1258">
        <v>3789622.5</v>
      </c>
      <c r="E74" s="442"/>
      <c r="F74" s="324"/>
    </row>
    <row r="75" spans="1:6">
      <c r="A75" s="1257" t="s">
        <v>64</v>
      </c>
      <c r="B75" s="1257" t="s">
        <v>607</v>
      </c>
      <c r="C75" s="1270" t="s">
        <v>611</v>
      </c>
      <c r="D75" s="1258">
        <v>14371496</v>
      </c>
      <c r="E75" s="442"/>
      <c r="F75" s="324"/>
    </row>
    <row r="76" spans="1:6">
      <c r="A76" s="1257" t="s">
        <v>64</v>
      </c>
      <c r="B76" s="1257" t="s">
        <v>608</v>
      </c>
      <c r="C76" s="1270" t="s">
        <v>612</v>
      </c>
      <c r="D76" s="1258">
        <v>2012989.5</v>
      </c>
      <c r="E76" s="442"/>
      <c r="F76" s="324"/>
    </row>
    <row r="77" spans="1:6">
      <c r="A77" s="1257" t="s">
        <v>65</v>
      </c>
      <c r="B77" s="1257" t="s">
        <v>607</v>
      </c>
      <c r="C77" s="1270" t="s">
        <v>613</v>
      </c>
      <c r="D77" s="1258">
        <v>139663774</v>
      </c>
      <c r="E77" s="442"/>
      <c r="F77" s="324"/>
    </row>
    <row r="78" spans="1:6">
      <c r="A78" s="1252" t="s">
        <v>65</v>
      </c>
      <c r="B78" s="1252" t="s">
        <v>608</v>
      </c>
      <c r="C78" s="1252" t="s">
        <v>614</v>
      </c>
      <c r="D78" s="1260">
        <v>32956974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291081</v>
      </c>
      <c r="C83" s="442"/>
      <c r="D83" s="324"/>
      <c r="E83" s="324"/>
      <c r="F83" s="324"/>
    </row>
    <row r="84" spans="1:6">
      <c r="A84" s="1252" t="s">
        <v>323</v>
      </c>
      <c r="B84" s="1260">
        <v>343908</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2378.3418010481464</v>
      </c>
      <c r="C91" s="324"/>
      <c r="D91" s="324"/>
      <c r="E91" s="324"/>
      <c r="F91" s="324"/>
    </row>
    <row r="92" spans="1:6">
      <c r="A92" s="1252" t="s">
        <v>68</v>
      </c>
      <c r="B92" s="1253">
        <v>2851.347059620467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5156</v>
      </c>
      <c r="C97" s="324"/>
      <c r="D97" s="324"/>
      <c r="E97" s="324"/>
      <c r="F97" s="324"/>
    </row>
    <row r="98" spans="1:6">
      <c r="A98" s="1257" t="s">
        <v>71</v>
      </c>
      <c r="B98" s="1258">
        <v>14</v>
      </c>
      <c r="C98" s="324"/>
      <c r="D98" s="324"/>
      <c r="E98" s="324"/>
      <c r="F98" s="324"/>
    </row>
    <row r="99" spans="1:6">
      <c r="A99" s="1257" t="s">
        <v>72</v>
      </c>
      <c r="B99" s="1258">
        <v>13</v>
      </c>
      <c r="C99" s="324"/>
      <c r="D99" s="324"/>
      <c r="E99" s="324"/>
      <c r="F99" s="324"/>
    </row>
    <row r="100" spans="1:6">
      <c r="A100" s="1257" t="s">
        <v>73</v>
      </c>
      <c r="B100" s="1258">
        <v>969</v>
      </c>
      <c r="C100" s="324"/>
      <c r="D100" s="324"/>
      <c r="E100" s="324"/>
      <c r="F100" s="324"/>
    </row>
    <row r="101" spans="1:6">
      <c r="A101" s="1257" t="s">
        <v>74</v>
      </c>
      <c r="B101" s="1258">
        <v>49</v>
      </c>
      <c r="C101" s="324"/>
      <c r="D101" s="324"/>
      <c r="E101" s="324"/>
      <c r="F101" s="324"/>
    </row>
    <row r="102" spans="1:6">
      <c r="A102" s="1257" t="s">
        <v>75</v>
      </c>
      <c r="B102" s="1258">
        <v>101</v>
      </c>
      <c r="C102" s="324"/>
      <c r="D102" s="324"/>
      <c r="E102" s="324"/>
      <c r="F102" s="324"/>
    </row>
    <row r="103" spans="1:6">
      <c r="A103" s="1257" t="s">
        <v>76</v>
      </c>
      <c r="B103" s="1258">
        <v>138</v>
      </c>
      <c r="C103" s="324"/>
      <c r="D103" s="324"/>
      <c r="E103" s="324"/>
      <c r="F103" s="324"/>
    </row>
    <row r="104" spans="1:6">
      <c r="A104" s="1257" t="s">
        <v>77</v>
      </c>
      <c r="B104" s="1258">
        <v>696</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7</v>
      </c>
      <c r="C123" s="1258">
        <v>16</v>
      </c>
      <c r="D123" s="324"/>
      <c r="E123" s="324"/>
      <c r="F123" s="324"/>
    </row>
    <row r="124" spans="1:6">
      <c r="A124" s="1257" t="s">
        <v>88</v>
      </c>
      <c r="B124" s="1258">
        <v>2</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78</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101579.4029814</v>
      </c>
      <c r="C3" s="43" t="s">
        <v>163</v>
      </c>
      <c r="D3" s="43"/>
      <c r="E3" s="153"/>
      <c r="F3" s="43"/>
      <c r="G3" s="43"/>
      <c r="H3" s="43"/>
      <c r="I3" s="43"/>
      <c r="J3" s="43"/>
      <c r="K3" s="96"/>
    </row>
    <row r="4" spans="1:11">
      <c r="A4" s="350" t="s">
        <v>164</v>
      </c>
      <c r="B4" s="49">
        <f>IF(ISERROR('SEAP template'!B78+'SEAP template'!C78),0,'SEAP template'!B78+'SEAP template'!C78)</f>
        <v>36905.188860668612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7527.5894117647058</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0.2148131421528621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10753.699159663864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45250.714285714283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1270.5200989999998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1270.5200989999998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0.2148131421528621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272.92441463455538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28900.96226</v>
      </c>
      <c r="C5" s="17">
        <f>IF(ISERROR('Eigen informatie GS &amp; warmtenet'!B59),0,'Eigen informatie GS &amp; warmtenet'!B59)</f>
        <v>0</v>
      </c>
      <c r="D5" s="30">
        <f>(SUM(HH_hh_gas_kWh,HH_rest_gas_kWh)/1000)*0.902</f>
        <v>86726.424906660002</v>
      </c>
      <c r="E5" s="17">
        <f>B32*B41</f>
        <v>1178.5739889290619</v>
      </c>
      <c r="F5" s="17">
        <f>B36*B45</f>
        <v>22680.829206060022</v>
      </c>
      <c r="G5" s="18"/>
      <c r="H5" s="17"/>
      <c r="I5" s="17"/>
      <c r="J5" s="17">
        <f>B35*B44+C35*C44</f>
        <v>116.06021711502738</v>
      </c>
      <c r="K5" s="17"/>
      <c r="L5" s="17"/>
      <c r="M5" s="17"/>
      <c r="N5" s="17">
        <f>B34*B43+C34*C43</f>
        <v>9492.6669978408408</v>
      </c>
      <c r="O5" s="17">
        <f>B52*B53*B54</f>
        <v>190.45998906115506</v>
      </c>
      <c r="P5" s="17">
        <f>B60*B61*B62/1000-B60*B61*B62/1000/B63</f>
        <v>179.07730823064537</v>
      </c>
    </row>
    <row r="6" spans="1:16">
      <c r="A6" s="16" t="s">
        <v>573</v>
      </c>
      <c r="B6" s="738">
        <f>kWh_PV_kleiner_dan_10kW</f>
        <v>2378.3418010481464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31279.304061048148</v>
      </c>
      <c r="C8" s="21">
        <f>C5</f>
        <v>0</v>
      </c>
      <c r="D8" s="21">
        <f>D5</f>
        <v>86726.424906660002</v>
      </c>
      <c r="E8" s="21">
        <f>E5</f>
        <v>1178.5739889290619</v>
      </c>
      <c r="F8" s="21">
        <f>F5</f>
        <v>22680.829206060022</v>
      </c>
      <c r="G8" s="21"/>
      <c r="H8" s="21"/>
      <c r="I8" s="21"/>
      <c r="J8" s="21">
        <f>J5</f>
        <v>116.06021711502738</v>
      </c>
      <c r="K8" s="21"/>
      <c r="L8" s="21">
        <f>L5</f>
        <v>0</v>
      </c>
      <c r="M8" s="21">
        <f>M5</f>
        <v>0</v>
      </c>
      <c r="N8" s="21">
        <f>N5</f>
        <v>9492.6669978408408</v>
      </c>
      <c r="O8" s="21">
        <f>O5</f>
        <v>190.45998906115506</v>
      </c>
      <c r="P8" s="21">
        <f>P5</f>
        <v>179.07730823064537</v>
      </c>
    </row>
    <row r="9" spans="1:16">
      <c r="B9" s="19"/>
      <c r="C9" s="19"/>
      <c r="D9" s="255"/>
      <c r="E9" s="19"/>
      <c r="F9" s="19"/>
      <c r="G9" s="19"/>
      <c r="H9" s="19"/>
      <c r="I9" s="19"/>
      <c r="J9" s="19"/>
      <c r="K9" s="19"/>
      <c r="L9" s="19"/>
      <c r="M9" s="19"/>
      <c r="N9" s="19"/>
      <c r="O9" s="19"/>
      <c r="P9" s="19"/>
    </row>
    <row r="10" spans="1:16">
      <c r="A10" s="24" t="s">
        <v>207</v>
      </c>
      <c r="B10" s="25">
        <f ca="1">'EF ele_warmte'!B12</f>
        <v>0.2148131421528621</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6719.205589708532</v>
      </c>
      <c r="C12" s="23">
        <f ca="1">C10*C8</f>
        <v>0</v>
      </c>
      <c r="D12" s="23">
        <f>D8*D10</f>
        <v>17518.737831145321</v>
      </c>
      <c r="E12" s="23">
        <f>E10*E8</f>
        <v>267.53629548689707</v>
      </c>
      <c r="F12" s="23">
        <f>F10*F8</f>
        <v>6055.7813980180263</v>
      </c>
      <c r="G12" s="23"/>
      <c r="H12" s="23"/>
      <c r="I12" s="23"/>
      <c r="J12" s="23">
        <f>J10*J8</f>
        <v>41.085316858719693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8142</v>
      </c>
      <c r="C26" s="36"/>
      <c r="D26" s="225"/>
    </row>
    <row r="27" spans="1:7" s="15" customFormat="1">
      <c r="A27" s="227" t="s">
        <v>774</v>
      </c>
      <c r="B27" s="37">
        <f>SUM(HH_hh_gas_aantal,HH_rest_gas_aantal)</f>
        <v>6774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6435.3</v>
      </c>
      <c r="C31" s="165" t="s">
        <v>104</v>
      </c>
      <c r="D31" s="230"/>
      <c r="G31" s="15"/>
    </row>
    <row r="32" spans="1:7">
      <c r="A32" s="168" t="s">
        <v>72</v>
      </c>
      <c r="B32" s="165">
        <f>IF((B21*($B$26-($B$27-0.05*$B$27)-$B$60))&lt;0,0,B21*($B$26-($B$27-0.05*$B$27)-$B$60))</f>
        <v>19.048270837846967</v>
      </c>
      <c r="C32" s="165" t="s">
        <v>104</v>
      </c>
      <c r="D32" s="230"/>
      <c r="G32" s="15"/>
    </row>
    <row r="33" spans="1:7">
      <c r="A33" s="168" t="s">
        <v>73</v>
      </c>
      <c r="B33" s="165">
        <f>IF((B22*($B$26-($B$27-0.05*$B$27)-$B$60))&lt;0,0,B22*($B$26-($B$27-0.05*$B$27)-$B$60))</f>
        <v>396.02954687159007</v>
      </c>
      <c r="C33" s="165" t="s">
        <v>104</v>
      </c>
      <c r="D33" s="230"/>
      <c r="G33" s="15"/>
    </row>
    <row r="34" spans="1:7">
      <c r="A34" s="168" t="s">
        <v>74</v>
      </c>
      <c r="B34" s="165">
        <f>IF((B24*($B$26-($B$27-0.05*$B$27)-$B$60))&lt;0,0,B24*($B$26-($B$27-0.05*$B$27)-$B$60))</f>
        <v>167.22114405190047</v>
      </c>
      <c r="C34" s="165">
        <f>B26*C24</f>
        <v>1405.0035316733299</v>
      </c>
      <c r="D34" s="230"/>
      <c r="G34" s="15"/>
    </row>
    <row r="35" spans="1:7">
      <c r="A35" s="168" t="s">
        <v>76</v>
      </c>
      <c r="B35" s="165">
        <f>IF((B19*($B$26-($B$27-0.05*$B$27)-$B$60))&lt;0,0,B19*($B$26-($B$27-0.05*$B$27)-$B$60))</f>
        <v>14.417487036300777</v>
      </c>
      <c r="C35" s="165">
        <f>B35/2</f>
        <v>7.2087435181503885</v>
      </c>
      <c r="D35" s="231"/>
      <c r="G35" s="15"/>
    </row>
    <row r="36" spans="1:7">
      <c r="A36" s="168" t="s">
        <v>77</v>
      </c>
      <c r="B36" s="165">
        <f>IF((B18*($B$26-($B$27-0.05*$B$27)-$B$60))&lt;0,0,B18*($B$26-($B$27-0.05*$B$27)-$B$60))</f>
        <v>1092.9835512023615</v>
      </c>
      <c r="C36" s="165" t="s">
        <v>104</v>
      </c>
      <c r="D36" s="231"/>
      <c r="G36" s="15"/>
    </row>
    <row r="37" spans="1:7">
      <c r="A37" s="168" t="s">
        <v>78</v>
      </c>
      <c r="B37" s="165">
        <f>B60</f>
        <v>17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25304.653835000001</v>
      </c>
      <c r="C5" s="17">
        <f>IF(ISERROR('Eigen informatie GS &amp; warmtenet'!B60),0,'Eigen informatie GS &amp; warmtenet'!B60)</f>
        <v>0</v>
      </c>
      <c r="D5" s="30">
        <f>SUM(D6:D12)</f>
        <v>72247.152990781993</v>
      </c>
      <c r="E5" s="17">
        <f>SUM(E6:E12)</f>
        <v>79.260922384318178</v>
      </c>
      <c r="F5" s="17">
        <f>SUM(F6:F12)</f>
        <v>5604.8034826486983</v>
      </c>
      <c r="G5" s="18"/>
      <c r="H5" s="17"/>
      <c r="I5" s="17"/>
      <c r="J5" s="17">
        <f>SUM(J6:J12)</f>
        <v>4.6105204447653009E-2</v>
      </c>
      <c r="K5" s="17"/>
      <c r="L5" s="17"/>
      <c r="M5" s="17"/>
      <c r="N5" s="17">
        <f>SUM(N6:N12)</f>
        <v>1696.366128051988</v>
      </c>
      <c r="O5" s="17">
        <f>B38*B39*B40</f>
        <v>4.8972607658411542</v>
      </c>
      <c r="P5" s="17">
        <f>B46*B47*B48/1000-B46*B47*B48/1000/B49</f>
        <v>105.07827661299004</v>
      </c>
      <c r="R5" s="32"/>
    </row>
    <row r="6" spans="1:18">
      <c r="A6" s="32" t="s">
        <v>53</v>
      </c>
      <c r="B6" s="37">
        <f>B26</f>
        <v>4361.1963349999996</v>
      </c>
      <c r="C6" s="33"/>
      <c r="D6" s="37">
        <f>IF(ISERROR(TER_kantoor_gas_kWh/1000),0,TER_kantoor_gas_kWh/1000)*0.902</f>
        <v>10657.81408582</v>
      </c>
      <c r="E6" s="33">
        <f>$C$26*'E Balans VL '!I12/100/3.6*1000000</f>
        <v>1.1388334149413351</v>
      </c>
      <c r="F6" s="33">
        <f>$C$26*('E Balans VL '!L12+'E Balans VL '!N12)/100/3.6*1000000</f>
        <v>435.75416097811853</v>
      </c>
      <c r="G6" s="34"/>
      <c r="H6" s="33"/>
      <c r="I6" s="33"/>
      <c r="J6" s="33">
        <f>$C$26*('E Balans VL '!D12+'E Balans VL '!E12)/100/3.6*1000000</f>
        <v>0</v>
      </c>
      <c r="K6" s="33"/>
      <c r="L6" s="33"/>
      <c r="M6" s="33"/>
      <c r="N6" s="33">
        <f>$C$26*'E Balans VL '!Y12/100/3.6*1000000</f>
        <v>3.0920654557825027</v>
      </c>
      <c r="O6" s="33"/>
      <c r="P6" s="33"/>
      <c r="R6" s="32"/>
    </row>
    <row r="7" spans="1:18">
      <c r="A7" s="32" t="s">
        <v>52</v>
      </c>
      <c r="B7" s="37">
        <f t="shared" ref="B7:B12" si="0">B27</f>
        <v>1329.698564</v>
      </c>
      <c r="C7" s="33"/>
      <c r="D7" s="37">
        <f>IF(ISERROR(TER_horeca_gas_kWh/1000),0,TER_horeca_gas_kWh/1000)*0.902</f>
        <v>1669.5875914520002</v>
      </c>
      <c r="E7" s="33">
        <f>$C$27*'E Balans VL '!I9/100/3.6*1000000</f>
        <v>0</v>
      </c>
      <c r="F7" s="33">
        <f>$C$27*('E Balans VL '!L9+'E Balans VL '!N9)/100/3.6*1000000</f>
        <v>109.20345185591557</v>
      </c>
      <c r="G7" s="34"/>
      <c r="H7" s="33"/>
      <c r="I7" s="33"/>
      <c r="J7" s="33">
        <f>$C$27*('E Balans VL '!D9+'E Balans VL '!E9)/100/3.6*1000000</f>
        <v>0</v>
      </c>
      <c r="K7" s="33"/>
      <c r="L7" s="33"/>
      <c r="M7" s="33"/>
      <c r="N7" s="33">
        <f>$C$27*'E Balans VL '!Y9/100/3.6*1000000</f>
        <v>16.803497007262315</v>
      </c>
      <c r="O7" s="33"/>
      <c r="P7" s="33"/>
      <c r="R7" s="32"/>
    </row>
    <row r="8" spans="1:18">
      <c r="A8" s="6" t="s">
        <v>51</v>
      </c>
      <c r="B8" s="37">
        <f t="shared" si="0"/>
        <v>7667.2869630000005</v>
      </c>
      <c r="C8" s="33"/>
      <c r="D8" s="37">
        <f>IF(ISERROR(TER_handel_gas_kWh/1000),0,TER_handel_gas_kWh/1000)*0.902</f>
        <v>5243.9988712539998</v>
      </c>
      <c r="E8" s="33">
        <f>$C$28*'E Balans VL '!I13/100/3.6*1000000</f>
        <v>28.179291558559438</v>
      </c>
      <c r="F8" s="33">
        <f>$C$28*('E Balans VL '!L13+'E Balans VL '!N13)/100/3.6*1000000</f>
        <v>732.35510246751755</v>
      </c>
      <c r="G8" s="34"/>
      <c r="H8" s="33"/>
      <c r="I8" s="33"/>
      <c r="J8" s="33">
        <f>$C$28*('E Balans VL '!D13+'E Balans VL '!E13)/100/3.6*1000000</f>
        <v>0</v>
      </c>
      <c r="K8" s="33"/>
      <c r="L8" s="33"/>
      <c r="M8" s="33"/>
      <c r="N8" s="33">
        <f>$C$28*'E Balans VL '!Y13/100/3.6*1000000</f>
        <v>3.0337652890369546</v>
      </c>
      <c r="O8" s="33"/>
      <c r="P8" s="33"/>
      <c r="R8" s="32"/>
    </row>
    <row r="9" spans="1:18">
      <c r="A9" s="32" t="s">
        <v>50</v>
      </c>
      <c r="B9" s="37">
        <f t="shared" si="0"/>
        <v>1568.061367</v>
      </c>
      <c r="C9" s="33"/>
      <c r="D9" s="37">
        <f>IF(ISERROR(TER_gezond_gas_kWh/1000),0,TER_gezond_gas_kWh/1000)*0.902</f>
        <v>3116.9453613539999</v>
      </c>
      <c r="E9" s="33">
        <f>$C$29*'E Balans VL '!I10/100/3.6*1000000</f>
        <v>0</v>
      </c>
      <c r="F9" s="33">
        <f>$C$29*('E Balans VL '!L10+'E Balans VL '!N10)/100/3.6*1000000</f>
        <v>105.92984777548213</v>
      </c>
      <c r="G9" s="34"/>
      <c r="H9" s="33"/>
      <c r="I9" s="33"/>
      <c r="J9" s="33">
        <f>$C$29*('E Balans VL '!D10+'E Balans VL '!E10)/100/3.6*1000000</f>
        <v>0</v>
      </c>
      <c r="K9" s="33"/>
      <c r="L9" s="33"/>
      <c r="M9" s="33"/>
      <c r="N9" s="33">
        <f>$C$29*'E Balans VL '!Y10/100/3.6*1000000</f>
        <v>12.200687377145169</v>
      </c>
      <c r="O9" s="33"/>
      <c r="P9" s="33"/>
      <c r="R9" s="32"/>
    </row>
    <row r="10" spans="1:18">
      <c r="A10" s="32" t="s">
        <v>49</v>
      </c>
      <c r="B10" s="37">
        <f t="shared" si="0"/>
        <v>3262.9371719999999</v>
      </c>
      <c r="C10" s="33"/>
      <c r="D10" s="37">
        <f>IF(ISERROR(TER_ander_gas_kWh/1000),0,TER_ander_gas_kWh/1000)*0.902</f>
        <v>3197.8028602740001</v>
      </c>
      <c r="E10" s="33">
        <f>$C$30*'E Balans VL '!I14/100/3.6*1000000</f>
        <v>29.587678951041603</v>
      </c>
      <c r="F10" s="33">
        <f>$C$30*('E Balans VL '!L14+'E Balans VL '!N14)/100/3.6*1000000</f>
        <v>2579.1791273708191</v>
      </c>
      <c r="G10" s="34"/>
      <c r="H10" s="33"/>
      <c r="I10" s="33"/>
      <c r="J10" s="33">
        <f>$C$30*('E Balans VL '!D14+'E Balans VL '!E14)/100/3.6*1000000</f>
        <v>3.2294997246749703E-2</v>
      </c>
      <c r="K10" s="33"/>
      <c r="L10" s="33"/>
      <c r="M10" s="33"/>
      <c r="N10" s="33">
        <f>$C$30*'E Balans VL '!Y14/100/3.6*1000000</f>
        <v>1151.6504893923175</v>
      </c>
      <c r="O10" s="33"/>
      <c r="P10" s="33"/>
      <c r="R10" s="32"/>
    </row>
    <row r="11" spans="1:18">
      <c r="A11" s="32" t="s">
        <v>54</v>
      </c>
      <c r="B11" s="37">
        <f t="shared" si="0"/>
        <v>228.72659200000001</v>
      </c>
      <c r="C11" s="33"/>
      <c r="D11" s="37">
        <f>IF(ISERROR(TER_onderwijs_gas_kWh/1000),0,TER_onderwijs_gas_kWh/1000)*0.902</f>
        <v>591.71326640799998</v>
      </c>
      <c r="E11" s="33">
        <f>$C$31*'E Balans VL '!I11/100/3.6*1000000</f>
        <v>0</v>
      </c>
      <c r="F11" s="33">
        <f>$C$31*('E Balans VL '!L11+'E Balans VL '!N11)/100/3.6*1000000</f>
        <v>27.221539735164004</v>
      </c>
      <c r="G11" s="34"/>
      <c r="H11" s="33"/>
      <c r="I11" s="33"/>
      <c r="J11" s="33">
        <f>$C$31*('E Balans VL '!D11+'E Balans VL '!E11)/100/3.6*1000000</f>
        <v>0</v>
      </c>
      <c r="K11" s="33"/>
      <c r="L11" s="33"/>
      <c r="M11" s="33"/>
      <c r="N11" s="33">
        <f>$C$31*'E Balans VL '!Y11/100/3.6*1000000</f>
        <v>0.50868235963106567</v>
      </c>
      <c r="O11" s="33"/>
      <c r="P11" s="33"/>
      <c r="R11" s="32"/>
    </row>
    <row r="12" spans="1:18">
      <c r="A12" s="32" t="s">
        <v>248</v>
      </c>
      <c r="B12" s="37">
        <f t="shared" si="0"/>
        <v>6886.7468420000005</v>
      </c>
      <c r="C12" s="33"/>
      <c r="D12" s="37">
        <f>IF(ISERROR(TER_rest_gas_kWh/1000),0,TER_rest_gas_kWh/1000)*0.902</f>
        <v>47769.29095422</v>
      </c>
      <c r="E12" s="33">
        <f>$C$32*'E Balans VL '!I8/100/3.6*1000000</f>
        <v>20.355118459775802</v>
      </c>
      <c r="F12" s="33">
        <f>$C$32*('E Balans VL '!L8+'E Balans VL '!N8)/100/3.6*1000000</f>
        <v>1615.1602524656819</v>
      </c>
      <c r="G12" s="34"/>
      <c r="H12" s="33"/>
      <c r="I12" s="33"/>
      <c r="J12" s="33">
        <f>$C$32*('E Balans VL '!D8+'E Balans VL '!E8)/100/3.6*1000000</f>
        <v>1.3810207200903304E-2</v>
      </c>
      <c r="K12" s="33"/>
      <c r="L12" s="33"/>
      <c r="M12" s="33"/>
      <c r="N12" s="33">
        <f>$C$32*'E Balans VL '!Y8/100/3.6*1000000</f>
        <v>509.07694117081252</v>
      </c>
      <c r="O12" s="33"/>
      <c r="P12" s="33"/>
      <c r="R12" s="32"/>
    </row>
    <row r="13" spans="1:18">
      <c r="A13" s="16" t="s">
        <v>464</v>
      </c>
      <c r="B13" s="244">
        <f ca="1">'lokale energieproductie'!N41+'lokale energieproductie'!N34</f>
        <v>22.5</v>
      </c>
      <c r="C13" s="244">
        <f ca="1">'lokale energieproductie'!O41+'lokale energieproductie'!O34</f>
        <v>32.142857142857146</v>
      </c>
      <c r="D13" s="302">
        <f ca="1">('lokale energieproductie'!P34+'lokale energieproductie'!P41)*(-1)</f>
        <v>-64.285714285714292</v>
      </c>
      <c r="E13" s="245"/>
      <c r="F13" s="302">
        <f ca="1">('lokale energieproductie'!S34+'lokale energieproductie'!S41)*(-1)</f>
        <v>0</v>
      </c>
      <c r="G13" s="246"/>
      <c r="H13" s="245"/>
      <c r="I13" s="245"/>
      <c r="J13" s="245"/>
      <c r="K13" s="245"/>
      <c r="L13" s="302">
        <f ca="1">('lokale energieproductie'!U34+'lokale energieproductie'!T34+'lokale energieproductie'!U41+'lokale energieproductie'!T41)*(-1)</f>
        <v>0</v>
      </c>
      <c r="M13" s="245"/>
      <c r="N13" s="302">
        <f ca="1">('lokale energieproductie'!Q34+'lokale energieproductie'!R34+'lokale energieproductie'!V34+'lokale energieproductie'!Q41+'lokale energieproductie'!R41+'lokale energieproductie'!V41)*(-1)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25327.153835000001</v>
      </c>
      <c r="C16" s="21">
        <f t="shared" ca="1" si="1"/>
        <v>32.142857142857146</v>
      </c>
      <c r="D16" s="21">
        <f t="shared" ca="1" si="1"/>
        <v>72182.867276496283</v>
      </c>
      <c r="E16" s="21">
        <f t="shared" si="1"/>
        <v>79.260922384318178</v>
      </c>
      <c r="F16" s="21">
        <f t="shared" ca="1" si="1"/>
        <v>5604.8034826486983</v>
      </c>
      <c r="G16" s="21">
        <f t="shared" si="1"/>
        <v>0</v>
      </c>
      <c r="H16" s="21">
        <f t="shared" si="1"/>
        <v>0</v>
      </c>
      <c r="I16" s="21">
        <f t="shared" si="1"/>
        <v>0</v>
      </c>
      <c r="J16" s="21">
        <f t="shared" si="1"/>
        <v>4.6105204447653009E-2</v>
      </c>
      <c r="K16" s="21">
        <f t="shared" si="1"/>
        <v>0</v>
      </c>
      <c r="L16" s="21">
        <f t="shared" ca="1" si="1"/>
        <v>0</v>
      </c>
      <c r="M16" s="21">
        <f t="shared" si="1"/>
        <v>0</v>
      </c>
      <c r="N16" s="21">
        <f t="shared" ca="1" si="1"/>
        <v>1696.366128051988</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0.2148131421528621</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5440.605497085262</v>
      </c>
      <c r="C20" s="23">
        <f t="shared" ref="C20:P20" ca="1" si="2">C16*C18</f>
        <v>7.6386554621848735</v>
      </c>
      <c r="D20" s="23">
        <f t="shared" ca="1" si="2"/>
        <v>14580.93918985225</v>
      </c>
      <c r="E20" s="23">
        <f t="shared" si="2"/>
        <v>17.992229381240229</v>
      </c>
      <c r="F20" s="23">
        <f t="shared" ca="1" si="2"/>
        <v>1496.4825298672026</v>
      </c>
      <c r="G20" s="23">
        <f t="shared" si="2"/>
        <v>0</v>
      </c>
      <c r="H20" s="23">
        <f t="shared" si="2"/>
        <v>0</v>
      </c>
      <c r="I20" s="23">
        <f t="shared" si="2"/>
        <v>0</v>
      </c>
      <c r="J20" s="23">
        <f t="shared" si="2"/>
        <v>1.6321242374469164E-2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4361.1963349999996</v>
      </c>
      <c r="C26" s="39">
        <f>IF(ISERROR(B26*3.6/1000000/'E Balans VL '!Z12*100),0,B26*3.6/1000000/'E Balans VL '!Z12*100)</f>
        <v>0.12204902324328426</v>
      </c>
      <c r="D26" s="234" t="s">
        <v>667</v>
      </c>
      <c r="F26" s="6"/>
    </row>
    <row r="27" spans="1:18">
      <c r="A27" s="228" t="s">
        <v>52</v>
      </c>
      <c r="B27" s="33">
        <f>IF(ISERROR(TER_horeca_ele_kWh/1000),0,TER_horeca_ele_kWh/1000)</f>
        <v>1329.698564</v>
      </c>
      <c r="C27" s="39">
        <f>IF(ISERROR(B27*3.6/1000000/'E Balans VL '!Z9*100),0,B27*3.6/1000000/'E Balans VL '!Z9*100)</f>
        <v>9.9105676694025022E-2</v>
      </c>
      <c r="D27" s="234" t="s">
        <v>667</v>
      </c>
      <c r="F27" s="6"/>
    </row>
    <row r="28" spans="1:18">
      <c r="A28" s="168" t="s">
        <v>51</v>
      </c>
      <c r="B28" s="33">
        <f>IF(ISERROR(TER_handel_ele_kWh/1000),0,TER_handel_ele_kWh/1000)</f>
        <v>7667.2869630000005</v>
      </c>
      <c r="C28" s="39">
        <f>IF(ISERROR(B28*3.6/1000000/'E Balans VL '!Z13*100),0,B28*3.6/1000000/'E Balans VL '!Z13*100)</f>
        <v>0.22214160200803393</v>
      </c>
      <c r="D28" s="234" t="s">
        <v>667</v>
      </c>
      <c r="F28" s="6"/>
    </row>
    <row r="29" spans="1:18">
      <c r="A29" s="228" t="s">
        <v>50</v>
      </c>
      <c r="B29" s="33">
        <f>IF(ISERROR(TER_gezond_ele_kWh/1000),0,TER_gezond_ele_kWh/1000)</f>
        <v>1568.061367</v>
      </c>
      <c r="C29" s="39">
        <f>IF(ISERROR(B29*3.6/1000000/'E Balans VL '!Z10*100),0,B29*3.6/1000000/'E Balans VL '!Z10*100)</f>
        <v>0.15814085885129314</v>
      </c>
      <c r="D29" s="234" t="s">
        <v>667</v>
      </c>
      <c r="F29" s="6"/>
    </row>
    <row r="30" spans="1:18">
      <c r="A30" s="228" t="s">
        <v>49</v>
      </c>
      <c r="B30" s="33">
        <f>IF(ISERROR(TER_ander_ele_kWh/1000),0,TER_ander_ele_kWh/1000)</f>
        <v>3262.9371719999999</v>
      </c>
      <c r="C30" s="39">
        <f>IF(ISERROR(B30*3.6/1000000/'E Balans VL '!Z14*100),0,B30*3.6/1000000/'E Balans VL '!Z14*100)</f>
        <v>0.13226620032798514</v>
      </c>
      <c r="D30" s="234" t="s">
        <v>667</v>
      </c>
      <c r="F30" s="6"/>
    </row>
    <row r="31" spans="1:18">
      <c r="A31" s="228" t="s">
        <v>54</v>
      </c>
      <c r="B31" s="33">
        <f>IF(ISERROR(TER_onderwijs_ele_kWh/1000),0,TER_onderwijs_ele_kWh/1000)</f>
        <v>228.72659200000001</v>
      </c>
      <c r="C31" s="39">
        <f>IF(ISERROR(B31*3.6/1000000/'E Balans VL '!Z11*100),0,B31*3.6/1000000/'E Balans VL '!Z11*100)</f>
        <v>6.5196392900528255E-2</v>
      </c>
      <c r="D31" s="234" t="s">
        <v>667</v>
      </c>
    </row>
    <row r="32" spans="1:18">
      <c r="A32" s="228" t="s">
        <v>248</v>
      </c>
      <c r="B32" s="33">
        <f>IF(ISERROR(TER_rest_ele_kWh/1000),0,TER_rest_ele_kWh/1000)</f>
        <v>6886.7468420000005</v>
      </c>
      <c r="C32" s="39">
        <f>IF(ISERROR(B32*3.6/1000000/'E Balans VL '!Z8*100),0,B32*3.6/1000000/'E Balans VL '!Z8*100)</f>
        <v>5.6560575566839459E-2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40197.332533000001</v>
      </c>
      <c r="C5" s="17">
        <f>IF(ISERROR('Eigen informatie GS &amp; warmtenet'!B61),0,'Eigen informatie GS &amp; warmtenet'!B61)</f>
        <v>0</v>
      </c>
      <c r="D5" s="30">
        <f>SUM(D6:D15)</f>
        <v>11296.187370247999</v>
      </c>
      <c r="E5" s="17">
        <f>SUM(E6:E15)</f>
        <v>1742.4162873400583</v>
      </c>
      <c r="F5" s="17">
        <f>SUM(F6:F15)</f>
        <v>7082.1865037827693</v>
      </c>
      <c r="G5" s="18"/>
      <c r="H5" s="17"/>
      <c r="I5" s="17"/>
      <c r="J5" s="17">
        <f>SUM(J6:J15)</f>
        <v>140.63245896002061</v>
      </c>
      <c r="K5" s="17"/>
      <c r="L5" s="17"/>
      <c r="M5" s="17"/>
      <c r="N5" s="17">
        <f>SUM(N6:N15)</f>
        <v>1465.3037574040536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1841.912959</v>
      </c>
      <c r="C8" s="33"/>
      <c r="D8" s="37">
        <f>IF( ISERROR(IND_metaal_Gas_kWH/1000),0,IND_metaal_Gas_kWH/1000)*0.902</f>
        <v>0</v>
      </c>
      <c r="E8" s="33">
        <f>C30*'E Balans VL '!I18/100/3.6*1000000</f>
        <v>13.21800720533591</v>
      </c>
      <c r="F8" s="33">
        <f>C30*'E Balans VL '!L18/100/3.6*1000000+C30*'E Balans VL '!N18/100/3.6*1000000</f>
        <v>122.59640791342221</v>
      </c>
      <c r="G8" s="34"/>
      <c r="H8" s="33"/>
      <c r="I8" s="33"/>
      <c r="J8" s="40">
        <f>C30*'E Balans VL '!D18/100/3.6*1000000+C30*'E Balans VL '!E18/100/3.6*1000000</f>
        <v>1.7756828547636794</v>
      </c>
      <c r="K8" s="33"/>
      <c r="L8" s="33"/>
      <c r="M8" s="33"/>
      <c r="N8" s="33">
        <f>C30*'E Balans VL '!Y18/100/3.6*1000000</f>
        <v>22.319745051471479</v>
      </c>
      <c r="O8" s="33"/>
      <c r="P8" s="33"/>
      <c r="R8" s="32"/>
    </row>
    <row r="9" spans="1:18">
      <c r="A9" s="6" t="s">
        <v>32</v>
      </c>
      <c r="B9" s="37">
        <f t="shared" si="0"/>
        <v>1856.43733</v>
      </c>
      <c r="C9" s="33"/>
      <c r="D9" s="37">
        <f>IF( ISERROR(IND_andere_gas_kWh/1000),0,IND_andere_gas_kWh/1000)*0.902</f>
        <v>2512.0200156700002</v>
      </c>
      <c r="E9" s="33">
        <f>C31*'E Balans VL '!I19/100/3.6*1000000</f>
        <v>4.8809012499836255</v>
      </c>
      <c r="F9" s="33">
        <f>C31*'E Balans VL '!L19/100/3.6*1000000+C31*'E Balans VL '!N19/100/3.6*1000000</f>
        <v>1225.9998810622972</v>
      </c>
      <c r="G9" s="34"/>
      <c r="H9" s="33"/>
      <c r="I9" s="33"/>
      <c r="J9" s="40">
        <f>C31*'E Balans VL '!D19/100/3.6*1000000+C31*'E Balans VL '!E19/100/3.6*1000000</f>
        <v>0</v>
      </c>
      <c r="K9" s="33"/>
      <c r="L9" s="33"/>
      <c r="M9" s="33"/>
      <c r="N9" s="33">
        <f>C31*'E Balans VL '!Y19/100/3.6*1000000</f>
        <v>99.112235166853182</v>
      </c>
      <c r="O9" s="33"/>
      <c r="P9" s="33"/>
      <c r="R9" s="32"/>
    </row>
    <row r="10" spans="1:18">
      <c r="A10" s="6" t="s">
        <v>40</v>
      </c>
      <c r="B10" s="37">
        <f t="shared" si="0"/>
        <v>312.52237700000001</v>
      </c>
      <c r="C10" s="33"/>
      <c r="D10" s="37">
        <f>IF( ISERROR(IND_voed_gas_kWh/1000),0,IND_voed_gas_kWh/1000)*0.902</f>
        <v>446.91895692399999</v>
      </c>
      <c r="E10" s="33">
        <f>C32*'E Balans VL '!I20/100/3.6*1000000</f>
        <v>0.52760921531607641</v>
      </c>
      <c r="F10" s="33">
        <f>C32*'E Balans VL '!L20/100/3.6*1000000+C32*'E Balans VL '!N20/100/3.6*1000000</f>
        <v>18.343699565466</v>
      </c>
      <c r="G10" s="34"/>
      <c r="H10" s="33"/>
      <c r="I10" s="33"/>
      <c r="J10" s="40">
        <f>C32*'E Balans VL '!D20/100/3.6*1000000+C32*'E Balans VL '!E20/100/3.6*1000000</f>
        <v>0</v>
      </c>
      <c r="K10" s="33"/>
      <c r="L10" s="33"/>
      <c r="M10" s="33"/>
      <c r="N10" s="33">
        <f>C32*'E Balans VL '!Y20/100/3.6*1000000</f>
        <v>17.01527894039279</v>
      </c>
      <c r="O10" s="33"/>
      <c r="P10" s="33"/>
      <c r="R10" s="32"/>
    </row>
    <row r="11" spans="1:18">
      <c r="A11" s="6" t="s">
        <v>39</v>
      </c>
      <c r="B11" s="37">
        <f t="shared" si="0"/>
        <v>42.179642999999999</v>
      </c>
      <c r="C11" s="33"/>
      <c r="D11" s="37">
        <f>IF( ISERROR(IND_textiel_gas_kWh/1000),0,IND_textiel_gas_kWh/1000)*0.902</f>
        <v>65.314423438000006</v>
      </c>
      <c r="E11" s="33">
        <f>C33*'E Balans VL '!I21/100/3.6*1000000</f>
        <v>0.14692260143256655</v>
      </c>
      <c r="F11" s="33">
        <f>C33*'E Balans VL '!L21/100/3.6*1000000+C33*'E Balans VL '!N21/100/3.6*1000000</f>
        <v>1.1208874741646591</v>
      </c>
      <c r="G11" s="34"/>
      <c r="H11" s="33"/>
      <c r="I11" s="33"/>
      <c r="J11" s="40">
        <f>C33*'E Balans VL '!D21/100/3.6*1000000+C33*'E Balans VL '!E21/100/3.6*1000000</f>
        <v>0</v>
      </c>
      <c r="K11" s="33"/>
      <c r="L11" s="33"/>
      <c r="M11" s="33"/>
      <c r="N11" s="33">
        <f>C33*'E Balans VL '!Y21/100/3.6*1000000</f>
        <v>5.2142372084698725E-3</v>
      </c>
      <c r="O11" s="33"/>
      <c r="P11" s="33"/>
      <c r="R11" s="32"/>
    </row>
    <row r="12" spans="1:18">
      <c r="A12" s="6" t="s">
        <v>36</v>
      </c>
      <c r="B12" s="37">
        <f t="shared" si="0"/>
        <v>17.977423999999999</v>
      </c>
      <c r="C12" s="33"/>
      <c r="D12" s="37">
        <f>IF( ISERROR(IND_min_gas_kWh/1000),0,IND_min_gas_kWh/1000)*0.902</f>
        <v>0</v>
      </c>
      <c r="E12" s="33">
        <f>C34*'E Balans VL '!I22/100/3.6*1000000</f>
        <v>0.25880978171507479</v>
      </c>
      <c r="F12" s="33">
        <f>C34*'E Balans VL '!L22/100/3.6*1000000+C34*'E Balans VL '!N22/100/3.6*1000000</f>
        <v>2.1613996569060658</v>
      </c>
      <c r="G12" s="34"/>
      <c r="H12" s="33"/>
      <c r="I12" s="33"/>
      <c r="J12" s="40">
        <f>C34*'E Balans VL '!D22/100/3.6*1000000+C34*'E Balans VL '!E22/100/3.6*1000000</f>
        <v>1.312577744141257E-2</v>
      </c>
      <c r="K12" s="33"/>
      <c r="L12" s="33"/>
      <c r="M12" s="33"/>
      <c r="N12" s="33">
        <f>C34*'E Balans VL '!Y22/100/3.6*1000000</f>
        <v>10.693476805980282</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36126.302799999998</v>
      </c>
      <c r="C15" s="33"/>
      <c r="D15" s="37">
        <f>IF( ISERROR(IND_rest_gas_kWh/1000),0,IND_rest_gas_kWh/1000)*0.902</f>
        <v>8271.9339742159991</v>
      </c>
      <c r="E15" s="33">
        <f>C37*'E Balans VL '!I15/100/3.6*1000000</f>
        <v>1723.3840372862751</v>
      </c>
      <c r="F15" s="33">
        <f>C37*'E Balans VL '!L15/100/3.6*1000000+C37*'E Balans VL '!N15/100/3.6*1000000</f>
        <v>5711.9642281105134</v>
      </c>
      <c r="G15" s="34"/>
      <c r="H15" s="33"/>
      <c r="I15" s="33"/>
      <c r="J15" s="40">
        <f>C37*'E Balans VL '!D15/100/3.6*1000000+C37*'E Balans VL '!E15/100/3.6*1000000</f>
        <v>138.84365032781551</v>
      </c>
      <c r="K15" s="33"/>
      <c r="L15" s="33"/>
      <c r="M15" s="33"/>
      <c r="N15" s="33">
        <f>C37*'E Balans VL '!Y15/100/3.6*1000000</f>
        <v>1316.1578072021475</v>
      </c>
      <c r="O15" s="33"/>
      <c r="P15" s="33"/>
      <c r="R15" s="32"/>
    </row>
    <row r="16" spans="1:18">
      <c r="A16" s="16" t="s">
        <v>464</v>
      </c>
      <c r="B16" s="244">
        <f>'lokale energieproductie'!N40+'lokale energieproductie'!N33</f>
        <v>0</v>
      </c>
      <c r="C16" s="244">
        <f>'lokale energieproductie'!O40+'lokale energieproductie'!O33</f>
        <v>0</v>
      </c>
      <c r="D16" s="302">
        <f>('lokale energieproductie'!P33+'lokale energieproductie'!P40)*(-1)</f>
        <v>0</v>
      </c>
      <c r="E16" s="245"/>
      <c r="F16" s="302">
        <f>('lokale energieproductie'!S33+'lokale energieproductie'!S40)*(-1)</f>
        <v>0</v>
      </c>
      <c r="G16" s="246"/>
      <c r="H16" s="245"/>
      <c r="I16" s="245"/>
      <c r="J16" s="245"/>
      <c r="K16" s="245"/>
      <c r="L16" s="302">
        <f>('lokale energieproductie'!T33+'lokale energieproductie'!U33+'lokale energieproductie'!T40+'lokale energieproductie'!U40)*(-1)</f>
        <v>0</v>
      </c>
      <c r="M16" s="245"/>
      <c r="N16" s="302">
        <f>('lokale energieproductie'!Q33+'lokale energieproductie'!R33+'lokale energieproductie'!V33+'lokale energieproductie'!Q40+'lokale energieproductie'!R40+'lokale energieproductie'!V40)*(-1)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40197.332533000001</v>
      </c>
      <c r="C18" s="21">
        <f>C5+C16</f>
        <v>0</v>
      </c>
      <c r="D18" s="21">
        <f>MAX((D5+D16),0)</f>
        <v>11296.187370247999</v>
      </c>
      <c r="E18" s="21">
        <f>MAX((E5+E16),0)</f>
        <v>1742.4162873400583</v>
      </c>
      <c r="F18" s="21">
        <f>MAX((F5+F16),0)</f>
        <v>7082.1865037827693</v>
      </c>
      <c r="G18" s="21"/>
      <c r="H18" s="21"/>
      <c r="I18" s="21"/>
      <c r="J18" s="21">
        <f>MAX((J5+J16),0)</f>
        <v>140.63245896002061</v>
      </c>
      <c r="K18" s="21"/>
      <c r="L18" s="21">
        <f>MAX((L5+L16),0)</f>
        <v>0</v>
      </c>
      <c r="M18" s="21"/>
      <c r="N18" s="21">
        <f>MAX((N5+N16),0)</f>
        <v>1465.3037574040536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0.2148131421528621</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8634.9153075771974</v>
      </c>
      <c r="C22" s="23">
        <f ca="1">C18*C20</f>
        <v>0</v>
      </c>
      <c r="D22" s="23">
        <f>D18*D20</f>
        <v>2281.8298487900961</v>
      </c>
      <c r="E22" s="23">
        <f>E18*E20</f>
        <v>395.52849722619322</v>
      </c>
      <c r="F22" s="23">
        <f>F18*F20</f>
        <v>1890.9437965099994</v>
      </c>
      <c r="G22" s="23"/>
      <c r="H22" s="23"/>
      <c r="I22" s="23"/>
      <c r="J22" s="23">
        <f>J18*J20</f>
        <v>49.783890471847293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1841.912959</v>
      </c>
      <c r="C30" s="39">
        <f>IF(ISERROR(B30*3.6/1000000/'E Balans VL '!Z18*100),0,B30*3.6/1000000/'E Balans VL '!Z18*100)</f>
        <v>0.10191569722668344</v>
      </c>
      <c r="D30" s="234" t="s">
        <v>667</v>
      </c>
    </row>
    <row r="31" spans="1:18">
      <c r="A31" s="6" t="s">
        <v>32</v>
      </c>
      <c r="B31" s="37">
        <f>IF( ISERROR(IND_ander_ele_kWh/1000),0,IND_ander_ele_kWh/1000)</f>
        <v>1856.43733</v>
      </c>
      <c r="C31" s="39">
        <f>IF(ISERROR(B31*3.6/1000000/'E Balans VL '!Z19*100),0,B31*3.6/1000000/'E Balans VL '!Z19*100)</f>
        <v>8.0983596913194136E-2</v>
      </c>
      <c r="D31" s="234" t="s">
        <v>667</v>
      </c>
    </row>
    <row r="32" spans="1:18">
      <c r="A32" s="168" t="s">
        <v>40</v>
      </c>
      <c r="B32" s="37">
        <f>IF( ISERROR(IND_voed_ele_kWh/1000),0,IND_voed_ele_kWh/1000)</f>
        <v>312.52237700000001</v>
      </c>
      <c r="C32" s="39">
        <f>IF(ISERROR(B32*3.6/1000000/'E Balans VL '!Z20*100),0,B32*3.6/1000000/'E Balans VL '!Z20*100)</f>
        <v>9.8098557036678663E-3</v>
      </c>
      <c r="D32" s="234" t="s">
        <v>667</v>
      </c>
    </row>
    <row r="33" spans="1:5">
      <c r="A33" s="168" t="s">
        <v>39</v>
      </c>
      <c r="B33" s="37">
        <f>IF( ISERROR(IND_textiel_ele_kWh/1000),0,IND_textiel_ele_kWh/1000)</f>
        <v>42.179642999999999</v>
      </c>
      <c r="C33" s="39">
        <f>IF(ISERROR(B33*3.6/1000000/'E Balans VL '!Z21*100),0,B33*3.6/1000000/'E Balans VL '!Z21*100)</f>
        <v>6.5506864152974813E-3</v>
      </c>
      <c r="D33" s="234" t="s">
        <v>667</v>
      </c>
    </row>
    <row r="34" spans="1:5">
      <c r="A34" s="168" t="s">
        <v>36</v>
      </c>
      <c r="B34" s="37">
        <f>IF( ISERROR(IND_min_ele_kWh/1000),0,IND_min_ele_kWh/1000)</f>
        <v>17.977423999999999</v>
      </c>
      <c r="C34" s="39">
        <f>IF(ISERROR(B34*3.6/1000000/'E Balans VL '!Z22*100),0,B34*3.6/1000000/'E Balans VL '!Z22*100)</f>
        <v>8.0636175407991055E-3</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36126.302799999998</v>
      </c>
      <c r="C37" s="39">
        <f>IF(ISERROR(B37*3.6/1000000/'E Balans VL '!Z15*100),0,B37*3.6/1000000/'E Balans VL '!Z15*100)</f>
        <v>0.29401095205303307</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1279.1660160000001</v>
      </c>
      <c r="C5" s="17">
        <f>'Eigen informatie GS &amp; warmtenet'!B62</f>
        <v>0</v>
      </c>
      <c r="D5" s="30">
        <f>IF(ISERROR(SUM(LB_lb_gas_kWh,LB_rest_gas_kWh)/1000),0,SUM(LB_lb_gas_kWh,LB_rest_gas_kWh)/1000)*0.902</f>
        <v>14023.313427046001</v>
      </c>
      <c r="E5" s="17">
        <f>B17*'E Balans VL '!I25/3.6*1000000/100</f>
        <v>51.967974072271296</v>
      </c>
      <c r="F5" s="17">
        <f>B17*('E Balans VL '!L25/3.6*1000000+'E Balans VL '!N25/3.6*1000000)/100</f>
        <v>4524.8577908907282</v>
      </c>
      <c r="G5" s="18"/>
      <c r="H5" s="17"/>
      <c r="I5" s="17"/>
      <c r="J5" s="17">
        <f>('E Balans VL '!D25+'E Balans VL '!E25)/3.6*1000000*landbouw!B17/100</f>
        <v>363.43758074501619</v>
      </c>
      <c r="K5" s="17"/>
      <c r="L5" s="17">
        <f>L6*(-1)</f>
        <v>0</v>
      </c>
      <c r="M5" s="17"/>
      <c r="N5" s="17">
        <f>N6*(-1)</f>
        <v>0</v>
      </c>
      <c r="O5" s="17"/>
      <c r="P5" s="17"/>
      <c r="R5" s="32"/>
    </row>
    <row r="6" spans="1:18">
      <c r="A6" s="16" t="s">
        <v>464</v>
      </c>
      <c r="B6" s="17" t="s">
        <v>204</v>
      </c>
      <c r="C6" s="17">
        <f>'lokale energieproductie'!O42+'lokale energieproductie'!O35</f>
        <v>45218.571428571428</v>
      </c>
      <c r="D6" s="302">
        <f>('lokale energieproductie'!P35+'lokale energieproductie'!P42)*(-1)</f>
        <v>-90437.142857142855</v>
      </c>
      <c r="E6" s="245"/>
      <c r="F6" s="302">
        <f>('lokale energieproductie'!S35+'lokale energieproductie'!S42)*(-1)</f>
        <v>0</v>
      </c>
      <c r="G6" s="246"/>
      <c r="H6" s="245"/>
      <c r="I6" s="245"/>
      <c r="J6" s="245"/>
      <c r="K6" s="245"/>
      <c r="L6" s="302">
        <f>('lokale energieproductie'!T35+'lokale energieproductie'!U35+'lokale energieproductie'!T42+'lokale energieproductie'!U42)*(-1)</f>
        <v>0</v>
      </c>
      <c r="M6" s="245"/>
      <c r="N6" s="302">
        <f>('lokale energieproductie'!V35+'lokale energieproductie'!R35+'lokale energieproductie'!Q35+'lokale energieproductie'!Q42+'lokale energieproductie'!R42+'lokale energieproductie'!V42)*(-1)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1279.1660160000001</v>
      </c>
      <c r="C8" s="21">
        <f>C5+C6</f>
        <v>45218.571428571428</v>
      </c>
      <c r="D8" s="21">
        <f>MAX((D5+D6),0)</f>
        <v>0</v>
      </c>
      <c r="E8" s="21">
        <f>MAX((E5+E6),0)</f>
        <v>51.967974072271296</v>
      </c>
      <c r="F8" s="21">
        <f>MAX((F5+F6),0)</f>
        <v>4524.8577908907282</v>
      </c>
      <c r="G8" s="21"/>
      <c r="H8" s="21"/>
      <c r="I8" s="21"/>
      <c r="J8" s="21">
        <f>MAX((J5+J6),0)</f>
        <v>363.43758074501619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0.2148131421528621</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274.7816712321183</v>
      </c>
      <c r="C12" s="23">
        <f ca="1">C8*C10</f>
        <v>10746.06050420168</v>
      </c>
      <c r="D12" s="23">
        <f>D8*D10</f>
        <v>0</v>
      </c>
      <c r="E12" s="23">
        <f>E8*E10</f>
        <v>11.796730114405584</v>
      </c>
      <c r="F12" s="23">
        <f>F8*F10</f>
        <v>1208.1370301678246</v>
      </c>
      <c r="G12" s="23"/>
      <c r="H12" s="23"/>
      <c r="I12" s="23"/>
      <c r="J12" s="23">
        <f>J8*J10</f>
        <v>128.65690358373573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0.19015719820899848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8.7917724070994865</v>
      </c>
      <c r="C26" s="244">
        <f>B26*'GWP N2O_CH4'!B5</f>
        <v>184.6272205490892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2.9371352422260379</v>
      </c>
      <c r="C27" s="244">
        <f>B27*'GWP N2O_CH4'!B5</f>
        <v>61.679840086746793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0.11970030499937356</v>
      </c>
      <c r="C28" s="244">
        <f>B28*'GWP N2O_CH4'!B4</f>
        <v>37.107094549805808</v>
      </c>
      <c r="D28" s="50"/>
    </row>
    <row r="29" spans="1:4">
      <c r="A29" s="41" t="s">
        <v>265</v>
      </c>
      <c r="B29" s="244">
        <f>B34*'ha_N2O bodem landbouw'!B4</f>
        <v>2.4601747291130245</v>
      </c>
      <c r="C29" s="244">
        <f>B29*'GWP N2O_CH4'!B4</f>
        <v>762.65416602503763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5.3947202364444116E-4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7.7123030791515553E-4</v>
      </c>
      <c r="C5" s="429" t="s">
        <v>204</v>
      </c>
      <c r="D5" s="414">
        <f>SUM(D6:D11)</f>
        <v>1.1391508922451606E-3</v>
      </c>
      <c r="E5" s="414">
        <f>SUM(E6:E11)</f>
        <v>1.1354098351683151E-3</v>
      </c>
      <c r="F5" s="427" t="s">
        <v>204</v>
      </c>
      <c r="G5" s="414">
        <f>SUM(G6:G11)</f>
        <v>0.69110038165866838</v>
      </c>
      <c r="H5" s="414">
        <f>SUM(H6:H11)</f>
        <v>0.11308708148036946</v>
      </c>
      <c r="I5" s="429" t="s">
        <v>204</v>
      </c>
      <c r="J5" s="429" t="s">
        <v>204</v>
      </c>
      <c r="K5" s="429" t="s">
        <v>204</v>
      </c>
      <c r="L5" s="429" t="s">
        <v>204</v>
      </c>
      <c r="M5" s="414">
        <f>SUM(M6:M11)</f>
        <v>4.7323728219081262E-2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1.3769373124260161E-4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2.3360469580992039E-4</v>
      </c>
      <c r="E6" s="843">
        <f>vkm_GW_PW*SUMIFS(TableVerdeelsleutelVkm[LPG],TableVerdeelsleutelVkm[Voertuigtype],"Lichte voertuigen")*SUMIFS(TableECFTransport[EnergieConsumptieFactor (PJ per km)],TableECFTransport[Index],CONCATENATE($A6,"_LPG_LPG"))</f>
        <v>2.0225713676651612E-4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6.4609409810965066E-2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2.2476805617178817E-2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5.2124093083935098E-3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9.4216343261180986E-7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3.5959626815046206E-2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5.7310592730978342E-7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2.0728033206666684E-3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6.2069917621821239E-5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1.342536816421625E-4</v>
      </c>
      <c r="E8" s="417">
        <f>vkm_NGW_PW*SUMIFS(TableVerdeelsleutelVkm[LPG],TableVerdeelsleutelVkm[Voertuigtype],"Lichte voertuigen")*SUMIFS(TableECFTransport[EnergieConsumptieFactor (PJ per km)],TableECFTransport[Index],CONCATENATE($A8,"_LPG_LPG"))</f>
        <v>1.1101945102075631E-4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3.2905325629609745E-2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1.2692790595355139E-2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2.7371228694049636E-3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5.0046280259617691E-7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2.4556073796873398E-2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3.6744886114943093E-7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1.4154722637837766E-3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5.6183037876361371E-4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7.7129251479307766E-4</v>
      </c>
      <c r="E10" s="417">
        <f>vkm_SW_PW*SUMIFS(TableVerdeelsleutelVkm[LPG],TableVerdeelsleutelVkm[Voertuigtype],"Lichte voertuigen")*SUMIFS(TableECFTransport[EnergieConsumptieFactor (PJ per km)],TableECFTransport[Index],CONCATENATE($A10,"_LPG_LPG"))</f>
        <v>8.2213324738104258E-4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0.23646228734076791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7.7911414720683497E-2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1.8788682456356127E-2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8.193654051911019E-6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0.29660765826540608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5.1299923635385549E-6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1.7097238000476214E-2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214.23064108754321</v>
      </c>
      <c r="C14" s="21"/>
      <c r="D14" s="21">
        <f t="shared" ref="D14:M14" si="0">((D5)*10^9/3600)+D12</f>
        <v>316.43080340143354</v>
      </c>
      <c r="E14" s="21">
        <f t="shared" si="0"/>
        <v>315.39162088008754</v>
      </c>
      <c r="F14" s="21"/>
      <c r="G14" s="21">
        <f t="shared" si="0"/>
        <v>191972.328238519</v>
      </c>
      <c r="H14" s="21">
        <f t="shared" si="0"/>
        <v>31413.078188991516</v>
      </c>
      <c r="I14" s="21"/>
      <c r="J14" s="21"/>
      <c r="K14" s="21"/>
      <c r="L14" s="21"/>
      <c r="M14" s="21">
        <f t="shared" si="0"/>
        <v>13145.480060855905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0.2148131421528621</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46.019557157437198</v>
      </c>
      <c r="C18" s="23"/>
      <c r="D18" s="23">
        <f t="shared" ref="D18:M18" si="1">D14*D16</f>
        <v>63.919022287089575</v>
      </c>
      <c r="E18" s="23">
        <f t="shared" si="1"/>
        <v>71.593897939779879</v>
      </c>
      <c r="F18" s="23"/>
      <c r="G18" s="23">
        <f t="shared" si="1"/>
        <v>51256.611639684575</v>
      </c>
      <c r="H18" s="23">
        <f t="shared" si="1"/>
        <v>7821.8564690588873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4.41350469455152E-3</v>
      </c>
      <c r="C50" s="313">
        <f t="shared" ref="C50:P50" si="2">SUM(C51:C52)</f>
        <v>0</v>
      </c>
      <c r="D50" s="313">
        <f t="shared" si="2"/>
        <v>0</v>
      </c>
      <c r="E50" s="313">
        <f t="shared" si="2"/>
        <v>0</v>
      </c>
      <c r="F50" s="313">
        <f t="shared" si="2"/>
        <v>0</v>
      </c>
      <c r="G50" s="313">
        <f t="shared" si="2"/>
        <v>3.5727413692542677E-3</v>
      </c>
      <c r="H50" s="313">
        <f t="shared" si="2"/>
        <v>0</v>
      </c>
      <c r="I50" s="313">
        <f t="shared" si="2"/>
        <v>0</v>
      </c>
      <c r="J50" s="313">
        <f t="shared" si="2"/>
        <v>0</v>
      </c>
      <c r="K50" s="313">
        <f t="shared" si="2"/>
        <v>0</v>
      </c>
      <c r="L50" s="313">
        <f t="shared" si="2"/>
        <v>0</v>
      </c>
      <c r="M50" s="313">
        <f t="shared" si="2"/>
        <v>2.0208489158802381E-4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4.9312174551519802E-5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3.5727413692542677E-3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2.0208489158802381E-4</v>
      </c>
      <c r="N51" s="315"/>
      <c r="O51" s="315"/>
      <c r="P51" s="318"/>
    </row>
    <row r="52" spans="1:18">
      <c r="A52" s="4" t="s">
        <v>317</v>
      </c>
      <c r="B52" s="844">
        <f>vkm_tram*SUMIFS(TableECFTransport[EnergieConsumptieFactor (PJ per km)],TableECFTransport[Index],"Tram_gemiddeld_Electric_Electric")</f>
        <v>4.3641925199999999E-3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1225.9735262643112</v>
      </c>
      <c r="C54" s="21">
        <f t="shared" ref="C54:P54" si="3">(C50)*10^9/3600</f>
        <v>0</v>
      </c>
      <c r="D54" s="21">
        <f t="shared" si="3"/>
        <v>0</v>
      </c>
      <c r="E54" s="21">
        <f t="shared" si="3"/>
        <v>0</v>
      </c>
      <c r="F54" s="21">
        <f t="shared" si="3"/>
        <v>0</v>
      </c>
      <c r="G54" s="21">
        <f t="shared" si="3"/>
        <v>992.42815812618551</v>
      </c>
      <c r="H54" s="21">
        <f t="shared" si="3"/>
        <v>0</v>
      </c>
      <c r="I54" s="21">
        <f t="shared" si="3"/>
        <v>0</v>
      </c>
      <c r="J54" s="21">
        <f t="shared" si="3"/>
        <v>0</v>
      </c>
      <c r="K54" s="21">
        <f t="shared" si="3"/>
        <v>0</v>
      </c>
      <c r="L54" s="21">
        <f t="shared" si="3"/>
        <v>0</v>
      </c>
      <c r="M54" s="21">
        <f t="shared" si="3"/>
        <v>56.134692107784389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0.2148131421528621</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263.3552253730611</v>
      </c>
      <c r="C58" s="23">
        <f t="shared" ref="C58:P58" ca="1" si="4">C54*C56</f>
        <v>0</v>
      </c>
      <c r="D58" s="23">
        <f t="shared" si="4"/>
        <v>0</v>
      </c>
      <c r="E58" s="23">
        <f t="shared" si="4"/>
        <v>0</v>
      </c>
      <c r="F58" s="23">
        <f t="shared" si="4"/>
        <v>0</v>
      </c>
      <c r="G58" s="23">
        <f t="shared" si="4"/>
        <v>264.97831821969157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5229.6888606686134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N32</f>
        <v>31675.5</v>
      </c>
      <c r="C8" s="539">
        <f>B51</f>
        <v>37265.294117647056</v>
      </c>
      <c r="D8" s="540"/>
      <c r="E8" s="540">
        <f>E51</f>
        <v>0</v>
      </c>
      <c r="F8" s="541"/>
      <c r="G8" s="542"/>
      <c r="H8" s="540">
        <f>I51</f>
        <v>0</v>
      </c>
      <c r="I8" s="540">
        <f>G51+F51</f>
        <v>0</v>
      </c>
      <c r="J8" s="540">
        <f>H51+D51+C51</f>
        <v>0</v>
      </c>
      <c r="K8" s="540"/>
      <c r="L8" s="540"/>
      <c r="M8" s="540"/>
      <c r="N8" s="543"/>
      <c r="O8" s="544">
        <f>C8*$C$12+D8*$D$12+E8*$E$12+F8*$F$12+G8*$G$12+H8*$H$12+I8*$I$12+J8*$J$12</f>
        <v>7527.5894117647058</v>
      </c>
      <c r="P8" s="1230"/>
      <c r="Q8" s="1231"/>
      <c r="S8" s="534"/>
      <c r="T8" s="1227"/>
      <c r="U8" s="1227"/>
    </row>
    <row r="9" spans="1:21" s="525" customFormat="1" ht="17.45" customHeight="1" thickBot="1">
      <c r="A9" s="545" t="s">
        <v>236</v>
      </c>
      <c r="B9" s="546">
        <f>N39+'Eigen informatie GS &amp; warmtenet'!B12</f>
        <v>0</v>
      </c>
      <c r="C9" s="547">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36905.188860668612</v>
      </c>
      <c r="C10" s="554">
        <f t="shared" ref="C10:L10" si="0">SUM(C8:C9)</f>
        <v>37265.294117647056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7527.5894117647058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O32</f>
        <v>45250.714285714283</v>
      </c>
      <c r="C17" s="570">
        <f>B52</f>
        <v>53236.134453781502</v>
      </c>
      <c r="D17" s="571"/>
      <c r="E17" s="571">
        <f>E52</f>
        <v>0</v>
      </c>
      <c r="F17" s="572"/>
      <c r="G17" s="573"/>
      <c r="H17" s="570">
        <f>I52</f>
        <v>0</v>
      </c>
      <c r="I17" s="571">
        <f>G52+F52</f>
        <v>0</v>
      </c>
      <c r="J17" s="571">
        <f>H52+D52+C52</f>
        <v>0</v>
      </c>
      <c r="K17" s="571"/>
      <c r="L17" s="571"/>
      <c r="M17" s="571"/>
      <c r="N17" s="924"/>
      <c r="O17" s="574">
        <f>C17*$C$22+E17*$E$22+H17*$H$22+I17*$I$22+J17*$J$22+D17*$D$22+F17*$F$22+G17*$G$22+K17*$K$22+L17*$L$22</f>
        <v>10753.699159663864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45250.714285714283</v>
      </c>
      <c r="C20" s="553">
        <f>SUM(C17:C19)</f>
        <v>53236.134453781502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10753.699159663864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11056</v>
      </c>
      <c r="C28" s="745">
        <v>2070</v>
      </c>
      <c r="D28" s="631"/>
      <c r="E28" s="630"/>
      <c r="F28" s="630"/>
      <c r="G28" s="630" t="s">
        <v>883</v>
      </c>
      <c r="H28" s="630" t="s">
        <v>884</v>
      </c>
      <c r="I28" s="630"/>
      <c r="J28" s="744"/>
      <c r="K28" s="744"/>
      <c r="L28" s="630" t="s">
        <v>885</v>
      </c>
      <c r="M28" s="630">
        <v>4800</v>
      </c>
      <c r="N28" s="630">
        <v>21600</v>
      </c>
      <c r="O28" s="630">
        <v>30857.142857142859</v>
      </c>
      <c r="P28" s="630">
        <v>61714.285714285717</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11056</v>
      </c>
      <c r="C29" s="745">
        <v>2070</v>
      </c>
      <c r="D29" s="631"/>
      <c r="E29" s="630"/>
      <c r="F29" s="630"/>
      <c r="G29" s="630" t="s">
        <v>883</v>
      </c>
      <c r="H29" s="630" t="s">
        <v>884</v>
      </c>
      <c r="I29" s="630"/>
      <c r="J29" s="744"/>
      <c r="K29" s="744"/>
      <c r="L29" s="630" t="s">
        <v>885</v>
      </c>
      <c r="M29" s="630">
        <v>2067</v>
      </c>
      <c r="N29" s="630">
        <v>9301.5</v>
      </c>
      <c r="O29" s="630">
        <v>13287.857142857143</v>
      </c>
      <c r="P29" s="630">
        <v>26575.714285714286</v>
      </c>
      <c r="Q29" s="630">
        <v>0</v>
      </c>
      <c r="R29" s="630">
        <v>0</v>
      </c>
      <c r="S29" s="630">
        <v>0</v>
      </c>
      <c r="T29" s="630">
        <v>0</v>
      </c>
      <c r="U29" s="630">
        <v>0</v>
      </c>
      <c r="V29" s="630">
        <v>0</v>
      </c>
      <c r="W29" s="630">
        <v>0</v>
      </c>
      <c r="X29" s="630"/>
      <c r="Y29" s="630">
        <v>10</v>
      </c>
      <c r="Z29" s="630" t="s">
        <v>105</v>
      </c>
      <c r="AA29" s="632" t="s">
        <v>105</v>
      </c>
    </row>
    <row r="30" spans="1:27" s="584" customFormat="1" ht="63.75" hidden="1">
      <c r="A30" s="583"/>
      <c r="B30" s="745">
        <v>11056</v>
      </c>
      <c r="C30" s="745">
        <v>2070</v>
      </c>
      <c r="D30" s="631"/>
      <c r="E30" s="630"/>
      <c r="F30" s="630"/>
      <c r="G30" s="630" t="s">
        <v>883</v>
      </c>
      <c r="H30" s="630" t="s">
        <v>884</v>
      </c>
      <c r="I30" s="630"/>
      <c r="J30" s="744"/>
      <c r="K30" s="744"/>
      <c r="L30" s="630" t="s">
        <v>885</v>
      </c>
      <c r="M30" s="630">
        <v>5</v>
      </c>
      <c r="N30" s="630">
        <v>22.5</v>
      </c>
      <c r="O30" s="630">
        <v>32.142857142857146</v>
      </c>
      <c r="P30" s="630">
        <v>64.285714285714292</v>
      </c>
      <c r="Q30" s="630">
        <v>0</v>
      </c>
      <c r="R30" s="630">
        <v>0</v>
      </c>
      <c r="S30" s="630">
        <v>0</v>
      </c>
      <c r="T30" s="630">
        <v>0</v>
      </c>
      <c r="U30" s="630">
        <v>0</v>
      </c>
      <c r="V30" s="630">
        <v>0</v>
      </c>
      <c r="W30" s="630">
        <v>0</v>
      </c>
      <c r="X30" s="630"/>
      <c r="Y30" s="630">
        <v>1600</v>
      </c>
      <c r="Z30" s="630" t="s">
        <v>49</v>
      </c>
      <c r="AA30" s="632" t="s">
        <v>149</v>
      </c>
    </row>
    <row r="31" spans="1:27" s="584" customFormat="1" ht="25.5" hidden="1">
      <c r="A31" s="583"/>
      <c r="B31" s="745">
        <v>11056</v>
      </c>
      <c r="C31" s="745">
        <v>2070</v>
      </c>
      <c r="D31" s="631"/>
      <c r="E31" s="630"/>
      <c r="F31" s="630"/>
      <c r="G31" s="630" t="s">
        <v>886</v>
      </c>
      <c r="H31" s="630" t="s">
        <v>884</v>
      </c>
      <c r="I31" s="630"/>
      <c r="J31" s="744"/>
      <c r="K31" s="744"/>
      <c r="L31" s="630" t="s">
        <v>887</v>
      </c>
      <c r="M31" s="630">
        <v>2004</v>
      </c>
      <c r="N31" s="630">
        <v>751.5</v>
      </c>
      <c r="O31" s="630">
        <v>1073.5714285714287</v>
      </c>
      <c r="P31" s="630">
        <v>2147.1428571428573</v>
      </c>
      <c r="Q31" s="630">
        <v>0</v>
      </c>
      <c r="R31" s="630">
        <v>0</v>
      </c>
      <c r="S31" s="630">
        <v>0</v>
      </c>
      <c r="T31" s="630">
        <v>0</v>
      </c>
      <c r="U31" s="630">
        <v>0</v>
      </c>
      <c r="V31" s="630">
        <v>0</v>
      </c>
      <c r="W31" s="630">
        <v>0</v>
      </c>
      <c r="X31" s="630"/>
      <c r="Y31" s="630">
        <v>10</v>
      </c>
      <c r="Z31" s="630" t="s">
        <v>105</v>
      </c>
      <c r="AA31" s="632" t="s">
        <v>105</v>
      </c>
    </row>
    <row r="32" spans="1:27" s="564" customFormat="1" hidden="1">
      <c r="A32" s="586" t="s">
        <v>268</v>
      </c>
      <c r="B32" s="587"/>
      <c r="C32" s="587"/>
      <c r="D32" s="587"/>
      <c r="E32" s="587"/>
      <c r="F32" s="587"/>
      <c r="G32" s="587"/>
      <c r="H32" s="587"/>
      <c r="I32" s="587"/>
      <c r="J32" s="587"/>
      <c r="K32" s="587"/>
      <c r="L32" s="588"/>
      <c r="M32" s="588">
        <f>SUM(M28:M31)</f>
        <v>8876</v>
      </c>
      <c r="N32" s="588">
        <f>SUM(N28:N31)</f>
        <v>31675.5</v>
      </c>
      <c r="O32" s="588">
        <f>SUM(O28:O31)</f>
        <v>45250.714285714283</v>
      </c>
      <c r="P32" s="588">
        <f>SUM(P28:P31)</f>
        <v>90501.428571428565</v>
      </c>
      <c r="Q32" s="588">
        <f>SUM(Q28:Q31)</f>
        <v>0</v>
      </c>
      <c r="R32" s="588">
        <f>SUM(R28:R31)</f>
        <v>0</v>
      </c>
      <c r="S32" s="588">
        <f>SUM(S28:S31)</f>
        <v>0</v>
      </c>
      <c r="T32" s="588">
        <f>SUM(T28:T31)</f>
        <v>0</v>
      </c>
      <c r="U32" s="588">
        <f>SUM(U28:U31)</f>
        <v>0</v>
      </c>
      <c r="V32" s="588">
        <f>SUM(V28:V31)</f>
        <v>0</v>
      </c>
      <c r="W32" s="588">
        <f>SUM(W28:W31)</f>
        <v>0</v>
      </c>
      <c r="X32" s="588"/>
      <c r="Y32" s="589"/>
      <c r="Z32" s="589"/>
      <c r="AA32" s="590"/>
    </row>
    <row r="33" spans="1:28" s="564" customFormat="1">
      <c r="A33" s="586" t="s">
        <v>275</v>
      </c>
      <c r="B33" s="587"/>
      <c r="C33" s="587"/>
      <c r="D33" s="587"/>
      <c r="E33" s="587"/>
      <c r="F33" s="587"/>
      <c r="G33" s="587"/>
      <c r="H33" s="587"/>
      <c r="I33" s="587"/>
      <c r="J33" s="587"/>
      <c r="K33" s="587"/>
      <c r="L33" s="588"/>
      <c r="M33" s="588">
        <f>SUMIF($AA$28:$AA$31,"industrie",M28:M31)</f>
        <v>0</v>
      </c>
      <c r="N33" s="588">
        <f>SUMIF($AA$28:$AA$31,"industrie",N28:N31)</f>
        <v>0</v>
      </c>
      <c r="O33" s="588">
        <f>SUMIF($AA$28:$AA$31,"industrie",O28:O31)</f>
        <v>0</v>
      </c>
      <c r="P33" s="588">
        <f>SUMIF($AA$28:$AA$31,"industrie",P28:P31)</f>
        <v>0</v>
      </c>
      <c r="Q33" s="588">
        <f>SUMIF($AA$28:$AA$31,"industrie",Q28:Q31)</f>
        <v>0</v>
      </c>
      <c r="R33" s="588">
        <f>SUMIF($AA$28:$AA$31,"industrie",R28:R31)</f>
        <v>0</v>
      </c>
      <c r="S33" s="588">
        <f>SUMIF($AA$28:$AA$31,"industrie",S28:S31)</f>
        <v>0</v>
      </c>
      <c r="T33" s="588">
        <f>SUMIF($AA$28:$AA$31,"industrie",T28:T31)</f>
        <v>0</v>
      </c>
      <c r="U33" s="588">
        <f>SUMIF($AA$28:$AA$31,"industrie",U28:U31)</f>
        <v>0</v>
      </c>
      <c r="V33" s="588">
        <f>SUMIF($AA$28:$AA$31,"industrie",V28:V31)</f>
        <v>0</v>
      </c>
      <c r="W33" s="588">
        <f>SUMIF($AA$28:$AA$31,"industrie",W28:W31)</f>
        <v>0</v>
      </c>
      <c r="X33" s="588"/>
      <c r="Y33" s="589"/>
      <c r="Z33" s="589"/>
      <c r="AA33" s="590"/>
    </row>
    <row r="34" spans="1:28" s="564" customFormat="1">
      <c r="A34" s="586" t="s">
        <v>276</v>
      </c>
      <c r="B34" s="587"/>
      <c r="C34" s="587"/>
      <c r="D34" s="587"/>
      <c r="E34" s="587"/>
      <c r="F34" s="587"/>
      <c r="G34" s="587"/>
      <c r="H34" s="587"/>
      <c r="I34" s="587"/>
      <c r="J34" s="587"/>
      <c r="K34" s="587"/>
      <c r="L34" s="588"/>
      <c r="M34" s="588">
        <f ca="1">SUMIF($AA$28:AD31,"tertiair",M28:M31)</f>
        <v>5</v>
      </c>
      <c r="N34" s="588">
        <f ca="1">SUMIF($AA$28:AE31,"tertiair",N28:N31)</f>
        <v>22.5</v>
      </c>
      <c r="O34" s="588">
        <f ca="1">SUMIF($AA$28:AF31,"tertiair",O28:O31)</f>
        <v>32.142857142857146</v>
      </c>
      <c r="P34" s="588">
        <f ca="1">SUMIF($AA$28:AG31,"tertiair",P28:P31)</f>
        <v>64.285714285714292</v>
      </c>
      <c r="Q34" s="588">
        <f ca="1">SUMIF($AA$28:AH31,"tertiair",Q28:Q31)</f>
        <v>0</v>
      </c>
      <c r="R34" s="588">
        <f ca="1">SUMIF($AA$28:AI31,"tertiair",R28:R31)</f>
        <v>0</v>
      </c>
      <c r="S34" s="588">
        <f ca="1">SUMIF($AA$28:AJ31,"tertiair",S28:S31)</f>
        <v>0</v>
      </c>
      <c r="T34" s="588">
        <f ca="1">SUMIF($AA$28:AK31,"tertiair",T28:T31)</f>
        <v>0</v>
      </c>
      <c r="U34" s="588">
        <f ca="1">SUMIF($AA$28:AL31,"tertiair",U28:U31)</f>
        <v>0</v>
      </c>
      <c r="V34" s="588">
        <f ca="1">SUMIF($AA$28:AM31,"tertiair",V28:V31)</f>
        <v>0</v>
      </c>
      <c r="W34" s="588">
        <f ca="1">SUMIF($AA$28:AN31,"tertiair",W28:W31)</f>
        <v>0</v>
      </c>
      <c r="X34" s="588"/>
      <c r="Y34" s="589"/>
      <c r="Z34" s="589"/>
      <c r="AA34" s="590"/>
    </row>
    <row r="35" spans="1:28" s="564" customFormat="1" ht="15.75" thickBot="1">
      <c r="A35" s="591" t="s">
        <v>277</v>
      </c>
      <c r="B35" s="592"/>
      <c r="C35" s="592"/>
      <c r="D35" s="592"/>
      <c r="E35" s="592"/>
      <c r="F35" s="592"/>
      <c r="G35" s="592"/>
      <c r="H35" s="592"/>
      <c r="I35" s="592"/>
      <c r="J35" s="592"/>
      <c r="K35" s="592"/>
      <c r="L35" s="593"/>
      <c r="M35" s="593">
        <f>SUMIF($AA$28:$AA$31,"landbouw",M28:M31)</f>
        <v>8871</v>
      </c>
      <c r="N35" s="593">
        <f>SUMIF($AA$28:$AA$31,"landbouw",N28:N31)</f>
        <v>31653</v>
      </c>
      <c r="O35" s="593">
        <f>SUMIF($AA$28:$AA$31,"landbouw",O28:O31)</f>
        <v>45218.571428571428</v>
      </c>
      <c r="P35" s="593">
        <f>SUMIF($AA$28:$AA$31,"landbouw",P28:P31)</f>
        <v>90437.142857142855</v>
      </c>
      <c r="Q35" s="593">
        <f>SUMIF($AA$28:$AA$31,"landbouw",Q28:Q31)</f>
        <v>0</v>
      </c>
      <c r="R35" s="593">
        <f>SUMIF($AA$28:$AA$31,"landbouw",R28:R31)</f>
        <v>0</v>
      </c>
      <c r="S35" s="593">
        <f>SUMIF($AA$28:$AA$31,"landbouw",S28:S31)</f>
        <v>0</v>
      </c>
      <c r="T35" s="593">
        <f>SUMIF($AA$28:$AA$31,"landbouw",T28:T31)</f>
        <v>0</v>
      </c>
      <c r="U35" s="593">
        <f>SUMIF($AA$28:$AA$31,"landbouw",U28:U31)</f>
        <v>0</v>
      </c>
      <c r="V35" s="593">
        <f>SUMIF($AA$28:$AA$31,"landbouw",V28:V31)</f>
        <v>0</v>
      </c>
      <c r="W35" s="593">
        <f>SUMIF($AA$28:$AA$31,"landbouw",W28:W31)</f>
        <v>0</v>
      </c>
      <c r="X35" s="593"/>
      <c r="Y35" s="594"/>
      <c r="Z35" s="594"/>
      <c r="AA35" s="595"/>
    </row>
    <row r="36" spans="1:28" s="525" customFormat="1" ht="15.75" thickBot="1">
      <c r="A36" s="596"/>
      <c r="B36" s="597"/>
      <c r="C36" s="597"/>
      <c r="D36" s="597"/>
      <c r="E36" s="597"/>
      <c r="F36" s="597"/>
      <c r="G36" s="597"/>
      <c r="H36" s="597"/>
      <c r="I36" s="597"/>
      <c r="J36" s="597"/>
      <c r="K36" s="597"/>
      <c r="L36" s="580"/>
      <c r="M36" s="580"/>
      <c r="N36" s="580"/>
      <c r="O36" s="581"/>
      <c r="P36" s="581"/>
    </row>
    <row r="37" spans="1:28" s="525" customFormat="1" ht="45">
      <c r="A37" s="598" t="s">
        <v>269</v>
      </c>
      <c r="B37" s="627" t="s">
        <v>89</v>
      </c>
      <c r="C37" s="627" t="s">
        <v>90</v>
      </c>
      <c r="D37" s="627"/>
      <c r="E37" s="627"/>
      <c r="F37" s="627"/>
      <c r="G37" s="627" t="s">
        <v>91</v>
      </c>
      <c r="H37" s="627" t="s">
        <v>92</v>
      </c>
      <c r="I37" s="627"/>
      <c r="J37" s="627"/>
      <c r="K37" s="627"/>
      <c r="L37" s="627" t="s">
        <v>93</v>
      </c>
      <c r="M37" s="628" t="s">
        <v>286</v>
      </c>
      <c r="N37" s="628" t="s">
        <v>94</v>
      </c>
      <c r="O37" s="628" t="s">
        <v>95</v>
      </c>
      <c r="P37" s="628" t="s">
        <v>509</v>
      </c>
      <c r="Q37" s="628" t="s">
        <v>96</v>
      </c>
      <c r="R37" s="628" t="s">
        <v>97</v>
      </c>
      <c r="S37" s="628" t="s">
        <v>98</v>
      </c>
      <c r="T37" s="628" t="s">
        <v>99</v>
      </c>
      <c r="U37" s="628" t="s">
        <v>100</v>
      </c>
      <c r="V37" s="628" t="s">
        <v>101</v>
      </c>
      <c r="W37" s="627" t="s">
        <v>102</v>
      </c>
      <c r="X37" s="627" t="s">
        <v>882</v>
      </c>
      <c r="Y37" s="627" t="s">
        <v>287</v>
      </c>
      <c r="Z37" s="627" t="s">
        <v>103</v>
      </c>
      <c r="AA37" s="629" t="s">
        <v>288</v>
      </c>
    </row>
    <row r="38" spans="1:28" s="599" customFormat="1" ht="12.75" hidden="1">
      <c r="A38" s="585"/>
      <c r="B38" s="745"/>
      <c r="C38" s="745"/>
      <c r="D38" s="633"/>
      <c r="E38" s="633"/>
      <c r="F38" s="633"/>
      <c r="G38" s="633"/>
      <c r="H38" s="633"/>
      <c r="I38" s="633"/>
      <c r="J38" s="744"/>
      <c r="K38" s="744"/>
      <c r="L38" s="633"/>
      <c r="M38" s="633"/>
      <c r="N38" s="633"/>
      <c r="O38" s="633"/>
      <c r="P38" s="633"/>
      <c r="Q38" s="633"/>
      <c r="R38" s="633"/>
      <c r="S38" s="633"/>
      <c r="T38" s="633"/>
      <c r="U38" s="633"/>
      <c r="V38" s="633"/>
      <c r="W38" s="633"/>
      <c r="X38" s="633"/>
      <c r="Y38" s="633"/>
      <c r="Z38" s="633"/>
      <c r="AA38" s="634"/>
    </row>
    <row r="39" spans="1:28" s="564" customFormat="1" hidden="1">
      <c r="A39" s="586" t="s">
        <v>268</v>
      </c>
      <c r="B39" s="587"/>
      <c r="C39" s="587"/>
      <c r="D39" s="587"/>
      <c r="E39" s="587"/>
      <c r="F39" s="587"/>
      <c r="G39" s="587"/>
      <c r="H39" s="587"/>
      <c r="I39" s="587"/>
      <c r="J39" s="587"/>
      <c r="K39" s="587"/>
      <c r="L39" s="588"/>
      <c r="M39" s="588">
        <f>SUM(M38:M38)</f>
        <v>0</v>
      </c>
      <c r="N39" s="588">
        <f>SUM(N38:N38)</f>
        <v>0</v>
      </c>
      <c r="O39" s="588">
        <f>SUM(O38:O38)</f>
        <v>0</v>
      </c>
      <c r="P39" s="588">
        <f>SUM(P38:P38)</f>
        <v>0</v>
      </c>
      <c r="Q39" s="588">
        <f>SUM(Q38:Q38)</f>
        <v>0</v>
      </c>
      <c r="R39" s="588">
        <f>SUM(R38:R38)</f>
        <v>0</v>
      </c>
      <c r="S39" s="588">
        <f>SUM(S38:S38)</f>
        <v>0</v>
      </c>
      <c r="T39" s="588">
        <f>SUM(T38:T38)</f>
        <v>0</v>
      </c>
      <c r="U39" s="588">
        <f>SUM(U38:U38)</f>
        <v>0</v>
      </c>
      <c r="V39" s="588">
        <f>SUM(V38:V38)</f>
        <v>0</v>
      </c>
      <c r="W39" s="588">
        <f>SUM(W38:W38)</f>
        <v>0</v>
      </c>
      <c r="X39" s="588"/>
      <c r="Y39" s="589"/>
      <c r="Z39" s="589"/>
      <c r="AA39" s="590"/>
    </row>
    <row r="40" spans="1:28" s="564" customFormat="1">
      <c r="A40" s="586" t="s">
        <v>275</v>
      </c>
      <c r="B40" s="587"/>
      <c r="C40" s="587"/>
      <c r="D40" s="587"/>
      <c r="E40" s="587"/>
      <c r="F40" s="587"/>
      <c r="G40" s="587"/>
      <c r="H40" s="587"/>
      <c r="I40" s="587"/>
      <c r="J40" s="587"/>
      <c r="K40" s="587"/>
      <c r="L40" s="588"/>
      <c r="M40" s="588">
        <f>SUMIF($AA$38:$AA$38,"industrie",M38:M38)</f>
        <v>0</v>
      </c>
      <c r="N40" s="588">
        <f>SUMIF($AA$38:$AA$38,"industrie",N38:N38)</f>
        <v>0</v>
      </c>
      <c r="O40" s="588">
        <f>SUMIF($AA$38:$AA$38,"industrie",O38:O38)</f>
        <v>0</v>
      </c>
      <c r="P40" s="588">
        <f>SUMIF($AA$38:$AA$38,"industrie",P38:P38)</f>
        <v>0</v>
      </c>
      <c r="Q40" s="588">
        <f>SUMIF($AA$38:$AA$38,"industrie",Q38:Q38)</f>
        <v>0</v>
      </c>
      <c r="R40" s="588">
        <f>SUMIF($AA$38:$AA$38,"industrie",R38:R38)</f>
        <v>0</v>
      </c>
      <c r="S40" s="588">
        <f>SUMIF($AA$38:$AA$38,"industrie",S38:S38)</f>
        <v>0</v>
      </c>
      <c r="T40" s="588">
        <f>SUMIF($AA$38:$AA$38,"industrie",T38:T38)</f>
        <v>0</v>
      </c>
      <c r="U40" s="588">
        <f>SUMIF($AA$38:$AA$38,"industrie",U38:U38)</f>
        <v>0</v>
      </c>
      <c r="V40" s="588">
        <f>SUMIF($AA$38:$AA$38,"industrie",V38:V38)</f>
        <v>0</v>
      </c>
      <c r="W40" s="588">
        <f>SUMIF($AA$38:$AA$38,"industrie",W38:W38)</f>
        <v>0</v>
      </c>
      <c r="X40" s="588"/>
      <c r="Y40" s="589"/>
      <c r="Z40" s="589"/>
      <c r="AA40" s="590"/>
    </row>
    <row r="41" spans="1:28" s="564" customFormat="1">
      <c r="A41" s="586" t="s">
        <v>276</v>
      </c>
      <c r="B41" s="587"/>
      <c r="C41" s="587"/>
      <c r="D41" s="587"/>
      <c r="E41" s="587"/>
      <c r="F41" s="587"/>
      <c r="G41" s="587"/>
      <c r="H41" s="587"/>
      <c r="I41" s="587"/>
      <c r="J41" s="587"/>
      <c r="K41" s="587"/>
      <c r="L41" s="588"/>
      <c r="M41" s="588">
        <f>SUMIF($AA$38:$AA$39,"tertiair",M38:M39)</f>
        <v>0</v>
      </c>
      <c r="N41" s="588">
        <f>SUMIF($AA$38:$AA$39,"tertiair",N38:N39)</f>
        <v>0</v>
      </c>
      <c r="O41" s="588">
        <f>SUMIF($AA$38:$AA$39,"tertiair",O38:O39)</f>
        <v>0</v>
      </c>
      <c r="P41" s="588">
        <f>SUMIF($AA$38:$AA$39,"tertiair",P38:P39)</f>
        <v>0</v>
      </c>
      <c r="Q41" s="588">
        <f>SUMIF($AA$38:$AA$39,"tertiair",Q38:Q39)</f>
        <v>0</v>
      </c>
      <c r="R41" s="588">
        <f>SUMIF($AA$38:$AA$39,"tertiair",R38:R39)</f>
        <v>0</v>
      </c>
      <c r="S41" s="588">
        <f>SUMIF($AA$38:$AA$39,"tertiair",S38:S39)</f>
        <v>0</v>
      </c>
      <c r="T41" s="588">
        <f>SUMIF($AA$38:$AA$39,"tertiair",T38:T39)</f>
        <v>0</v>
      </c>
      <c r="U41" s="588">
        <f>SUMIF($AA$38:$AA$39,"tertiair",U38:U39)</f>
        <v>0</v>
      </c>
      <c r="V41" s="588">
        <f>SUMIF($AA$38:$AA$39,"tertiair",V38:V39)</f>
        <v>0</v>
      </c>
      <c r="W41" s="588">
        <f>SUMIF($AA$38:$AA$39,"tertiair",W38:W39)</f>
        <v>0</v>
      </c>
      <c r="X41" s="588"/>
      <c r="Y41" s="589"/>
      <c r="Z41" s="589"/>
      <c r="AA41" s="590"/>
    </row>
    <row r="42" spans="1:28" s="564" customFormat="1" ht="15.75" thickBot="1">
      <c r="A42" s="591" t="s">
        <v>277</v>
      </c>
      <c r="B42" s="592"/>
      <c r="C42" s="592"/>
      <c r="D42" s="592"/>
      <c r="E42" s="592"/>
      <c r="F42" s="592"/>
      <c r="G42" s="592"/>
      <c r="H42" s="592"/>
      <c r="I42" s="592"/>
      <c r="J42" s="592"/>
      <c r="K42" s="592"/>
      <c r="L42" s="593"/>
      <c r="M42" s="593">
        <f>SUMIF($AA$38:$AA$40,"landbouw",M38:M40)</f>
        <v>0</v>
      </c>
      <c r="N42" s="593">
        <f>SUMIF($AA$38:$AA$40,"landbouw",N38:N40)</f>
        <v>0</v>
      </c>
      <c r="O42" s="593">
        <f>SUMIF($AA$38:$AA$40,"landbouw",O38:O40)</f>
        <v>0</v>
      </c>
      <c r="P42" s="593">
        <f>SUMIF($AA$38:$AA$40,"landbouw",P38:P40)</f>
        <v>0</v>
      </c>
      <c r="Q42" s="593">
        <f>SUMIF($AA$38:$AA$40,"landbouw",Q38:Q40)</f>
        <v>0</v>
      </c>
      <c r="R42" s="593">
        <f>SUMIF($AA$38:$AA$40,"landbouw",R38:R40)</f>
        <v>0</v>
      </c>
      <c r="S42" s="593">
        <f>SUMIF($AA$38:$AA$40,"landbouw",S38:S40)</f>
        <v>0</v>
      </c>
      <c r="T42" s="593">
        <f>SUMIF($AA$38:$AA$40,"landbouw",T38:T40)</f>
        <v>0</v>
      </c>
      <c r="U42" s="593">
        <f>SUMIF($AA$38:$AA$40,"landbouw",U38:U40)</f>
        <v>0</v>
      </c>
      <c r="V42" s="593">
        <f>SUMIF($AA$38:$AA$40,"landbouw",V38:V40)</f>
        <v>0</v>
      </c>
      <c r="W42" s="593">
        <f>SUMIF($AA$38:$AA$40,"landbouw",W38:W40)</f>
        <v>0</v>
      </c>
      <c r="X42" s="593"/>
      <c r="Y42" s="594"/>
      <c r="Z42" s="594"/>
      <c r="AA42" s="595"/>
    </row>
    <row r="43" spans="1:28" s="600" customForma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8" s="600" customFormat="1" ht="15.75" thickBo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row>
    <row r="45" spans="1:28">
      <c r="A45" s="601" t="s">
        <v>270</v>
      </c>
      <c r="B45" s="602"/>
      <c r="C45" s="602"/>
      <c r="D45" s="602"/>
      <c r="E45" s="602"/>
      <c r="F45" s="602"/>
      <c r="G45" s="602"/>
      <c r="H45" s="602"/>
      <c r="I45" s="603"/>
      <c r="J45" s="604"/>
      <c r="K45" s="604"/>
      <c r="L45" s="605"/>
      <c r="M45" s="605"/>
      <c r="N45" s="605"/>
      <c r="O45" s="605"/>
      <c r="P45" s="605"/>
    </row>
    <row r="46" spans="1:28">
      <c r="A46" s="607"/>
      <c r="B46" s="597"/>
      <c r="C46" s="597"/>
      <c r="D46" s="597"/>
      <c r="E46" s="597"/>
      <c r="F46" s="597"/>
      <c r="G46" s="597"/>
      <c r="H46" s="597"/>
      <c r="I46" s="608"/>
      <c r="J46" s="597"/>
      <c r="K46" s="597"/>
      <c r="L46" s="605"/>
      <c r="M46" s="605"/>
      <c r="N46" s="605"/>
      <c r="O46" s="605"/>
      <c r="P46" s="605"/>
    </row>
    <row r="47" spans="1:28">
      <c r="A47" s="609"/>
      <c r="B47" s="610" t="s">
        <v>271</v>
      </c>
      <c r="C47" s="610" t="s">
        <v>272</v>
      </c>
      <c r="D47" s="610"/>
      <c r="E47" s="610"/>
      <c r="F47" s="610"/>
      <c r="G47" s="610"/>
      <c r="H47" s="610"/>
      <c r="I47" s="611"/>
      <c r="J47" s="610"/>
      <c r="K47" s="610"/>
      <c r="L47" s="610"/>
      <c r="M47" s="610"/>
      <c r="N47" s="610"/>
      <c r="O47" s="610"/>
      <c r="P47" s="605"/>
    </row>
    <row r="48" spans="1:28">
      <c r="A48" s="607" t="s">
        <v>268</v>
      </c>
      <c r="B48" s="612">
        <f>IF(ISERROR(O32/(O32+N32)),0,O32/(O32+N32))</f>
        <v>0.58823529411764697</v>
      </c>
      <c r="C48" s="613">
        <f>IF(ISERROR(N32/(O32+N32)),0,N32/(N32+O32))</f>
        <v>0.41176470588235292</v>
      </c>
      <c r="D48" s="580"/>
      <c r="E48" s="580"/>
      <c r="F48" s="580"/>
      <c r="G48" s="580"/>
      <c r="H48" s="580"/>
      <c r="I48" s="614"/>
      <c r="J48" s="580"/>
      <c r="K48" s="580"/>
      <c r="L48" s="615"/>
      <c r="M48" s="615"/>
      <c r="N48" s="615"/>
      <c r="O48" s="615"/>
      <c r="P48" s="605"/>
    </row>
    <row r="49" spans="1:16">
      <c r="A49" s="607"/>
      <c r="B49" s="616"/>
      <c r="C49" s="616"/>
      <c r="D49" s="616"/>
      <c r="E49" s="616"/>
      <c r="F49" s="616"/>
      <c r="G49" s="616"/>
      <c r="H49" s="616"/>
      <c r="I49" s="617"/>
      <c r="J49" s="616"/>
      <c r="K49" s="616"/>
      <c r="L49" s="618"/>
      <c r="M49" s="618"/>
      <c r="N49" s="618"/>
      <c r="O49" s="618"/>
      <c r="P49" s="605"/>
    </row>
    <row r="50" spans="1:16" ht="30">
      <c r="A50" s="619"/>
      <c r="B50" s="620" t="s">
        <v>509</v>
      </c>
      <c r="C50" s="620" t="s">
        <v>96</v>
      </c>
      <c r="D50" s="620" t="s">
        <v>97</v>
      </c>
      <c r="E50" s="620" t="s">
        <v>98</v>
      </c>
      <c r="F50" s="620" t="s">
        <v>99</v>
      </c>
      <c r="G50" s="620" t="s">
        <v>100</v>
      </c>
      <c r="H50" s="620" t="s">
        <v>101</v>
      </c>
      <c r="I50" s="621" t="s">
        <v>102</v>
      </c>
      <c r="J50" s="610"/>
      <c r="K50" s="610"/>
      <c r="L50" s="618"/>
      <c r="M50" s="618"/>
      <c r="N50" s="618"/>
      <c r="O50" s="605"/>
      <c r="P50" s="605"/>
    </row>
    <row r="51" spans="1:16">
      <c r="A51" s="609" t="s">
        <v>273</v>
      </c>
      <c r="B51" s="622">
        <f t="shared" ref="B51:I51" si="2">$C$48*P32</f>
        <v>37265.294117647056</v>
      </c>
      <c r="C51" s="622">
        <f t="shared" si="2"/>
        <v>0</v>
      </c>
      <c r="D51" s="622">
        <f t="shared" si="2"/>
        <v>0</v>
      </c>
      <c r="E51" s="622">
        <f t="shared" si="2"/>
        <v>0</v>
      </c>
      <c r="F51" s="622">
        <f t="shared" si="2"/>
        <v>0</v>
      </c>
      <c r="G51" s="622">
        <f t="shared" si="2"/>
        <v>0</v>
      </c>
      <c r="H51" s="622">
        <f t="shared" si="2"/>
        <v>0</v>
      </c>
      <c r="I51" s="623">
        <f t="shared" si="2"/>
        <v>0</v>
      </c>
      <c r="J51" s="580"/>
      <c r="K51" s="580"/>
      <c r="L51" s="618"/>
      <c r="M51" s="618"/>
      <c r="N51" s="618"/>
      <c r="O51" s="605"/>
      <c r="P51" s="605"/>
    </row>
    <row r="52" spans="1:16" ht="15.75" thickBot="1">
      <c r="A52" s="624" t="s">
        <v>274</v>
      </c>
      <c r="B52" s="625">
        <f t="shared" ref="B52:I52" si="3">$B$48*P32</f>
        <v>53236.134453781502</v>
      </c>
      <c r="C52" s="625">
        <f t="shared" si="3"/>
        <v>0</v>
      </c>
      <c r="D52" s="625">
        <f t="shared" si="3"/>
        <v>0</v>
      </c>
      <c r="E52" s="625">
        <f t="shared" si="3"/>
        <v>0</v>
      </c>
      <c r="F52" s="625">
        <f t="shared" si="3"/>
        <v>0</v>
      </c>
      <c r="G52" s="625">
        <f t="shared" si="3"/>
        <v>0</v>
      </c>
      <c r="H52" s="625">
        <f t="shared" si="3"/>
        <v>0</v>
      </c>
      <c r="I52" s="626">
        <f t="shared" si="3"/>
        <v>0</v>
      </c>
      <c r="J52" s="580"/>
      <c r="K52" s="580"/>
      <c r="L52" s="618"/>
      <c r="M52" s="618"/>
      <c r="N52" s="618"/>
      <c r="O52" s="605"/>
      <c r="P52" s="605"/>
    </row>
    <row r="53" spans="1:16">
      <c r="J53" s="560"/>
      <c r="K53" s="560"/>
      <c r="L53" s="560"/>
      <c r="M53" s="560"/>
      <c r="N53" s="560"/>
    </row>
    <row r="54" spans="1:16">
      <c r="J54" s="560"/>
      <c r="K54" s="560"/>
      <c r="L54" s="560"/>
      <c r="M54" s="560"/>
      <c r="N54"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26597.673934000002</v>
      </c>
      <c r="D10" s="641">
        <f ca="1">tertiair!C16</f>
        <v>32.142857142857146</v>
      </c>
      <c r="E10" s="641">
        <f ca="1">tertiair!D16</f>
        <v>72182.867276496283</v>
      </c>
      <c r="F10" s="641">
        <f>tertiair!E16</f>
        <v>79.260922384318178</v>
      </c>
      <c r="G10" s="641">
        <f ca="1">tertiair!F16</f>
        <v>5604.8034826486983</v>
      </c>
      <c r="H10" s="641">
        <f>tertiair!G16</f>
        <v>0</v>
      </c>
      <c r="I10" s="641">
        <f>tertiair!H16</f>
        <v>0</v>
      </c>
      <c r="J10" s="641">
        <f>tertiair!I16</f>
        <v>0</v>
      </c>
      <c r="K10" s="641">
        <f>tertiair!J16</f>
        <v>4.6105204447653009E-2</v>
      </c>
      <c r="L10" s="641">
        <f>tertiair!K16</f>
        <v>0</v>
      </c>
      <c r="M10" s="641">
        <f ca="1">tertiair!L16</f>
        <v>0</v>
      </c>
      <c r="N10" s="641">
        <f>tertiair!M16</f>
        <v>0</v>
      </c>
      <c r="O10" s="641">
        <f ca="1">tertiair!N16</f>
        <v>1696.366128051988</v>
      </c>
      <c r="P10" s="641">
        <f>tertiair!O16</f>
        <v>4.8972607658411542</v>
      </c>
      <c r="Q10" s="642">
        <f>tertiair!P16</f>
        <v>105.07827661299004</v>
      </c>
      <c r="R10" s="644">
        <f ca="1">SUM(C10:Q10)</f>
        <v>106303.13624330741</v>
      </c>
      <c r="S10" s="67"/>
    </row>
    <row r="11" spans="1:19" s="440" customFormat="1">
      <c r="A11" s="761" t="s">
        <v>213</v>
      </c>
      <c r="B11" s="766"/>
      <c r="C11" s="641">
        <f>huishoudens!B8</f>
        <v>31279.304061048148</v>
      </c>
      <c r="D11" s="641">
        <f>huishoudens!C8</f>
        <v>0</v>
      </c>
      <c r="E11" s="641">
        <f>huishoudens!D8</f>
        <v>86726.424906660002</v>
      </c>
      <c r="F11" s="641">
        <f>huishoudens!E8</f>
        <v>1178.5739889290619</v>
      </c>
      <c r="G11" s="641">
        <f>huishoudens!F8</f>
        <v>22680.829206060022</v>
      </c>
      <c r="H11" s="641">
        <f>huishoudens!G8</f>
        <v>0</v>
      </c>
      <c r="I11" s="641">
        <f>huishoudens!H8</f>
        <v>0</v>
      </c>
      <c r="J11" s="641">
        <f>huishoudens!I8</f>
        <v>0</v>
      </c>
      <c r="K11" s="641">
        <f>huishoudens!J8</f>
        <v>116.06021711502738</v>
      </c>
      <c r="L11" s="641">
        <f>huishoudens!K8</f>
        <v>0</v>
      </c>
      <c r="M11" s="641">
        <f>huishoudens!L8</f>
        <v>0</v>
      </c>
      <c r="N11" s="641">
        <f>huishoudens!M8</f>
        <v>0</v>
      </c>
      <c r="O11" s="641">
        <f>huishoudens!N8</f>
        <v>9492.6669978408408</v>
      </c>
      <c r="P11" s="641">
        <f>huishoudens!O8</f>
        <v>190.45998906115506</v>
      </c>
      <c r="Q11" s="642">
        <f>huishoudens!P8</f>
        <v>179.07730823064537</v>
      </c>
      <c r="R11" s="644">
        <f>SUM(C11:Q11)</f>
        <v>151843.3966749449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40197.332533000001</v>
      </c>
      <c r="D13" s="641">
        <f>industrie!C18</f>
        <v>0</v>
      </c>
      <c r="E13" s="641">
        <f>industrie!D18</f>
        <v>11296.187370247999</v>
      </c>
      <c r="F13" s="641">
        <f>industrie!E18</f>
        <v>1742.4162873400583</v>
      </c>
      <c r="G13" s="641">
        <f>industrie!F18</f>
        <v>7082.1865037827693</v>
      </c>
      <c r="H13" s="641">
        <f>industrie!G18</f>
        <v>0</v>
      </c>
      <c r="I13" s="641">
        <f>industrie!H18</f>
        <v>0</v>
      </c>
      <c r="J13" s="641">
        <f>industrie!I18</f>
        <v>0</v>
      </c>
      <c r="K13" s="641">
        <f>industrie!J18</f>
        <v>140.63245896002061</v>
      </c>
      <c r="L13" s="641">
        <f>industrie!K18</f>
        <v>0</v>
      </c>
      <c r="M13" s="641">
        <f>industrie!L18</f>
        <v>0</v>
      </c>
      <c r="N13" s="641">
        <f>industrie!M18</f>
        <v>0</v>
      </c>
      <c r="O13" s="641">
        <f>industrie!N18</f>
        <v>1465.3037574040536</v>
      </c>
      <c r="P13" s="641">
        <f>industrie!O18</f>
        <v>0</v>
      </c>
      <c r="Q13" s="642">
        <f>industrie!P18</f>
        <v>0</v>
      </c>
      <c r="R13" s="644">
        <f>SUM(C13:Q13)</f>
        <v>61924.058910734893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98074.31052804814</v>
      </c>
      <c r="D16" s="677">
        <f t="shared" ref="D16:R16" ca="1" si="0">SUM(D9:D15)</f>
        <v>32.142857142857146</v>
      </c>
      <c r="E16" s="677">
        <f t="shared" ca="1" si="0"/>
        <v>170205.47955340429</v>
      </c>
      <c r="F16" s="677">
        <f t="shared" si="0"/>
        <v>3000.2511986534382</v>
      </c>
      <c r="G16" s="677">
        <f t="shared" ca="1" si="0"/>
        <v>35367.819192491486</v>
      </c>
      <c r="H16" s="677">
        <f t="shared" si="0"/>
        <v>0</v>
      </c>
      <c r="I16" s="677">
        <f t="shared" si="0"/>
        <v>0</v>
      </c>
      <c r="J16" s="677">
        <f t="shared" si="0"/>
        <v>0</v>
      </c>
      <c r="K16" s="677">
        <f t="shared" si="0"/>
        <v>256.73878127949564</v>
      </c>
      <c r="L16" s="677">
        <f t="shared" si="0"/>
        <v>0</v>
      </c>
      <c r="M16" s="677">
        <f t="shared" ca="1" si="0"/>
        <v>0</v>
      </c>
      <c r="N16" s="677">
        <f t="shared" si="0"/>
        <v>0</v>
      </c>
      <c r="O16" s="677">
        <f t="shared" ca="1" si="0"/>
        <v>12654.336883296883</v>
      </c>
      <c r="P16" s="677">
        <f t="shared" si="0"/>
        <v>195.35724982699622</v>
      </c>
      <c r="Q16" s="677">
        <f t="shared" si="0"/>
        <v>284.15558484363544</v>
      </c>
      <c r="R16" s="677">
        <f t="shared" ca="1" si="0"/>
        <v>320070.59182898724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1225.9735262643112</v>
      </c>
      <c r="D19" s="641">
        <f>transport!C54</f>
        <v>0</v>
      </c>
      <c r="E19" s="641">
        <f>transport!D54</f>
        <v>0</v>
      </c>
      <c r="F19" s="641">
        <f>transport!E54</f>
        <v>0</v>
      </c>
      <c r="G19" s="641">
        <f>transport!F54</f>
        <v>0</v>
      </c>
      <c r="H19" s="641">
        <f>transport!G54</f>
        <v>992.42815812618551</v>
      </c>
      <c r="I19" s="641">
        <f>transport!H54</f>
        <v>0</v>
      </c>
      <c r="J19" s="641">
        <f>transport!I54</f>
        <v>0</v>
      </c>
      <c r="K19" s="641">
        <f>transport!J54</f>
        <v>0</v>
      </c>
      <c r="L19" s="641">
        <f>transport!K54</f>
        <v>0</v>
      </c>
      <c r="M19" s="641">
        <f>transport!L54</f>
        <v>0</v>
      </c>
      <c r="N19" s="641">
        <f>transport!M54</f>
        <v>56.134692107784389</v>
      </c>
      <c r="O19" s="641">
        <f>transport!N54</f>
        <v>0</v>
      </c>
      <c r="P19" s="641">
        <f>transport!O54</f>
        <v>0</v>
      </c>
      <c r="Q19" s="642">
        <f>transport!P54</f>
        <v>0</v>
      </c>
      <c r="R19" s="644">
        <f>SUM(C19:Q19)</f>
        <v>2274.5363764982808</v>
      </c>
      <c r="S19" s="67"/>
    </row>
    <row r="20" spans="1:19" s="440" customFormat="1">
      <c r="A20" s="761" t="s">
        <v>295</v>
      </c>
      <c r="B20" s="766"/>
      <c r="C20" s="641">
        <f>transport!B14</f>
        <v>214.23064108754321</v>
      </c>
      <c r="D20" s="641">
        <f>transport!C14</f>
        <v>0</v>
      </c>
      <c r="E20" s="641">
        <f>transport!D14</f>
        <v>316.43080340143354</v>
      </c>
      <c r="F20" s="641">
        <f>transport!E14</f>
        <v>315.39162088008754</v>
      </c>
      <c r="G20" s="641">
        <f>transport!F14</f>
        <v>0</v>
      </c>
      <c r="H20" s="641">
        <f>transport!G14</f>
        <v>191972.328238519</v>
      </c>
      <c r="I20" s="641">
        <f>transport!H14</f>
        <v>31413.078188991516</v>
      </c>
      <c r="J20" s="641">
        <f>transport!I14</f>
        <v>0</v>
      </c>
      <c r="K20" s="641">
        <f>transport!J14</f>
        <v>0</v>
      </c>
      <c r="L20" s="641">
        <f>transport!K14</f>
        <v>0</v>
      </c>
      <c r="M20" s="641">
        <f>transport!L14</f>
        <v>0</v>
      </c>
      <c r="N20" s="641">
        <f>transport!M14</f>
        <v>13145.480060855905</v>
      </c>
      <c r="O20" s="641">
        <f>transport!N14</f>
        <v>0</v>
      </c>
      <c r="P20" s="641">
        <f>transport!O14</f>
        <v>0</v>
      </c>
      <c r="Q20" s="642">
        <f>transport!P14</f>
        <v>0</v>
      </c>
      <c r="R20" s="644">
        <f>SUM(C20:Q20)</f>
        <v>237376.93955373549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1440.2041673518545</v>
      </c>
      <c r="D22" s="764">
        <f t="shared" ref="D22:R22" si="1">SUM(D18:D21)</f>
        <v>0</v>
      </c>
      <c r="E22" s="764">
        <f t="shared" si="1"/>
        <v>316.43080340143354</v>
      </c>
      <c r="F22" s="764">
        <f t="shared" si="1"/>
        <v>315.39162088008754</v>
      </c>
      <c r="G22" s="764">
        <f t="shared" si="1"/>
        <v>0</v>
      </c>
      <c r="H22" s="764">
        <f t="shared" si="1"/>
        <v>192964.75639664519</v>
      </c>
      <c r="I22" s="764">
        <f t="shared" si="1"/>
        <v>31413.078188991516</v>
      </c>
      <c r="J22" s="764">
        <f t="shared" si="1"/>
        <v>0</v>
      </c>
      <c r="K22" s="764">
        <f t="shared" si="1"/>
        <v>0</v>
      </c>
      <c r="L22" s="764">
        <f t="shared" si="1"/>
        <v>0</v>
      </c>
      <c r="M22" s="764">
        <f t="shared" si="1"/>
        <v>0</v>
      </c>
      <c r="N22" s="764">
        <f t="shared" si="1"/>
        <v>13201.614752963689</v>
      </c>
      <c r="O22" s="764">
        <f t="shared" si="1"/>
        <v>0</v>
      </c>
      <c r="P22" s="764">
        <f t="shared" si="1"/>
        <v>0</v>
      </c>
      <c r="Q22" s="764">
        <f t="shared" si="1"/>
        <v>0</v>
      </c>
      <c r="R22" s="764">
        <f t="shared" si="1"/>
        <v>239651.47593023378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1279.1660160000001</v>
      </c>
      <c r="D24" s="641">
        <f>+landbouw!C8</f>
        <v>45218.571428571428</v>
      </c>
      <c r="E24" s="641">
        <f>+landbouw!D8</f>
        <v>0</v>
      </c>
      <c r="F24" s="641">
        <f>+landbouw!E8</f>
        <v>51.967974072271296</v>
      </c>
      <c r="G24" s="641">
        <f>+landbouw!F8</f>
        <v>4524.8577908907282</v>
      </c>
      <c r="H24" s="641">
        <f>+landbouw!G8</f>
        <v>0</v>
      </c>
      <c r="I24" s="641">
        <f>+landbouw!H8</f>
        <v>0</v>
      </c>
      <c r="J24" s="641">
        <f>+landbouw!I8</f>
        <v>0</v>
      </c>
      <c r="K24" s="641">
        <f>+landbouw!J8</f>
        <v>363.43758074501619</v>
      </c>
      <c r="L24" s="641">
        <f>+landbouw!K8</f>
        <v>0</v>
      </c>
      <c r="M24" s="641">
        <f>+landbouw!L8</f>
        <v>0</v>
      </c>
      <c r="N24" s="641">
        <f>+landbouw!M8</f>
        <v>0</v>
      </c>
      <c r="O24" s="641">
        <f>+landbouw!N8</f>
        <v>0</v>
      </c>
      <c r="P24" s="641">
        <f>+landbouw!O8</f>
        <v>0</v>
      </c>
      <c r="Q24" s="642">
        <f>+landbouw!P8</f>
        <v>0</v>
      </c>
      <c r="R24" s="644">
        <f>SUM(C24:Q24)</f>
        <v>51438.000790279453</v>
      </c>
      <c r="S24" s="67"/>
    </row>
    <row r="25" spans="1:19" s="440" customFormat="1" ht="15" thickBot="1">
      <c r="A25" s="783" t="s">
        <v>683</v>
      </c>
      <c r="B25" s="901"/>
      <c r="C25" s="902">
        <f>IF(Onbekend_ele_kWh="---",0,Onbekend_ele_kWh)/1000+IF(REST_rest_ele_kWh="---",0,REST_rest_ele_kWh)/1000</f>
        <v>785.72226999999998</v>
      </c>
      <c r="D25" s="902"/>
      <c r="E25" s="902">
        <f>IF(onbekend_gas_kWh="---",0,onbekend_gas_kWh)/1000+IF(REST_rest_gas_kWh="---",0,REST_rest_gas_kWh)/1000</f>
        <v>2076.0823789999999</v>
      </c>
      <c r="F25" s="902"/>
      <c r="G25" s="902"/>
      <c r="H25" s="902"/>
      <c r="I25" s="902"/>
      <c r="J25" s="902"/>
      <c r="K25" s="902"/>
      <c r="L25" s="902"/>
      <c r="M25" s="902"/>
      <c r="N25" s="902"/>
      <c r="O25" s="902"/>
      <c r="P25" s="902"/>
      <c r="Q25" s="903"/>
      <c r="R25" s="644">
        <f>SUM(C25:Q25)</f>
        <v>2861.8046489999997</v>
      </c>
      <c r="S25" s="67"/>
    </row>
    <row r="26" spans="1:19" s="440" customFormat="1" ht="15.75" thickBot="1">
      <c r="A26" s="649" t="s">
        <v>684</v>
      </c>
      <c r="B26" s="769"/>
      <c r="C26" s="764">
        <f>SUM(C24:C25)</f>
        <v>2064.8882860000003</v>
      </c>
      <c r="D26" s="764">
        <f t="shared" ref="D26:R26" si="2">SUM(D24:D25)</f>
        <v>45218.571428571428</v>
      </c>
      <c r="E26" s="764">
        <f t="shared" si="2"/>
        <v>2076.0823789999999</v>
      </c>
      <c r="F26" s="764">
        <f t="shared" si="2"/>
        <v>51.967974072271296</v>
      </c>
      <c r="G26" s="764">
        <f t="shared" si="2"/>
        <v>4524.8577908907282</v>
      </c>
      <c r="H26" s="764">
        <f t="shared" si="2"/>
        <v>0</v>
      </c>
      <c r="I26" s="764">
        <f t="shared" si="2"/>
        <v>0</v>
      </c>
      <c r="J26" s="764">
        <f t="shared" si="2"/>
        <v>0</v>
      </c>
      <c r="K26" s="764">
        <f t="shared" si="2"/>
        <v>363.43758074501619</v>
      </c>
      <c r="L26" s="764">
        <f t="shared" si="2"/>
        <v>0</v>
      </c>
      <c r="M26" s="764">
        <f t="shared" si="2"/>
        <v>0</v>
      </c>
      <c r="N26" s="764">
        <f t="shared" si="2"/>
        <v>0</v>
      </c>
      <c r="O26" s="764">
        <f t="shared" si="2"/>
        <v>0</v>
      </c>
      <c r="P26" s="764">
        <f t="shared" si="2"/>
        <v>0</v>
      </c>
      <c r="Q26" s="764">
        <f t="shared" si="2"/>
        <v>0</v>
      </c>
      <c r="R26" s="764">
        <f t="shared" si="2"/>
        <v>54299.805439279451</v>
      </c>
      <c r="S26" s="67"/>
    </row>
    <row r="27" spans="1:19" s="440" customFormat="1" ht="17.25" thickTop="1" thickBot="1">
      <c r="A27" s="650" t="s">
        <v>109</v>
      </c>
      <c r="B27" s="756"/>
      <c r="C27" s="651">
        <f ca="1">C22+C16+C26</f>
        <v>101579.4029814</v>
      </c>
      <c r="D27" s="651">
        <f t="shared" ref="D27:R27" ca="1" si="3">D22+D16+D26</f>
        <v>45250.714285714283</v>
      </c>
      <c r="E27" s="651">
        <f t="shared" ca="1" si="3"/>
        <v>172597.99273580572</v>
      </c>
      <c r="F27" s="651">
        <f t="shared" si="3"/>
        <v>3367.610793605797</v>
      </c>
      <c r="G27" s="651">
        <f t="shared" ca="1" si="3"/>
        <v>39892.676983382218</v>
      </c>
      <c r="H27" s="651">
        <f t="shared" si="3"/>
        <v>192964.75639664519</v>
      </c>
      <c r="I27" s="651">
        <f t="shared" si="3"/>
        <v>31413.078188991516</v>
      </c>
      <c r="J27" s="651">
        <f t="shared" si="3"/>
        <v>0</v>
      </c>
      <c r="K27" s="651">
        <f t="shared" si="3"/>
        <v>620.17636202451183</v>
      </c>
      <c r="L27" s="651">
        <f t="shared" si="3"/>
        <v>0</v>
      </c>
      <c r="M27" s="651">
        <f t="shared" ca="1" si="3"/>
        <v>0</v>
      </c>
      <c r="N27" s="651">
        <f t="shared" si="3"/>
        <v>13201.614752963689</v>
      </c>
      <c r="O27" s="651">
        <f t="shared" ca="1" si="3"/>
        <v>12654.336883296883</v>
      </c>
      <c r="P27" s="651">
        <f t="shared" si="3"/>
        <v>195.35724982699622</v>
      </c>
      <c r="Q27" s="651">
        <f t="shared" si="3"/>
        <v>284.15558484363544</v>
      </c>
      <c r="R27" s="651">
        <f t="shared" ca="1" si="3"/>
        <v>614021.87319850037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5713.5299117198174</v>
      </c>
      <c r="D40" s="641">
        <f ca="1">tertiair!C20</f>
        <v>7.6386554621848735</v>
      </c>
      <c r="E40" s="641">
        <f ca="1">tertiair!D20</f>
        <v>14580.93918985225</v>
      </c>
      <c r="F40" s="641">
        <f>tertiair!E20</f>
        <v>17.992229381240229</v>
      </c>
      <c r="G40" s="641">
        <f ca="1">tertiair!F20</f>
        <v>1496.4825298672026</v>
      </c>
      <c r="H40" s="641">
        <f>tertiair!G20</f>
        <v>0</v>
      </c>
      <c r="I40" s="641">
        <f>tertiair!H20</f>
        <v>0</v>
      </c>
      <c r="J40" s="641">
        <f>tertiair!I20</f>
        <v>0</v>
      </c>
      <c r="K40" s="641">
        <f>tertiair!J20</f>
        <v>1.6321242374469164E-2</v>
      </c>
      <c r="L40" s="641">
        <f>tertiair!K20</f>
        <v>0</v>
      </c>
      <c r="M40" s="641">
        <f ca="1">tertiair!L20</f>
        <v>0</v>
      </c>
      <c r="N40" s="641">
        <f>tertiair!M20</f>
        <v>0</v>
      </c>
      <c r="O40" s="641">
        <f ca="1">tertiair!N20</f>
        <v>0</v>
      </c>
      <c r="P40" s="641">
        <f>tertiair!O20</f>
        <v>0</v>
      </c>
      <c r="Q40" s="724">
        <f>tertiair!P20</f>
        <v>0</v>
      </c>
      <c r="R40" s="802">
        <f t="shared" ca="1" si="4"/>
        <v>21816.598837525074</v>
      </c>
    </row>
    <row r="41" spans="1:18">
      <c r="A41" s="774" t="s">
        <v>213</v>
      </c>
      <c r="B41" s="781"/>
      <c r="C41" s="641">
        <f ca="1">huishoudens!B12</f>
        <v>6719.205589708532</v>
      </c>
      <c r="D41" s="641">
        <f ca="1">huishoudens!C12</f>
        <v>0</v>
      </c>
      <c r="E41" s="641">
        <f>huishoudens!D12</f>
        <v>17518.737831145321</v>
      </c>
      <c r="F41" s="641">
        <f>huishoudens!E12</f>
        <v>267.53629548689707</v>
      </c>
      <c r="G41" s="641">
        <f>huishoudens!F12</f>
        <v>6055.7813980180263</v>
      </c>
      <c r="H41" s="641">
        <f>huishoudens!G12</f>
        <v>0</v>
      </c>
      <c r="I41" s="641">
        <f>huishoudens!H12</f>
        <v>0</v>
      </c>
      <c r="J41" s="641">
        <f>huishoudens!I12</f>
        <v>0</v>
      </c>
      <c r="K41" s="641">
        <f>huishoudens!J12</f>
        <v>41.085316858719693</v>
      </c>
      <c r="L41" s="641">
        <f>huishoudens!K12</f>
        <v>0</v>
      </c>
      <c r="M41" s="641">
        <f>huishoudens!L12</f>
        <v>0</v>
      </c>
      <c r="N41" s="641">
        <f>huishoudens!M12</f>
        <v>0</v>
      </c>
      <c r="O41" s="641">
        <f>huishoudens!N12</f>
        <v>0</v>
      </c>
      <c r="P41" s="641">
        <f>huishoudens!O12</f>
        <v>0</v>
      </c>
      <c r="Q41" s="724">
        <f>huishoudens!P12</f>
        <v>0</v>
      </c>
      <c r="R41" s="802">
        <f t="shared" ca="1" si="4"/>
        <v>30602.346431217495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8634.9153075771974</v>
      </c>
      <c r="D43" s="641">
        <f ca="1">industrie!C22</f>
        <v>0</v>
      </c>
      <c r="E43" s="641">
        <f>industrie!D22</f>
        <v>2281.8298487900961</v>
      </c>
      <c r="F43" s="641">
        <f>industrie!E22</f>
        <v>395.52849722619322</v>
      </c>
      <c r="G43" s="641">
        <f>industrie!F22</f>
        <v>1890.9437965099994</v>
      </c>
      <c r="H43" s="641">
        <f>industrie!G22</f>
        <v>0</v>
      </c>
      <c r="I43" s="641">
        <f>industrie!H22</f>
        <v>0</v>
      </c>
      <c r="J43" s="641">
        <f>industrie!I22</f>
        <v>0</v>
      </c>
      <c r="K43" s="641">
        <f>industrie!J22</f>
        <v>49.783890471847293</v>
      </c>
      <c r="L43" s="641">
        <f>industrie!K22</f>
        <v>0</v>
      </c>
      <c r="M43" s="641">
        <f>industrie!L22</f>
        <v>0</v>
      </c>
      <c r="N43" s="641">
        <f>industrie!M22</f>
        <v>0</v>
      </c>
      <c r="O43" s="641">
        <f>industrie!N22</f>
        <v>0</v>
      </c>
      <c r="P43" s="641">
        <f>industrie!O22</f>
        <v>0</v>
      </c>
      <c r="Q43" s="724">
        <f>industrie!P22</f>
        <v>0</v>
      </c>
      <c r="R43" s="801">
        <f t="shared" ca="1" si="4"/>
        <v>13253.001340575331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21067.650809005547</v>
      </c>
      <c r="D46" s="677">
        <f t="shared" ref="D46:Q46" ca="1" si="5">SUM(D39:D45)</f>
        <v>7.6386554621848735</v>
      </c>
      <c r="E46" s="677">
        <f t="shared" ca="1" si="5"/>
        <v>34381.50686978767</v>
      </c>
      <c r="F46" s="677">
        <f t="shared" si="5"/>
        <v>681.05702209433048</v>
      </c>
      <c r="G46" s="677">
        <f t="shared" ca="1" si="5"/>
        <v>9443.2077243952281</v>
      </c>
      <c r="H46" s="677">
        <f t="shared" si="5"/>
        <v>0</v>
      </c>
      <c r="I46" s="677">
        <f t="shared" si="5"/>
        <v>0</v>
      </c>
      <c r="J46" s="677">
        <f t="shared" si="5"/>
        <v>0</v>
      </c>
      <c r="K46" s="677">
        <f t="shared" si="5"/>
        <v>90.885528572941453</v>
      </c>
      <c r="L46" s="677">
        <f t="shared" si="5"/>
        <v>0</v>
      </c>
      <c r="M46" s="677">
        <f t="shared" ca="1" si="5"/>
        <v>0</v>
      </c>
      <c r="N46" s="677">
        <f t="shared" si="5"/>
        <v>0</v>
      </c>
      <c r="O46" s="677">
        <f t="shared" ca="1" si="5"/>
        <v>0</v>
      </c>
      <c r="P46" s="677">
        <f t="shared" si="5"/>
        <v>0</v>
      </c>
      <c r="Q46" s="677">
        <f t="shared" si="5"/>
        <v>0</v>
      </c>
      <c r="R46" s="677">
        <f ca="1">SUM(R39:R45)</f>
        <v>65671.946609317893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263.3552253730611</v>
      </c>
      <c r="D49" s="641">
        <f ca="1">transport!C58</f>
        <v>0</v>
      </c>
      <c r="E49" s="641">
        <f>transport!D58</f>
        <v>0</v>
      </c>
      <c r="F49" s="641">
        <f>transport!E58</f>
        <v>0</v>
      </c>
      <c r="G49" s="641">
        <f>transport!F58</f>
        <v>0</v>
      </c>
      <c r="H49" s="641">
        <f>transport!G58</f>
        <v>264.97831821969157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528.33354359275268</v>
      </c>
    </row>
    <row r="50" spans="1:18">
      <c r="A50" s="777" t="s">
        <v>295</v>
      </c>
      <c r="B50" s="787"/>
      <c r="C50" s="647">
        <f ca="1">transport!B18</f>
        <v>46.019557157437198</v>
      </c>
      <c r="D50" s="647">
        <f>transport!C18</f>
        <v>0</v>
      </c>
      <c r="E50" s="647">
        <f>transport!D18</f>
        <v>63.919022287089575</v>
      </c>
      <c r="F50" s="647">
        <f>transport!E18</f>
        <v>71.593897939779879</v>
      </c>
      <c r="G50" s="647">
        <f>transport!F18</f>
        <v>0</v>
      </c>
      <c r="H50" s="647">
        <f>transport!G18</f>
        <v>51256.611639684575</v>
      </c>
      <c r="I50" s="647">
        <f>transport!H18</f>
        <v>7821.8564690588873</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59260.000586127775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309.37478253049829</v>
      </c>
      <c r="D52" s="677">
        <f t="shared" ref="D52:Q52" ca="1" si="6">SUM(D48:D51)</f>
        <v>0</v>
      </c>
      <c r="E52" s="677">
        <f t="shared" si="6"/>
        <v>63.919022287089575</v>
      </c>
      <c r="F52" s="677">
        <f t="shared" si="6"/>
        <v>71.593897939779879</v>
      </c>
      <c r="G52" s="677">
        <f t="shared" si="6"/>
        <v>0</v>
      </c>
      <c r="H52" s="677">
        <f t="shared" si="6"/>
        <v>51521.589957904267</v>
      </c>
      <c r="I52" s="677">
        <f t="shared" si="6"/>
        <v>7821.8564690588873</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59788.334129720526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274.7816712321183</v>
      </c>
      <c r="D54" s="647">
        <f ca="1">+landbouw!C12</f>
        <v>10746.06050420168</v>
      </c>
      <c r="E54" s="647">
        <f>+landbouw!D12</f>
        <v>0</v>
      </c>
      <c r="F54" s="647">
        <f>+landbouw!E12</f>
        <v>11.796730114405584</v>
      </c>
      <c r="G54" s="647">
        <f>+landbouw!F12</f>
        <v>1208.1370301678246</v>
      </c>
      <c r="H54" s="647">
        <f>+landbouw!G12</f>
        <v>0</v>
      </c>
      <c r="I54" s="647">
        <f>+landbouw!H12</f>
        <v>0</v>
      </c>
      <c r="J54" s="647">
        <f>+landbouw!I12</f>
        <v>0</v>
      </c>
      <c r="K54" s="647">
        <f>+landbouw!J12</f>
        <v>128.65690358373573</v>
      </c>
      <c r="L54" s="647">
        <f>+landbouw!K12</f>
        <v>0</v>
      </c>
      <c r="M54" s="647">
        <f>+landbouw!L12</f>
        <v>0</v>
      </c>
      <c r="N54" s="647">
        <f>+landbouw!M12</f>
        <v>0</v>
      </c>
      <c r="O54" s="647">
        <f>+landbouw!N12</f>
        <v>0</v>
      </c>
      <c r="P54" s="647">
        <f>+landbouw!O12</f>
        <v>0</v>
      </c>
      <c r="Q54" s="648">
        <f>+landbouw!P12</f>
        <v>0</v>
      </c>
      <c r="R54" s="676">
        <f ca="1">SUM(C54:Q54)</f>
        <v>12369.432839299765</v>
      </c>
    </row>
    <row r="55" spans="1:18" ht="15" thickBot="1">
      <c r="A55" s="777" t="s">
        <v>683</v>
      </c>
      <c r="B55" s="787"/>
      <c r="C55" s="647">
        <f ca="1">C25*'EF ele_warmte'!B12</f>
        <v>168.7834696781795</v>
      </c>
      <c r="D55" s="647"/>
      <c r="E55" s="647">
        <f>E25*EF_CO2_aardgas</f>
        <v>419.36864055800004</v>
      </c>
      <c r="F55" s="647"/>
      <c r="G55" s="647"/>
      <c r="H55" s="647"/>
      <c r="I55" s="647"/>
      <c r="J55" s="647"/>
      <c r="K55" s="647"/>
      <c r="L55" s="647"/>
      <c r="M55" s="647"/>
      <c r="N55" s="647"/>
      <c r="O55" s="647"/>
      <c r="P55" s="647"/>
      <c r="Q55" s="648"/>
      <c r="R55" s="676">
        <f ca="1">SUM(C55:Q55)</f>
        <v>588.15211023617951</v>
      </c>
    </row>
    <row r="56" spans="1:18" ht="15.75" thickBot="1">
      <c r="A56" s="775" t="s">
        <v>684</v>
      </c>
      <c r="B56" s="788"/>
      <c r="C56" s="677">
        <f ca="1">SUM(C54:C55)</f>
        <v>443.56514091029783</v>
      </c>
      <c r="D56" s="677">
        <f t="shared" ref="D56:Q56" ca="1" si="7">SUM(D54:D55)</f>
        <v>10746.06050420168</v>
      </c>
      <c r="E56" s="677">
        <f t="shared" si="7"/>
        <v>419.36864055800004</v>
      </c>
      <c r="F56" s="677">
        <f t="shared" si="7"/>
        <v>11.796730114405584</v>
      </c>
      <c r="G56" s="677">
        <f t="shared" si="7"/>
        <v>1208.1370301678246</v>
      </c>
      <c r="H56" s="677">
        <f t="shared" si="7"/>
        <v>0</v>
      </c>
      <c r="I56" s="677">
        <f t="shared" si="7"/>
        <v>0</v>
      </c>
      <c r="J56" s="677">
        <f t="shared" si="7"/>
        <v>0</v>
      </c>
      <c r="K56" s="677">
        <f t="shared" si="7"/>
        <v>128.65690358373573</v>
      </c>
      <c r="L56" s="677">
        <f t="shared" si="7"/>
        <v>0</v>
      </c>
      <c r="M56" s="677">
        <f t="shared" si="7"/>
        <v>0</v>
      </c>
      <c r="N56" s="677">
        <f t="shared" si="7"/>
        <v>0</v>
      </c>
      <c r="O56" s="677">
        <f t="shared" si="7"/>
        <v>0</v>
      </c>
      <c r="P56" s="677">
        <f t="shared" si="7"/>
        <v>0</v>
      </c>
      <c r="Q56" s="678">
        <f t="shared" si="7"/>
        <v>0</v>
      </c>
      <c r="R56" s="679">
        <f ca="1">SUM(R54:R55)</f>
        <v>12957.584949535945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21820.590732446344</v>
      </c>
      <c r="D61" s="685">
        <f t="shared" ref="D61:Q61" ca="1" si="8">D46+D52+D56</f>
        <v>10753.699159663864</v>
      </c>
      <c r="E61" s="685">
        <f t="shared" ca="1" si="8"/>
        <v>34864.794532632761</v>
      </c>
      <c r="F61" s="685">
        <f t="shared" si="8"/>
        <v>764.447650148516</v>
      </c>
      <c r="G61" s="685">
        <f t="shared" ca="1" si="8"/>
        <v>10651.344754563053</v>
      </c>
      <c r="H61" s="685">
        <f t="shared" si="8"/>
        <v>51521.589957904267</v>
      </c>
      <c r="I61" s="685">
        <f t="shared" si="8"/>
        <v>7821.8564690588873</v>
      </c>
      <c r="J61" s="685">
        <f t="shared" si="8"/>
        <v>0</v>
      </c>
      <c r="K61" s="685">
        <f t="shared" si="8"/>
        <v>219.54243215667719</v>
      </c>
      <c r="L61" s="685">
        <f t="shared" si="8"/>
        <v>0</v>
      </c>
      <c r="M61" s="685">
        <f t="shared" ca="1" si="8"/>
        <v>0</v>
      </c>
      <c r="N61" s="685">
        <f t="shared" si="8"/>
        <v>0</v>
      </c>
      <c r="O61" s="685">
        <f t="shared" ca="1" si="8"/>
        <v>0</v>
      </c>
      <c r="P61" s="685">
        <f t="shared" si="8"/>
        <v>0</v>
      </c>
      <c r="Q61" s="685">
        <f t="shared" si="8"/>
        <v>0</v>
      </c>
      <c r="R61" s="685">
        <f ca="1">R46+R52+R56</f>
        <v>138417.86568857438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0.21481314215286212</v>
      </c>
      <c r="D63" s="731">
        <f t="shared" ca="1" si="9"/>
        <v>0.23764705882352938</v>
      </c>
      <c r="E63" s="927">
        <f t="shared" ca="1" si="9"/>
        <v>0.20200000000000004</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5229.6888606686134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31675.5</v>
      </c>
      <c r="D76" s="910">
        <f>'lokale energieproductie'!C8</f>
        <v>37265.294117647056</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7527.5894117647058</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5229.6888606686134</v>
      </c>
      <c r="C78" s="703">
        <f>SUM(C72:C77)</f>
        <v>31675.5</v>
      </c>
      <c r="D78" s="704">
        <f t="shared" ref="D78:H78" si="10">SUM(D76:D77)</f>
        <v>37265.294117647056</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7527.5894117647058</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45250.714285714283</v>
      </c>
      <c r="D87" s="727">
        <f>'lokale energieproductie'!C17</f>
        <v>53236.134453781502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10753.699159663864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45250.714285714283</v>
      </c>
      <c r="D90" s="703">
        <f t="shared" ref="D90:H90" si="12">SUM(D87:D89)</f>
        <v>53236.134453781502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10753.699159663864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31279.304061048148</v>
      </c>
      <c r="C4" s="444">
        <f>huishoudens!C8</f>
        <v>0</v>
      </c>
      <c r="D4" s="444">
        <f>huishoudens!D8</f>
        <v>86726.424906660002</v>
      </c>
      <c r="E4" s="444">
        <f>huishoudens!E8</f>
        <v>1178.5739889290619</v>
      </c>
      <c r="F4" s="444">
        <f>huishoudens!F8</f>
        <v>22680.829206060022</v>
      </c>
      <c r="G4" s="444">
        <f>huishoudens!G8</f>
        <v>0</v>
      </c>
      <c r="H4" s="444">
        <f>huishoudens!H8</f>
        <v>0</v>
      </c>
      <c r="I4" s="444">
        <f>huishoudens!I8</f>
        <v>0</v>
      </c>
      <c r="J4" s="444">
        <f>huishoudens!J8</f>
        <v>116.06021711502738</v>
      </c>
      <c r="K4" s="444">
        <f>huishoudens!K8</f>
        <v>0</v>
      </c>
      <c r="L4" s="444">
        <f>huishoudens!L8</f>
        <v>0</v>
      </c>
      <c r="M4" s="444">
        <f>huishoudens!M8</f>
        <v>0</v>
      </c>
      <c r="N4" s="444">
        <f>huishoudens!N8</f>
        <v>9492.6669978408408</v>
      </c>
      <c r="O4" s="444">
        <f>huishoudens!O8</f>
        <v>190.45998906115506</v>
      </c>
      <c r="P4" s="445">
        <f>huishoudens!P8</f>
        <v>179.07730823064537</v>
      </c>
      <c r="Q4" s="446">
        <f>SUM(B4:P4)</f>
        <v>151843.3966749449</v>
      </c>
    </row>
    <row r="5" spans="1:17">
      <c r="A5" s="443" t="s">
        <v>149</v>
      </c>
      <c r="B5" s="444">
        <f ca="1">tertiair!B16</f>
        <v>25327.153835000001</v>
      </c>
      <c r="C5" s="444">
        <f ca="1">tertiair!C16</f>
        <v>32.142857142857146</v>
      </c>
      <c r="D5" s="444">
        <f ca="1">tertiair!D16</f>
        <v>72182.867276496283</v>
      </c>
      <c r="E5" s="444">
        <f>tertiair!E16</f>
        <v>79.260922384318178</v>
      </c>
      <c r="F5" s="444">
        <f ca="1">tertiair!F16</f>
        <v>5604.8034826486983</v>
      </c>
      <c r="G5" s="444">
        <f>tertiair!G16</f>
        <v>0</v>
      </c>
      <c r="H5" s="444">
        <f>tertiair!H16</f>
        <v>0</v>
      </c>
      <c r="I5" s="444">
        <f>tertiair!I16</f>
        <v>0</v>
      </c>
      <c r="J5" s="444">
        <f>tertiair!J16</f>
        <v>4.6105204447653009E-2</v>
      </c>
      <c r="K5" s="444">
        <f>tertiair!K16</f>
        <v>0</v>
      </c>
      <c r="L5" s="444">
        <f ca="1">tertiair!L16</f>
        <v>0</v>
      </c>
      <c r="M5" s="444">
        <f>tertiair!M16</f>
        <v>0</v>
      </c>
      <c r="N5" s="444">
        <f ca="1">tertiair!N16</f>
        <v>1696.366128051988</v>
      </c>
      <c r="O5" s="444">
        <f>tertiair!O16</f>
        <v>4.8972607658411542</v>
      </c>
      <c r="P5" s="445">
        <f>tertiair!P16</f>
        <v>105.07827661299004</v>
      </c>
      <c r="Q5" s="443">
        <f t="shared" ref="Q5:Q14" ca="1" si="0">SUM(B5:P5)</f>
        <v>105032.61614430741</v>
      </c>
    </row>
    <row r="6" spans="1:17">
      <c r="A6" s="443" t="s">
        <v>187</v>
      </c>
      <c r="B6" s="444">
        <f>'openbare verlichting'!B8</f>
        <v>1270.5200989999998</v>
      </c>
      <c r="C6" s="444"/>
      <c r="D6" s="444"/>
      <c r="E6" s="444"/>
      <c r="F6" s="444"/>
      <c r="G6" s="444"/>
      <c r="H6" s="444"/>
      <c r="I6" s="444"/>
      <c r="J6" s="444"/>
      <c r="K6" s="444"/>
      <c r="L6" s="444"/>
      <c r="M6" s="444"/>
      <c r="N6" s="444"/>
      <c r="O6" s="444"/>
      <c r="P6" s="445"/>
      <c r="Q6" s="443">
        <f t="shared" si="0"/>
        <v>1270.5200989999998</v>
      </c>
    </row>
    <row r="7" spans="1:17">
      <c r="A7" s="443" t="s">
        <v>105</v>
      </c>
      <c r="B7" s="444">
        <f>landbouw!B8</f>
        <v>1279.1660160000001</v>
      </c>
      <c r="C7" s="444">
        <f>landbouw!C8</f>
        <v>45218.571428571428</v>
      </c>
      <c r="D7" s="444">
        <f>landbouw!D8</f>
        <v>0</v>
      </c>
      <c r="E7" s="444">
        <f>landbouw!E8</f>
        <v>51.967974072271296</v>
      </c>
      <c r="F7" s="444">
        <f>landbouw!F8</f>
        <v>4524.8577908907282</v>
      </c>
      <c r="G7" s="444">
        <f>landbouw!G8</f>
        <v>0</v>
      </c>
      <c r="H7" s="444">
        <f>landbouw!H8</f>
        <v>0</v>
      </c>
      <c r="I7" s="444">
        <f>landbouw!I8</f>
        <v>0</v>
      </c>
      <c r="J7" s="444">
        <f>landbouw!J8</f>
        <v>363.43758074501619</v>
      </c>
      <c r="K7" s="444">
        <f>landbouw!K8</f>
        <v>0</v>
      </c>
      <c r="L7" s="444">
        <f>landbouw!L8</f>
        <v>0</v>
      </c>
      <c r="M7" s="444">
        <f>landbouw!M8</f>
        <v>0</v>
      </c>
      <c r="N7" s="444">
        <f>landbouw!N8</f>
        <v>0</v>
      </c>
      <c r="O7" s="444">
        <f>landbouw!O8</f>
        <v>0</v>
      </c>
      <c r="P7" s="445">
        <f>landbouw!P8</f>
        <v>0</v>
      </c>
      <c r="Q7" s="443">
        <f t="shared" si="0"/>
        <v>51438.000790279453</v>
      </c>
    </row>
    <row r="8" spans="1:17">
      <c r="A8" s="443" t="s">
        <v>587</v>
      </c>
      <c r="B8" s="444">
        <f>industrie!B18</f>
        <v>40197.332533000001</v>
      </c>
      <c r="C8" s="444">
        <f>industrie!C18</f>
        <v>0</v>
      </c>
      <c r="D8" s="444">
        <f>industrie!D18</f>
        <v>11296.187370247999</v>
      </c>
      <c r="E8" s="444">
        <f>industrie!E18</f>
        <v>1742.4162873400583</v>
      </c>
      <c r="F8" s="444">
        <f>industrie!F18</f>
        <v>7082.1865037827693</v>
      </c>
      <c r="G8" s="444">
        <f>industrie!G18</f>
        <v>0</v>
      </c>
      <c r="H8" s="444">
        <f>industrie!H18</f>
        <v>0</v>
      </c>
      <c r="I8" s="444">
        <f>industrie!I18</f>
        <v>0</v>
      </c>
      <c r="J8" s="444">
        <f>industrie!J18</f>
        <v>140.63245896002061</v>
      </c>
      <c r="K8" s="444">
        <f>industrie!K18</f>
        <v>0</v>
      </c>
      <c r="L8" s="444">
        <f>industrie!L18</f>
        <v>0</v>
      </c>
      <c r="M8" s="444">
        <f>industrie!M18</f>
        <v>0</v>
      </c>
      <c r="N8" s="444">
        <f>industrie!N18</f>
        <v>1465.3037574040536</v>
      </c>
      <c r="O8" s="444">
        <f>industrie!O18</f>
        <v>0</v>
      </c>
      <c r="P8" s="445">
        <f>industrie!P18</f>
        <v>0</v>
      </c>
      <c r="Q8" s="443">
        <f t="shared" si="0"/>
        <v>61924.058910734893</v>
      </c>
    </row>
    <row r="9" spans="1:17" s="449" customFormat="1">
      <c r="A9" s="447" t="s">
        <v>536</v>
      </c>
      <c r="B9" s="448">
        <f>transport!B14</f>
        <v>214.23064108754321</v>
      </c>
      <c r="C9" s="448">
        <f>transport!C14</f>
        <v>0</v>
      </c>
      <c r="D9" s="448">
        <f>transport!D14</f>
        <v>316.43080340143354</v>
      </c>
      <c r="E9" s="448">
        <f>transport!E14</f>
        <v>315.39162088008754</v>
      </c>
      <c r="F9" s="448">
        <f>transport!F14</f>
        <v>0</v>
      </c>
      <c r="G9" s="448">
        <f>transport!G14</f>
        <v>191972.328238519</v>
      </c>
      <c r="H9" s="448">
        <f>transport!H14</f>
        <v>31413.078188991516</v>
      </c>
      <c r="I9" s="448">
        <f>transport!I14</f>
        <v>0</v>
      </c>
      <c r="J9" s="448">
        <f>transport!J14</f>
        <v>0</v>
      </c>
      <c r="K9" s="448">
        <f>transport!K14</f>
        <v>0</v>
      </c>
      <c r="L9" s="448">
        <f>transport!L14</f>
        <v>0</v>
      </c>
      <c r="M9" s="448">
        <f>transport!M14</f>
        <v>13145.480060855905</v>
      </c>
      <c r="N9" s="448">
        <f>transport!N14</f>
        <v>0</v>
      </c>
      <c r="O9" s="448">
        <f>transport!O14</f>
        <v>0</v>
      </c>
      <c r="P9" s="448">
        <f>transport!P14</f>
        <v>0</v>
      </c>
      <c r="Q9" s="447">
        <f>SUM(B9:P9)</f>
        <v>237376.93955373549</v>
      </c>
    </row>
    <row r="10" spans="1:17">
      <c r="A10" s="443" t="s">
        <v>526</v>
      </c>
      <c r="B10" s="444">
        <f>transport!B54</f>
        <v>1225.9735262643112</v>
      </c>
      <c r="C10" s="444">
        <f>transport!C54</f>
        <v>0</v>
      </c>
      <c r="D10" s="444">
        <f>transport!D54</f>
        <v>0</v>
      </c>
      <c r="E10" s="444">
        <f>transport!E54</f>
        <v>0</v>
      </c>
      <c r="F10" s="444">
        <f>transport!F54</f>
        <v>0</v>
      </c>
      <c r="G10" s="444">
        <f>transport!G54</f>
        <v>992.42815812618551</v>
      </c>
      <c r="H10" s="444">
        <f>transport!H54</f>
        <v>0</v>
      </c>
      <c r="I10" s="444">
        <f>transport!I54</f>
        <v>0</v>
      </c>
      <c r="J10" s="444">
        <f>transport!J54</f>
        <v>0</v>
      </c>
      <c r="K10" s="444">
        <f>transport!K54</f>
        <v>0</v>
      </c>
      <c r="L10" s="444">
        <f>transport!L54</f>
        <v>0</v>
      </c>
      <c r="M10" s="444">
        <f>transport!M54</f>
        <v>56.134692107784389</v>
      </c>
      <c r="N10" s="444">
        <f>transport!N54</f>
        <v>0</v>
      </c>
      <c r="O10" s="444">
        <f>transport!O54</f>
        <v>0</v>
      </c>
      <c r="P10" s="445">
        <f>transport!P54</f>
        <v>0</v>
      </c>
      <c r="Q10" s="443">
        <f t="shared" si="0"/>
        <v>2274.5363764982808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785.72226999999998</v>
      </c>
      <c r="C14" s="451"/>
      <c r="D14" s="451">
        <f>'SEAP template'!E25</f>
        <v>2076.0823789999999</v>
      </c>
      <c r="E14" s="451"/>
      <c r="F14" s="451"/>
      <c r="G14" s="451"/>
      <c r="H14" s="451"/>
      <c r="I14" s="451"/>
      <c r="J14" s="451"/>
      <c r="K14" s="451"/>
      <c r="L14" s="451"/>
      <c r="M14" s="451"/>
      <c r="N14" s="451"/>
      <c r="O14" s="451"/>
      <c r="P14" s="452"/>
      <c r="Q14" s="443">
        <f t="shared" si="0"/>
        <v>2861.8046489999997</v>
      </c>
    </row>
    <row r="15" spans="1:17" s="455" customFormat="1">
      <c r="A15" s="453" t="s">
        <v>530</v>
      </c>
      <c r="B15" s="454">
        <f ca="1">SUM(B4:B14)</f>
        <v>101579.4029814</v>
      </c>
      <c r="C15" s="454">
        <f t="shared" ref="C15:Q15" ca="1" si="1">SUM(C4:C14)</f>
        <v>45250.714285714283</v>
      </c>
      <c r="D15" s="454">
        <f t="shared" ca="1" si="1"/>
        <v>172597.99273580572</v>
      </c>
      <c r="E15" s="454">
        <f t="shared" si="1"/>
        <v>3367.610793605797</v>
      </c>
      <c r="F15" s="454">
        <f t="shared" ca="1" si="1"/>
        <v>39892.676983382218</v>
      </c>
      <c r="G15" s="454">
        <f t="shared" si="1"/>
        <v>192964.75639664519</v>
      </c>
      <c r="H15" s="454">
        <f t="shared" si="1"/>
        <v>31413.078188991516</v>
      </c>
      <c r="I15" s="454">
        <f t="shared" si="1"/>
        <v>0</v>
      </c>
      <c r="J15" s="454">
        <f t="shared" si="1"/>
        <v>620.17636202451183</v>
      </c>
      <c r="K15" s="454">
        <f t="shared" si="1"/>
        <v>0</v>
      </c>
      <c r="L15" s="454">
        <f t="shared" ca="1" si="1"/>
        <v>0</v>
      </c>
      <c r="M15" s="454">
        <f t="shared" si="1"/>
        <v>13201.614752963689</v>
      </c>
      <c r="N15" s="454">
        <f t="shared" ca="1" si="1"/>
        <v>12654.336883296883</v>
      </c>
      <c r="O15" s="454">
        <f t="shared" si="1"/>
        <v>195.35724982699622</v>
      </c>
      <c r="P15" s="454">
        <f t="shared" si="1"/>
        <v>284.15558484363544</v>
      </c>
      <c r="Q15" s="454">
        <f t="shared" ca="1" si="1"/>
        <v>614021.87319850049</v>
      </c>
    </row>
    <row r="17" spans="1:17">
      <c r="A17" s="456" t="s">
        <v>531</v>
      </c>
      <c r="B17" s="736">
        <f ca="1">huishoudens!B10</f>
        <v>0.2148131421528621</v>
      </c>
      <c r="C17" s="736">
        <f ca="1">huishoudens!C10</f>
        <v>0.23764705882352938</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6719.205589708532</v>
      </c>
      <c r="C22" s="444">
        <f t="shared" ref="C22:C32" ca="1" si="3">C4*$C$17</f>
        <v>0</v>
      </c>
      <c r="D22" s="444">
        <f t="shared" ref="D22:D32" si="4">D4*$D$17</f>
        <v>17518.737831145321</v>
      </c>
      <c r="E22" s="444">
        <f t="shared" ref="E22:E32" si="5">E4*$E$17</f>
        <v>267.53629548689707</v>
      </c>
      <c r="F22" s="444">
        <f t="shared" ref="F22:F32" si="6">F4*$F$17</f>
        <v>6055.7813980180263</v>
      </c>
      <c r="G22" s="444">
        <f t="shared" ref="G22:G32" si="7">G4*$G$17</f>
        <v>0</v>
      </c>
      <c r="H22" s="444">
        <f t="shared" ref="H22:H32" si="8">H4*$H$17</f>
        <v>0</v>
      </c>
      <c r="I22" s="444">
        <f t="shared" ref="I22:I32" si="9">I4*$I$17</f>
        <v>0</v>
      </c>
      <c r="J22" s="444">
        <f t="shared" ref="J22:J32" si="10">J4*$J$17</f>
        <v>41.085316858719693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30602.346431217495</v>
      </c>
    </row>
    <row r="23" spans="1:17">
      <c r="A23" s="443" t="s">
        <v>149</v>
      </c>
      <c r="B23" s="444">
        <f t="shared" ca="1" si="2"/>
        <v>5440.605497085262</v>
      </c>
      <c r="C23" s="444">
        <f t="shared" ca="1" si="3"/>
        <v>7.6386554621848735</v>
      </c>
      <c r="D23" s="444">
        <f t="shared" ca="1" si="4"/>
        <v>14580.93918985225</v>
      </c>
      <c r="E23" s="444">
        <f t="shared" si="5"/>
        <v>17.992229381240229</v>
      </c>
      <c r="F23" s="444">
        <f t="shared" ca="1" si="6"/>
        <v>1496.4825298672026</v>
      </c>
      <c r="G23" s="444">
        <f t="shared" si="7"/>
        <v>0</v>
      </c>
      <c r="H23" s="444">
        <f t="shared" si="8"/>
        <v>0</v>
      </c>
      <c r="I23" s="444">
        <f t="shared" si="9"/>
        <v>0</v>
      </c>
      <c r="J23" s="444">
        <f t="shared" si="10"/>
        <v>1.6321242374469164E-2</v>
      </c>
      <c r="K23" s="444">
        <f t="shared" si="11"/>
        <v>0</v>
      </c>
      <c r="L23" s="444">
        <f t="shared" ca="1" si="12"/>
        <v>0</v>
      </c>
      <c r="M23" s="444">
        <f t="shared" si="13"/>
        <v>0</v>
      </c>
      <c r="N23" s="444">
        <f t="shared" ca="1" si="14"/>
        <v>0</v>
      </c>
      <c r="O23" s="444">
        <f t="shared" si="15"/>
        <v>0</v>
      </c>
      <c r="P23" s="445">
        <f t="shared" si="16"/>
        <v>0</v>
      </c>
      <c r="Q23" s="443">
        <f t="shared" ref="Q23:Q31" ca="1" si="17">SUM(B23:P23)</f>
        <v>21543.674422890519</v>
      </c>
    </row>
    <row r="24" spans="1:17">
      <c r="A24" s="443" t="s">
        <v>187</v>
      </c>
      <c r="B24" s="444">
        <f t="shared" ca="1" si="2"/>
        <v>272.92441463455538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272.92441463455538</v>
      </c>
    </row>
    <row r="25" spans="1:17">
      <c r="A25" s="443" t="s">
        <v>105</v>
      </c>
      <c r="B25" s="444">
        <f t="shared" ca="1" si="2"/>
        <v>274.7816712321183</v>
      </c>
      <c r="C25" s="444">
        <f t="shared" ca="1" si="3"/>
        <v>10746.06050420168</v>
      </c>
      <c r="D25" s="444">
        <f t="shared" si="4"/>
        <v>0</v>
      </c>
      <c r="E25" s="444">
        <f t="shared" si="5"/>
        <v>11.796730114405584</v>
      </c>
      <c r="F25" s="444">
        <f t="shared" si="6"/>
        <v>1208.1370301678246</v>
      </c>
      <c r="G25" s="444">
        <f t="shared" si="7"/>
        <v>0</v>
      </c>
      <c r="H25" s="444">
        <f t="shared" si="8"/>
        <v>0</v>
      </c>
      <c r="I25" s="444">
        <f t="shared" si="9"/>
        <v>0</v>
      </c>
      <c r="J25" s="444">
        <f t="shared" si="10"/>
        <v>128.65690358373573</v>
      </c>
      <c r="K25" s="444">
        <f t="shared" si="11"/>
        <v>0</v>
      </c>
      <c r="L25" s="444">
        <f t="shared" si="12"/>
        <v>0</v>
      </c>
      <c r="M25" s="444">
        <f t="shared" si="13"/>
        <v>0</v>
      </c>
      <c r="N25" s="444">
        <f t="shared" si="14"/>
        <v>0</v>
      </c>
      <c r="O25" s="444">
        <f t="shared" si="15"/>
        <v>0</v>
      </c>
      <c r="P25" s="445">
        <f t="shared" si="16"/>
        <v>0</v>
      </c>
      <c r="Q25" s="443">
        <f t="shared" ca="1" si="17"/>
        <v>12369.432839299765</v>
      </c>
    </row>
    <row r="26" spans="1:17">
      <c r="A26" s="443" t="s">
        <v>587</v>
      </c>
      <c r="B26" s="444">
        <f t="shared" ca="1" si="2"/>
        <v>8634.9153075771974</v>
      </c>
      <c r="C26" s="444">
        <f t="shared" ca="1" si="3"/>
        <v>0</v>
      </c>
      <c r="D26" s="444">
        <f t="shared" si="4"/>
        <v>2281.8298487900961</v>
      </c>
      <c r="E26" s="444">
        <f t="shared" si="5"/>
        <v>395.52849722619322</v>
      </c>
      <c r="F26" s="444">
        <f t="shared" si="6"/>
        <v>1890.9437965099994</v>
      </c>
      <c r="G26" s="444">
        <f t="shared" si="7"/>
        <v>0</v>
      </c>
      <c r="H26" s="444">
        <f t="shared" si="8"/>
        <v>0</v>
      </c>
      <c r="I26" s="444">
        <f t="shared" si="9"/>
        <v>0</v>
      </c>
      <c r="J26" s="444">
        <f t="shared" si="10"/>
        <v>49.783890471847293</v>
      </c>
      <c r="K26" s="444">
        <f t="shared" si="11"/>
        <v>0</v>
      </c>
      <c r="L26" s="444">
        <f t="shared" si="12"/>
        <v>0</v>
      </c>
      <c r="M26" s="444">
        <f t="shared" si="13"/>
        <v>0</v>
      </c>
      <c r="N26" s="444">
        <f t="shared" si="14"/>
        <v>0</v>
      </c>
      <c r="O26" s="444">
        <f t="shared" si="15"/>
        <v>0</v>
      </c>
      <c r="P26" s="445">
        <f t="shared" si="16"/>
        <v>0</v>
      </c>
      <c r="Q26" s="443">
        <f t="shared" ca="1" si="17"/>
        <v>13253.001340575331</v>
      </c>
    </row>
    <row r="27" spans="1:17" s="449" customFormat="1">
      <c r="A27" s="447" t="s">
        <v>536</v>
      </c>
      <c r="B27" s="730">
        <f t="shared" ca="1" si="2"/>
        <v>46.019557157437198</v>
      </c>
      <c r="C27" s="448">
        <f t="shared" ca="1" si="3"/>
        <v>0</v>
      </c>
      <c r="D27" s="448">
        <f t="shared" si="4"/>
        <v>63.919022287089575</v>
      </c>
      <c r="E27" s="448">
        <f t="shared" si="5"/>
        <v>71.593897939779879</v>
      </c>
      <c r="F27" s="448">
        <f t="shared" si="6"/>
        <v>0</v>
      </c>
      <c r="G27" s="448">
        <f t="shared" si="7"/>
        <v>51256.611639684575</v>
      </c>
      <c r="H27" s="448">
        <f t="shared" si="8"/>
        <v>7821.8564690588873</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59260.000586127775</v>
      </c>
    </row>
    <row r="28" spans="1:17" ht="16.5" customHeight="1">
      <c r="A28" s="443" t="s">
        <v>526</v>
      </c>
      <c r="B28" s="444">
        <f t="shared" ca="1" si="2"/>
        <v>263.3552253730611</v>
      </c>
      <c r="C28" s="444">
        <f t="shared" ca="1" si="3"/>
        <v>0</v>
      </c>
      <c r="D28" s="444">
        <f t="shared" si="4"/>
        <v>0</v>
      </c>
      <c r="E28" s="444">
        <f t="shared" si="5"/>
        <v>0</v>
      </c>
      <c r="F28" s="444">
        <f t="shared" si="6"/>
        <v>0</v>
      </c>
      <c r="G28" s="444">
        <f t="shared" si="7"/>
        <v>264.97831821969157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528.33354359275268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168.7834696781795</v>
      </c>
      <c r="C32" s="444">
        <f t="shared" ca="1" si="3"/>
        <v>0</v>
      </c>
      <c r="D32" s="444">
        <f t="shared" si="4"/>
        <v>419.36864055800004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588.15211023617951</v>
      </c>
    </row>
    <row r="33" spans="1:17" s="455" customFormat="1">
      <c r="A33" s="453" t="s">
        <v>530</v>
      </c>
      <c r="B33" s="454">
        <f ca="1">SUM(B22:B32)</f>
        <v>21820.590732446341</v>
      </c>
      <c r="C33" s="454">
        <f t="shared" ref="C33:Q33" ca="1" si="19">SUM(C22:C32)</f>
        <v>10753.699159663864</v>
      </c>
      <c r="D33" s="454">
        <f t="shared" ca="1" si="19"/>
        <v>34864.794532632761</v>
      </c>
      <c r="E33" s="454">
        <f t="shared" si="19"/>
        <v>764.447650148516</v>
      </c>
      <c r="F33" s="454">
        <f t="shared" ca="1" si="19"/>
        <v>10651.344754563053</v>
      </c>
      <c r="G33" s="454">
        <f t="shared" si="19"/>
        <v>51521.589957904267</v>
      </c>
      <c r="H33" s="454">
        <f t="shared" si="19"/>
        <v>7821.8564690588873</v>
      </c>
      <c r="I33" s="454">
        <f t="shared" si="19"/>
        <v>0</v>
      </c>
      <c r="J33" s="454">
        <f t="shared" si="19"/>
        <v>219.54243215667717</v>
      </c>
      <c r="K33" s="454">
        <f t="shared" si="19"/>
        <v>0</v>
      </c>
      <c r="L33" s="454">
        <f t="shared" ca="1" si="19"/>
        <v>0</v>
      </c>
      <c r="M33" s="454">
        <f t="shared" si="19"/>
        <v>0</v>
      </c>
      <c r="N33" s="454">
        <f t="shared" ca="1" si="19"/>
        <v>0</v>
      </c>
      <c r="O33" s="454">
        <f t="shared" si="19"/>
        <v>0</v>
      </c>
      <c r="P33" s="454">
        <f t="shared" si="19"/>
        <v>0</v>
      </c>
      <c r="Q33" s="454">
        <f t="shared" ca="1" si="19"/>
        <v>138417.86568857435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5229.6888606686134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31675.5</v>
      </c>
      <c r="D8" s="979">
        <f>'SEAP template'!D76</f>
        <v>37265.294117647056</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7527.5894117647058</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5229.6888606686134</v>
      </c>
      <c r="C10" s="981">
        <f>SUM(C4:C9)</f>
        <v>31675.5</v>
      </c>
      <c r="D10" s="981">
        <f t="shared" ref="D10:H10" si="0">SUM(D8:D9)</f>
        <v>37265.294117647056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7527.5894117647058</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0.2148131421528621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45250.714285714283</v>
      </c>
      <c r="D17" s="980">
        <f>'SEAP template'!D87</f>
        <v>53236.134453781502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10753.699159663864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45250.714285714283</v>
      </c>
      <c r="D20" s="981">
        <f t="shared" ref="D20:H20" si="2">SUM(D17:D19)</f>
        <v>53236.134453781502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10753.699159663864</v>
      </c>
    </row>
    <row r="21" spans="1:16">
      <c r="B21" s="840"/>
    </row>
    <row r="22" spans="1:16">
      <c r="A22" s="456" t="s">
        <v>754</v>
      </c>
      <c r="B22" s="736" t="s">
        <v>752</v>
      </c>
      <c r="C22" s="736">
        <f ca="1">'EF ele_warmte'!B22</f>
        <v>0.23764705882352938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0.2148131421528621</v>
      </c>
      <c r="C17" s="492">
        <f ca="1">'EF ele_warmte'!B22</f>
        <v>0.23764705882352938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2022-07-26T10:05:57Z</dcterms:modified>
</cp:coreProperties>
</file>