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51E3191-0EC1-434A-9723-3420789AD2B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7"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M77" i="14"/>
  <c r="M9" i="59"/>
  <c r="V43" i="18"/>
  <c r="U43" i="18"/>
  <c r="T43" i="18"/>
  <c r="I9" i="18"/>
  <c r="I77" i="14"/>
  <c r="I9" i="59"/>
  <c r="S43" i="18"/>
  <c r="E9" i="18"/>
  <c r="F77" i="14"/>
  <c r="F9" i="59"/>
  <c r="R43" i="18"/>
  <c r="Q43" i="18"/>
  <c r="P43" i="18"/>
  <c r="O43" i="18"/>
  <c r="N43" i="18"/>
  <c r="B9" i="18"/>
  <c r="M43" i="18"/>
  <c r="W39" i="18"/>
  <c r="V39" i="18"/>
  <c r="U39" i="18"/>
  <c r="T39" i="18"/>
  <c r="L6" i="17"/>
  <c r="L5" i="17"/>
  <c r="S39" i="18"/>
  <c r="F6" i="17"/>
  <c r="R39" i="18"/>
  <c r="Q39" i="18"/>
  <c r="P39" i="18"/>
  <c r="O39" i="18"/>
  <c r="N39" i="18"/>
  <c r="M39" i="18"/>
  <c r="W38" i="18"/>
  <c r="V38" i="18"/>
  <c r="U38" i="18"/>
  <c r="T38" i="18"/>
  <c r="S38" i="18"/>
  <c r="R38" i="18"/>
  <c r="Q38" i="18"/>
  <c r="P38" i="18"/>
  <c r="O38" i="18"/>
  <c r="C13" i="15"/>
  <c r="N38" i="18"/>
  <c r="B13" i="15"/>
  <c r="M38" i="18"/>
  <c r="W37" i="18"/>
  <c r="V37" i="18"/>
  <c r="U37" i="18"/>
  <c r="T37" i="18"/>
  <c r="S37" i="18"/>
  <c r="F16" i="16"/>
  <c r="R37" i="18"/>
  <c r="Q37" i="18"/>
  <c r="P37" i="18"/>
  <c r="O37" i="18"/>
  <c r="N37" i="18"/>
  <c r="W36" i="18"/>
  <c r="V36" i="18"/>
  <c r="U36" i="18"/>
  <c r="T36" i="18"/>
  <c r="S36" i="18"/>
  <c r="R36" i="18"/>
  <c r="Q36" i="18"/>
  <c r="P36" i="18"/>
  <c r="O36" i="18"/>
  <c r="B17" i="18"/>
  <c r="N36" i="18"/>
  <c r="B8" i="18"/>
  <c r="M36"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2" i="18"/>
  <c r="B56" i="18"/>
  <c r="B16" i="16"/>
  <c r="K9" i="14"/>
  <c r="H77" i="14"/>
  <c r="J11" i="48"/>
  <c r="J29" i="48"/>
  <c r="M9" i="14"/>
  <c r="L11" i="48"/>
  <c r="O19" i="14"/>
  <c r="O22" i="14"/>
  <c r="N10" i="48"/>
  <c r="N28" i="48"/>
  <c r="J19" i="14"/>
  <c r="J22" i="14"/>
  <c r="I10" i="48"/>
  <c r="I28" i="48"/>
  <c r="J19" i="19"/>
  <c r="K39" i="14"/>
  <c r="N19" i="19"/>
  <c r="O39" i="14"/>
  <c r="C52" i="18"/>
  <c r="I55"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5" i="18"/>
  <c r="E8" i="18"/>
  <c r="F76" i="14"/>
  <c r="F7" i="48"/>
  <c r="F25" i="48"/>
  <c r="D55" i="18"/>
  <c r="O9" i="18"/>
  <c r="M29" i="48"/>
  <c r="F12" i="17"/>
  <c r="G54" i="14"/>
  <c r="G56" i="14"/>
  <c r="C56" i="18"/>
  <c r="C55" i="18"/>
  <c r="B10" i="18"/>
  <c r="E56" i="18"/>
  <c r="E17" i="18"/>
  <c r="F87" i="14"/>
  <c r="G56" i="18"/>
  <c r="D7" i="48"/>
  <c r="D25" i="48"/>
  <c r="H55" i="18"/>
  <c r="G55" i="18"/>
  <c r="D56" i="18"/>
  <c r="L28" i="48"/>
  <c r="H56" i="18"/>
  <c r="I56" i="18"/>
  <c r="H17" i="18"/>
  <c r="F56" i="18"/>
  <c r="F55" i="18"/>
  <c r="H10" i="18"/>
  <c r="M78" i="14"/>
  <c r="B55"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<sst xmlns="http://schemas.openxmlformats.org/spreadsheetml/2006/main" count="2445" uniqueCount="886">
  <si>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</si>
  <si>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</si>
  <si>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</si>
  <si>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</si>
  <si>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</si>
  <si>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</si>
  <si>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</si>
  <si>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</si>
  <si>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</si>
  <si>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</si>
  <si>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</si>
  <si>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</si>
  <si>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</si>
  <si>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</si>
  <si>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</si>
  <si>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</si>
  <si>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</si>
  <si>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</si>
  <si>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</si>
  <si>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</si>
  <si>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</si>
  <si>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</si>
  <si>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</si>
  <si>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</si>
  <si>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</si>
  <si>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</si>
  <si>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</si>
  <si>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</si>
  <si>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</si>
  <si>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</si>
  <si>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</si>
  <si>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</si>
  <si>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</si>
  <si>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</si>
  <si>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</si>
  <si>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</si>
  <si>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</si>
  <si>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</si>
  <si>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</si>
  <si>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</si>
  <si>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</si>
  <si>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</si>
  <si>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</si>
  <si>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</si>
  <si>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</si>
  <si>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</si>
  <si>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</si>
  <si>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</si>
  <si>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</si>
  <si>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</si>
  <si>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</si>
  <si>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</si>
  <si>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</si>
  <si>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</si>
  <si>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</si>
  <si>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</si>
  <si>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</si>
  <si>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</si>
  <si>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</si>
  <si>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</si>
  <si>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</si>
  <si>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</si>
  <si>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</si>
  <si>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</si>
  <si>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</si>
  <si>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</si>
  <si>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</si>
  <si>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</si>
  <si>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</si>
  <si>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</si>
  <si>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</si>
  <si>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</si>
  <si>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</si>
  <si>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</si>
  <si>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</si>
  <si>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</si>
  <si>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</si>
  <si>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</si>
  <si>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</si>
  <si>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</si>
  <si>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</si>
  <si>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</si>
  <si>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</si>
  <si>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</si>
  <si>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</si>
  <si>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</si>
  <si>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</si>
  <si>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</si>
  <si>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</si>
  <si>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</si>
  <si>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</si>
  <si>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</si>
  <si>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</si>
  <si>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</si>
  <si>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</si>
  <si>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</si>
  <si>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</si>
  <si>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</si>
  <si>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</si>
  <si>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</si>
  <si>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</si>
  <si>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</si>
  <si>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</si>
  <si>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</si>
  <si>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</si>
  <si>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</si>
  <si>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</si>
  <si>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</si>
  <si>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</si>
  <si>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</si>
  <si>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</si>
  <si>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</si>
  <si>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</si>
  <si>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</si>
  <si>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</si>
  <si>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</si>
  <si>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</si>
  <si>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</si>
  <si>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</si>
  <si>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</si>
  <si>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</si>
  <si>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</si>
  <si>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</si>
  <si>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</si>
  <si>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</si>
  <si>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</si>
  <si>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</si>
  <si>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</si>
  <si>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</si>
  <si>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</si>
  <si>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</si>
  <si>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</si>
  <si>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</si>
  <si>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</si>
  <si>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</si>
  <si>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</si>
  <si>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</si>
  <si>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</si>
  <si>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</si>
  <si>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</si>
  <si>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</si>
  <si>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</si>
  <si>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</si>
  <si>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</si>
  <si>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</si>
  <si>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</si>
  <si>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</si>
  <si>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</si>
  <si>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</si>
  <si>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</si>
  <si>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</si>
  <si>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</si>
  <si>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</si>
  <si>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</si>
  <si>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</si>
  <si>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</si>
  <si>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</si>
  <si>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</si>
  <si>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</si>
  <si>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</si>
  <si>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</si>
  <si>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</si>
  <si>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</si>
  <si>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</si>
  <si>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</si>
  <si>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</si>
  <si>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</si>
  <si>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</si>
  <si>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</si>
  <si>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</si>
  <si>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</si>
  <si>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</si>
  <si>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</si>
  <si>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</si>
  <si>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</si>
  <si>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</si>
  <si>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</si>
  <si>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</si>
  <si>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</si>
  <si>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</si>
  <si>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</si>
  <si>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</si>
  <si>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</si>
  <si>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</si>
  <si>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</si>
  <si>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</si>
  <si>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</si>
  <si>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</si>
  <si>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</si>
  <si>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</si>
  <si>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</si>
  <si>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</si>
  <si>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</si>
  <si>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</si>
  <si>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</si>
  <si>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</si>
  <si>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</si>
  <si>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</si>
  <si>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</si>
  <si>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</si>
  <si>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</si>
  <si>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</si>
  <si>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</si>
  <si>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</si>
  <si>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</si>
  <si>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</si>
  <si>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</si>
  <si>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</si>
  <si>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</si>
  <si>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</si>
  <si>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</si>
  <si>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</si>
  <si>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</si>
  <si>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</si>
  <si>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</si>
  <si>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</si>
  <si>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</si>
  <si>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</si>
  <si>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</si>
  <si>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</si>
  <si>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</si>
  <si>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</si>
  <si>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</si>
  <si>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</si>
  <si>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</si>
  <si>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</si>
  <si>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</si>
  <si>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</si>
  <si>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</si>
  <si>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</si>
  <si>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</si>
  <si>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</si>
  <si>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</si>
  <si>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</si>
  <si>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</si>
  <si>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</si>
  <si>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</si>
  <si>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</si>
  <si>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</si>
  <si>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</si>
  <si>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</si>
  <si>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</si>
  <si>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</si>
  <si>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</si>
  <si>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</si>
  <si>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</si>
  <si>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</si>
  <si>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</si>
  <si>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</si>
  <si>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</si>
  <si>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</si>
  <si>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</si>
  <si>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</si>
  <si>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</si>
  <si>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</si>
  <si>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</si>
  <si>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</si>
  <si>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</si>
  <si>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</si>
  <si>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</si>
  <si>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</si>
  <si>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</si>
  <si>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</si>
  <si>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</si>
  <si>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</si>
  <si>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</si>
  <si>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</si>
  <si>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</si>
  <si>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</si>
  <si>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</si>
  <si>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</si>
  <si>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</si>
  <si>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</si>
  <si>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</si>
  <si>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</si>
  <si>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</si>
  <si>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</si>
  <si>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</si>
  <si>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</si>
  <si>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</si>
  <si>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</si>
  <si>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</si>
  <si>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</si>
  <si>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</si>
  <si>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</si>
  <si>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</si>
  <si>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</si>
  <si>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</si>
  <si>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</si>
  <si>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</si>
  <si>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</si>
  <si>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</si>
  <si>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</si>
  <si>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</si>
  <si>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</si>
  <si>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</si>
  <si>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</si>
  <si>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</si>
  <si>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</si>
  <si>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</si>
  <si>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</si>
  <si>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</si>
  <si>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</si>
  <si>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</si>
  <si>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</si>
  <si>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</si>
  <si>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</si>
  <si>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</si>
  <si>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</si>
  <si>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</si>
  <si>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</si>
  <si>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</si>
  <si>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</si>
  <si>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</si>
  <si>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</si>
  <si>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</si>
  <si>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</si>
  <si>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</si>
  <si>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</si>
  <si>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</si>
  <si>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</si>
  <si>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</si>
  <si>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</si>
  <si>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</si>
  <si>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</si>
  <si>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</si>
  <si>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</si>
  <si>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</si>
  <si>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</si>
  <si>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</si>
  <si>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</si>
  <si>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</si>
  <si>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</si>
  <si>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</si>
  <si>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</si>
  <si>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</si>
  <si>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</si>
  <si>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</si>
  <si>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</si>
  <si>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</si>
  <si>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</si>
  <si>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</si>
  <si>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</si>
  <si>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</si>
  <si>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</si>
  <si>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</si>
  <si>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</si>
  <si>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</si>
  <si>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</si>
  <si>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</si>
  <si>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</si>
  <si>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</si>
  <si>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</si>
  <si>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</si>
  <si>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</si>
  <si>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</si>
  <si>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</si>
  <si>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</si>
  <si>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</si>
  <si>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</si>
  <si>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</si>
  <si>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</si>
  <si>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</si>
  <si>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</si>
  <si>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</si>
  <si>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</si>
  <si>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</si>
  <si>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</si>
  <si>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</si>
  <si>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</si>
  <si>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</si>
  <si>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</si>
  <si>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</si>
  <si>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</si>
  <si>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</si>
  <si>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</si>
  <si>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</si>
  <si>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</si>
  <si>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</si>
  <si>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</si>
  <si>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</si>
  <si>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</si>
  <si>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</si>
  <si>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</si>
  <si>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</si>
  <si>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</si>
  <si>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</si>
  <si>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</si>
  <si>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</si>
  <si>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</si>
  <si>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</si>
  <si>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</si>
  <si>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</si>
  <si>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</si>
  <si>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</si>
  <si>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</si>
  <si>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</si>
  <si>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</si>
  <si>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</si>
  <si>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</si>
  <si>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</si>
  <si>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</si>
  <si>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</si>
  <si>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</si>
  <si>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</si>
  <si>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</si>
  <si>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</si>
  <si>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</si>
  <si>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</si>
  <si>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</si>
  <si>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</si>
  <si>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</si>
  <si>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</si>
  <si>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</si>
  <si>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</si>
  <si>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</si>
  <si>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</si>
  <si>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</si>
  <si>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</si>
  <si>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</si>
  <si>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</si>
  <si>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</si>
  <si>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</si>
  <si>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</si>
  <si>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</si>
  <si>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</si>
  <si>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</si>
  <si>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</si>
  <si>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</si>
  <si>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</si>
  <si>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</si>
  <si>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</si>
  <si>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</si>
  <si>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</si>
  <si>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</si>
  <si>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</si>
  <si>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</si>
  <si>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</si>
  <si>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</si>
  <si>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</si>
  <si>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</si>
  <si>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</si>
  <si>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</si>
  <si>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</si>
  <si>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</si>
  <si>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</si>
  <si>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</si>
  <si>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</si>
  <si>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</si>
  <si>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</si>
  <si>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</si>
  <si>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</si>
  <si>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</si>
  <si>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</si>
  <si>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</si>
  <si>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</si>
  <si>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</si>
  <si>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</si>
  <si>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</si>
  <si>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</si>
  <si>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</si>
  <si>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</si>
  <si>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</si>
  <si>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</si>
  <si>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</si>
  <si>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</si>
  <si>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</si>
  <si>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</si>
  <si>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</si>
  <si>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</si>
  <si>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</si>
  <si>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</si>
  <si>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</si>
  <si>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</si>
  <si>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</si>
  <si>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</si>
  <si>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</si>
  <si>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</si>
  <si>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</si>
  <si>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</si>
  <si>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</si>
  <si>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</si>
  <si>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</si>
  <si>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</si>
  <si>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</si>
  <si>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</si>
  <si>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</si>
  <si>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</si>
  <si>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</si>
  <si>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</si>
  <si>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</si>
  <si>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</si>
  <si>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</si>
  <si>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</si>
  <si>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</si>
  <si>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</si>
  <si>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</si>
  <si>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</si>
  <si>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</si>
  <si>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</si>
  <si>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</si>
  <si>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</si>
  <si>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</si>
  <si>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</si>
  <si>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</si>
  <si>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</si>
  <si>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</si>
  <si>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</si>
  <si>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</si>
  <si>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</si>
  <si>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</si>
  <si>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</si>
  <si>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</si>
  <si>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</si>
  <si>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</si>
  <si>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</si>
  <si>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</si>
  <si>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</si>
  <si>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</si>
  <si>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</si>
  <si>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</si>
  <si>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</si>
  <si>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</si>
  <si>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</si>
  <si>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</si>
  <si>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</si>
  <si>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</si>
  <si>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</si>
  <si>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</si>
  <si>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</si>
  <si>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</si>
  <si>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</si>
  <si>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</si>
  <si>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</si>
  <si>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</si>
  <si>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</si>
  <si>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</si>
  <si>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</si>
  <si>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</si>
  <si>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</si>
  <si>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</si>
  <si>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</si>
  <si>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</si>
  <si>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</si>
  <si>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</si>
  <si>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</si>
  <si>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</si>
  <si>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</si>
  <si>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</si>
  <si>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</si>
  <si>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</si>
  <si>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</si>
  <si>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</si>
  <si>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</si>
  <si>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</si>
  <si>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</si>
  <si>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</si>
  <si>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</si>
  <si>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</si>
  <si>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</si>
  <si>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</si>
  <si>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</si>
  <si>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</si>
  <si>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</si>
  <si>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</si>
  <si>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</si>
  <si>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</si>
  <si>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</si>
  <si>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</si>
  <si>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</si>
  <si>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</si>
  <si>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</si>
  <si>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</si>
  <si>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</si>
  <si>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</si>
  <si>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</si>
  <si>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</si>
  <si>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</si>
  <si>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</si>
  <si>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</si>
  <si>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</si>
  <si>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</si>
  <si>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</si>
  <si>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</si>
  <si>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</si>
  <si>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</si>
  <si>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</si>
  <si>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</si>
  <si>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</si>
  <si>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</si>
  <si>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</si>
  <si>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</si>
  <si>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</si>
  <si>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</si>
  <si>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</si>
  <si>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</si>
  <si>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</si>
  <si>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</si>
  <si>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</si>
  <si>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</si>
  <si>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</si>
  <si>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</si>
  <si>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</si>
  <si>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</si>
  <si>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</si>
  <si>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</si>
  <si>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</si>
  <si>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</si>
  <si>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</si>
  <si>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</si>
  <si>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</si>
  <si>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</si>
  <si>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</si>
  <si>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</si>
  <si>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</si>
  <si>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</si>
  <si>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</si>
  <si>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</si>
  <si>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</si>
  <si>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</si>
  <si>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</si>
  <si>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</si>
  <si>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</si>
  <si>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</si>
  <si>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</si>
  <si>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</si>
  <si>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</si>
  <si>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</si>
  <si>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</si>
  <si>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</si>
  <si>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</si>
  <si>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</si>
  <si>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</si>
  <si>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</si>
  <si>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</si>
  <si>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</si>
  <si>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</si>
  <si>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</si>
  <si>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</si>
  <si>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</si>
  <si>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</si>
  <si>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</si>
  <si>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</si>
  <si>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</si>
  <si>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</si>
  <si>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</si>
  <si>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</si>
  <si>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</si>
  <si>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</si>
  <si>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</si>
  <si>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</si>
  <si>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</si>
  <si>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</si>
  <si>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</si>
  <si>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</si>
  <si>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</si>
  <si>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</si>
  <si>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</si>
  <si>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</si>
  <si>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</si>
  <si>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</si>
  <si>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</si>
  <si>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</si>
  <si>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</si>
  <si>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</si>
  <si>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</si>
  <si>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</si>
  <si>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</si>
  <si>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</si>
  <si>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</si>
  <si>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</si>
  <si>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</si>
  <si>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</si>
  <si>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</si>
  <si>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</si>
  <si>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</si>
  <si>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</si>
  <si>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</si>
  <si>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</si>
  <si>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</si>
  <si>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</si>
  <si>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</si>
  <si>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</si>
  <si>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</si>
  <si>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</si>
  <si>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</si>
  <si>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</si>
  <si>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</si>
  <si>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</si>
  <si>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</si>
  <si>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</si>
  <si>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</si>
  <si>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</si>
  <si>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</si>
  <si>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</si>
  <si>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</si>
  <si>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</si>
  <si>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</si>
  <si>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</si>
  <si>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</si>
  <si>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</si>
  <si>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</si>
  <si>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</si>
  <si>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</si>
  <si>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</si>
  <si>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</si>
  <si>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</si>
  <si>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</si>
  <si>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</si>
  <si>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</si>
  <si>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</si>
  <si>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</si>
  <si>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</si>
  <si>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</si>
  <si>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</si>
  <si>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</si>
  <si>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</si>
  <si>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</si>
  <si>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</si>
  <si>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</si>
  <si>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</si>
  <si>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</si>
  <si>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</si>
  <si>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</si>
  <si>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</si>
  <si>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</si>
  <si>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</si>
  <si>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</si>
  <si>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</si>
  <si>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</si>
  <si>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</si>
  <si>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</si>
  <si>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</si>
  <si>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</si>
  <si>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</si>
  <si>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</si>
  <si>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</si>
  <si>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</si>
  <si>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</si>
  <si>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</si>
  <si>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</si>
  <si>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</si>
  <si>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</si>
  <si>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</si>
  <si>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</si>
  <si>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</si>
  <si>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</si>
  <si>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</si>
  <si>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</si>
  <si>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</si>
  <si>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</si>
  <si>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</si>
  <si>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</si>
  <si>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</si>
  <si>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</si>
  <si>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</si>
  <si>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</si>
  <si>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</si>
  <si>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</si>
  <si>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</si>
  <si>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</si>
  <si>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</si>
  <si>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</si>
  <si>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</si>
  <si>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</si>
  <si>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</si>
  <si>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</si>
  <si>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</si>
  <si>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</si>
  <si>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</si>
  <si>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</si>
  <si>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</si>
  <si>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</si>
  <si>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</si>
  <si>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</si>
  <si>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</si>
  <si>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</si>
  <si>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</si>
  <si>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</si>
  <si>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</si>
  <si>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</si>
  <si>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</si>
  <si>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</si>
  <si>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</si>
  <si>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</si>
  <si>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</si>
  <si>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</si>
  <si>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</si>
  <si>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</si>
  <si>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</si>
  <si>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</si>
  <si>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</si>
  <si>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</si>
  <si>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</si>
  <si>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</si>
  <si>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</si>
  <si>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</si>
  <si>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</si>
  <si>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</si>
  <si>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</si>
  <si>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</si>
  <si>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</si>
  <si>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</si>
  <si>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</si>
  <si>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</si>
  <si>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</si>
  <si>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</si>
  <si>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</si>
  <si>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</si>
  <si>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</si>
  <si>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</si>
  <si>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</si>
  <si>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</si>
  <si>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</si>
  <si>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</si>
  <si>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</si>
  <si>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</si>
  <si>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</si>
  <si>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</si>
  <si>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</si>
  <si>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</si>
  <si>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</si>
  <si>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</si>
  <si>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</si>
  <si>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</si>
  <si>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</si>
  <si>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</si>
  <si>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</si>
  <si>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</si>
  <si>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</si>
  <si>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</si>
  <si>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</si>
  <si>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</si>
  <si>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</si>
  <si>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</si>
  <si>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</si>
  <si>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</si>
  <si>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</si>
  <si>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</si>
  <si>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</si>
  <si>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</si>
  <si>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</si>
  <si>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</si>
  <si>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</si>
  <si>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</si>
  <si>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</si>
  <si>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</si>
  <si>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</si>
  <si>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</si>
  <si>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</si>
  <si>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</si>
  <si>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</si>
  <si>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</si>
  <si>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</si>
  <si>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</si>
  <si>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</si>
  <si>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</si>
  <si>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</si>
  <si>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</si>
  <si>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</si>
  <si>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</si>
  <si>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</si>
  <si>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</si>
  <si>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</si>
  <si>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</si>
  <si>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</si>
  <si>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</si>
  <si>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</si>
  <si>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</si>
  <si>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</si>
  <si>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</si>
  <si>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</si>
  <si>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</si>
  <si>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</si>
  <si>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</si>
  <si>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</si>
  <si>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</si>
  <si>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</si>
  <si>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</si>
  <si>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</si>
  <si>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11053</t>
  </si>
  <si>
    <t>WUUSTWEZEL</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</si>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</sst>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7D92594-E863-4A5C-B62E-A2EBFCC2DD2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172530.9671875631</c:v>
                </c:pt>
                <c:pt idx="1">
                  <c:v>35941.205340651417</c:v>
                </c:pt>
                <c:pt idx="2">
                  <c:v>1094.309</c:v>
                </c:pt>
                <c:pt idx="3">
                  <c:v>151040.90336328431</c:v>
                </c:pt>
                <c:pt idx="4">
                  <c:v>11560.848179904537</c:v>
                </c:pt>
                <c:pt idx="5">
                  <c:v>209053.58078404557</c:v>
                </c:pt>
                <c:pt idx="6">
                  <c:v>1922.3429087192601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172530.9671875631</c:v>
                </c:pt>
                <c:pt idx="1">
                  <c:v>35941.205340651417</c:v>
                </c:pt>
                <c:pt idx="2">
                  <c:v>1094.309</c:v>
                </c:pt>
                <c:pt idx="3">
                  <c:v>151040.90336328431</c:v>
                </c:pt>
                <c:pt idx="4">
                  <c:v>11560.848179904537</c:v>
                </c:pt>
                <c:pt idx="5">
                  <c:v>209053.58078404557</c:v>
                </c:pt>
                <c:pt idx="6">
                  <c:v>1922.3429087192601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31850.750168946917</c:v>
                </c:pt>
                <c:pt idx="1">
                  <c:v>6061.6568987258397</c:v>
                </c:pt>
                <c:pt idx="2">
                  <c:v>136.3378787308616</c:v>
                </c:pt>
                <c:pt idx="3">
                  <c:v>36175.801683054029</c:v>
                </c:pt>
                <c:pt idx="4">
                  <c:v>1978.7983253298362</c:v>
                </c:pt>
                <c:pt idx="5">
                  <c:v>52148.424117455885</c:v>
                </c:pt>
                <c:pt idx="6">
                  <c:v>482.61208016756717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31850.750168946917</c:v>
                </c:pt>
                <c:pt idx="1">
                  <c:v>6061.6568987258397</c:v>
                </c:pt>
                <c:pt idx="2">
                  <c:v>136.3378787308616</c:v>
                </c:pt>
                <c:pt idx="3">
                  <c:v>36175.801683054029</c:v>
                </c:pt>
                <c:pt idx="4">
                  <c:v>1978.7983253298362</c:v>
                </c:pt>
                <c:pt idx="5">
                  <c:v>52148.424117455885</c:v>
                </c:pt>
                <c:pt idx="6">
                  <c:v>482.61208016756717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11053</v>
      </c>
      <c r="B6" s="382"/>
      <c r="C6" s="383"/>
    </row>
    <row r="7" spans="1:7" s="380" customFormat="1" ht="15.75" customHeight="1">
      <c r="A7" s="384" t="str">
        <f>txtMunicipality</f>
        <v>WUUSTWEZEL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0.124588099641748</v>
      </c>
      <c r="C17" s="492">
        <f ca="1">'EF ele_warmte'!B22</f>
        <v>0.23711358076567554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0.124588099641748</v>
      </c>
      <c r="C29" s="493">
        <f ca="1">'EF ele_warmte'!B22</f>
        <v>0.23711358076567554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8063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5850.02</v>
      </c>
      <c r="C14" s="324"/>
      <c r="D14" s="324"/>
      <c r="E14" s="324"/>
      <c r="F14" s="324"/>
    </row>
    <row r="15" spans="1:6">
      <c r="A15" s="1257" t="s">
        <v>177</v>
      </c>
      <c r="B15" s="1258">
        <v>4626</v>
      </c>
      <c r="C15" s="324"/>
      <c r="D15" s="324"/>
      <c r="E15" s="324"/>
      <c r="F15" s="324"/>
    </row>
    <row r="16" spans="1:6">
      <c r="A16" s="1257" t="s">
        <v>6</v>
      </c>
      <c r="B16" s="1258">
        <v>8136</v>
      </c>
      <c r="C16" s="324"/>
      <c r="D16" s="324"/>
      <c r="E16" s="324"/>
      <c r="F16" s="324"/>
    </row>
    <row r="17" spans="1:6">
      <c r="A17" s="1257" t="s">
        <v>7</v>
      </c>
      <c r="B17" s="1258">
        <v>754</v>
      </c>
      <c r="C17" s="324"/>
      <c r="D17" s="324"/>
      <c r="E17" s="324"/>
      <c r="F17" s="324"/>
    </row>
    <row r="18" spans="1:6">
      <c r="A18" s="1257" t="s">
        <v>8</v>
      </c>
      <c r="B18" s="1258">
        <v>4328</v>
      </c>
      <c r="C18" s="324"/>
      <c r="D18" s="324"/>
      <c r="E18" s="324"/>
      <c r="F18" s="324"/>
    </row>
    <row r="19" spans="1:6">
      <c r="A19" s="1257" t="s">
        <v>9</v>
      </c>
      <c r="B19" s="1258">
        <v>4157</v>
      </c>
      <c r="C19" s="324"/>
      <c r="D19" s="324"/>
      <c r="E19" s="324"/>
      <c r="F19" s="324"/>
    </row>
    <row r="20" spans="1:6">
      <c r="A20" s="1257" t="s">
        <v>10</v>
      </c>
      <c r="B20" s="1258">
        <v>2210</v>
      </c>
      <c r="C20" s="324"/>
      <c r="D20" s="324"/>
      <c r="E20" s="324"/>
      <c r="F20" s="324"/>
    </row>
    <row r="21" spans="1:6">
      <c r="A21" s="1257" t="s">
        <v>11</v>
      </c>
      <c r="B21" s="1258">
        <v>42612</v>
      </c>
      <c r="C21" s="324"/>
      <c r="D21" s="324"/>
      <c r="E21" s="324"/>
      <c r="F21" s="324"/>
    </row>
    <row r="22" spans="1:6">
      <c r="A22" s="1257" t="s">
        <v>12</v>
      </c>
      <c r="B22" s="1258">
        <v>94584</v>
      </c>
      <c r="C22" s="324"/>
      <c r="D22" s="324"/>
      <c r="E22" s="324"/>
      <c r="F22" s="324"/>
    </row>
    <row r="23" spans="1:6">
      <c r="A23" s="1257" t="s">
        <v>13</v>
      </c>
      <c r="B23" s="1258">
        <v>1875</v>
      </c>
      <c r="C23" s="324"/>
      <c r="D23" s="324"/>
      <c r="E23" s="324"/>
      <c r="F23" s="324"/>
    </row>
    <row r="24" spans="1:6">
      <c r="A24" s="1257" t="s">
        <v>14</v>
      </c>
      <c r="B24" s="1258">
        <v>63</v>
      </c>
      <c r="C24" s="324"/>
      <c r="D24" s="324"/>
      <c r="E24" s="324"/>
      <c r="F24" s="324"/>
    </row>
    <row r="25" spans="1:6">
      <c r="A25" s="1257" t="s">
        <v>15</v>
      </c>
      <c r="B25" s="1258">
        <v>10914</v>
      </c>
      <c r="C25" s="324"/>
      <c r="D25" s="324"/>
      <c r="E25" s="324"/>
      <c r="F25" s="324"/>
    </row>
    <row r="26" spans="1:6">
      <c r="A26" s="1257" t="s">
        <v>16</v>
      </c>
      <c r="B26" s="1258">
        <v>423</v>
      </c>
      <c r="C26" s="324"/>
      <c r="D26" s="324"/>
      <c r="E26" s="324"/>
      <c r="F26" s="324"/>
    </row>
    <row r="27" spans="1:6">
      <c r="A27" s="1257" t="s">
        <v>17</v>
      </c>
      <c r="B27" s="1258">
        <v>3717</v>
      </c>
      <c r="C27" s="324"/>
      <c r="D27" s="324"/>
      <c r="E27" s="324"/>
      <c r="F27" s="324"/>
    </row>
    <row r="28" spans="1:6">
      <c r="A28" s="1257" t="s">
        <v>18</v>
      </c>
      <c r="B28" s="1259">
        <v>1518389</v>
      </c>
      <c r="C28" s="324"/>
      <c r="D28" s="324"/>
      <c r="E28" s="324"/>
      <c r="F28" s="324"/>
    </row>
    <row r="29" spans="1:6">
      <c r="A29" s="1257" t="s">
        <v>664</v>
      </c>
      <c r="B29" s="1259">
        <v>506</v>
      </c>
      <c r="C29" s="324"/>
      <c r="D29" s="324"/>
      <c r="E29" s="324"/>
      <c r="F29" s="324"/>
    </row>
    <row r="30" spans="1:6">
      <c r="A30" s="1252" t="s">
        <v>665</v>
      </c>
      <c r="B30" s="1260">
        <v>97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5</v>
      </c>
      <c r="F35" s="1258">
        <v>5723354.2589999996</v>
      </c>
    </row>
    <row r="36" spans="1:6">
      <c r="A36" s="1257" t="s">
        <v>24</v>
      </c>
      <c r="B36" s="1257" t="s">
        <v>26</v>
      </c>
      <c r="C36" s="1258">
        <v>0</v>
      </c>
      <c r="D36" s="1258">
        <v>0</v>
      </c>
      <c r="E36" s="1258">
        <v>3</v>
      </c>
      <c r="F36" s="1258">
        <v>7570.6589999999997</v>
      </c>
    </row>
    <row r="37" spans="1:6">
      <c r="A37" s="1257" t="s">
        <v>24</v>
      </c>
      <c r="B37" s="1257" t="s">
        <v>27</v>
      </c>
      <c r="C37" s="1258">
        <v>0</v>
      </c>
      <c r="D37" s="1258">
        <v>0</v>
      </c>
      <c r="E37" s="1258">
        <v>0</v>
      </c>
      <c r="F37" s="1258">
        <v>0</v>
      </c>
    </row>
    <row r="38" spans="1:6">
      <c r="A38" s="1257" t="s">
        <v>24</v>
      </c>
      <c r="B38" s="1257" t="s">
        <v>28</v>
      </c>
      <c r="C38" s="1258">
        <v>3</v>
      </c>
      <c r="D38" s="1258">
        <v>53132645.75</v>
      </c>
      <c r="E38" s="1258">
        <v>3</v>
      </c>
      <c r="F38" s="1258">
        <v>784360.23499999999</v>
      </c>
    </row>
    <row r="39" spans="1:6">
      <c r="A39" s="1257" t="s">
        <v>29</v>
      </c>
      <c r="B39" s="1257" t="s">
        <v>30</v>
      </c>
      <c r="C39" s="1258">
        <v>5368</v>
      </c>
      <c r="D39" s="1258">
        <v>89614507.219999999</v>
      </c>
      <c r="E39" s="1258">
        <v>7772</v>
      </c>
      <c r="F39" s="1258">
        <v>32971886.5</v>
      </c>
    </row>
    <row r="40" spans="1:6">
      <c r="A40" s="1257" t="s">
        <v>29</v>
      </c>
      <c r="B40" s="1257" t="s">
        <v>28</v>
      </c>
      <c r="C40" s="1258">
        <v>0</v>
      </c>
      <c r="D40" s="1258">
        <v>0</v>
      </c>
      <c r="E40" s="1258">
        <v>0</v>
      </c>
      <c r="F40" s="1258">
        <v>0</v>
      </c>
    </row>
    <row r="41" spans="1:6">
      <c r="A41" s="1257" t="s">
        <v>31</v>
      </c>
      <c r="B41" s="1257" t="s">
        <v>32</v>
      </c>
      <c r="C41" s="1258">
        <v>91</v>
      </c>
      <c r="D41" s="1258">
        <v>1935424.753</v>
      </c>
      <c r="E41" s="1258">
        <v>241</v>
      </c>
      <c r="F41" s="1258">
        <v>2601421.13</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9</v>
      </c>
      <c r="D44" s="1258">
        <v>650345.12</v>
      </c>
      <c r="E44" s="1258">
        <v>33</v>
      </c>
      <c r="F44" s="1258">
        <v>1506646.243</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25</v>
      </c>
      <c r="D48" s="1258">
        <v>734014.43700000003</v>
      </c>
      <c r="E48" s="1258">
        <v>30</v>
      </c>
      <c r="F48" s="1258">
        <v>1291866.6510000001</v>
      </c>
    </row>
    <row r="49" spans="1:6">
      <c r="A49" s="1257" t="s">
        <v>31</v>
      </c>
      <c r="B49" s="1257" t="s">
        <v>39</v>
      </c>
      <c r="C49" s="1258">
        <v>0</v>
      </c>
      <c r="D49" s="1258">
        <v>0</v>
      </c>
      <c r="E49" s="1258">
        <v>0</v>
      </c>
      <c r="F49" s="1258">
        <v>0</v>
      </c>
    </row>
    <row r="50" spans="1:6">
      <c r="A50" s="1257" t="s">
        <v>31</v>
      </c>
      <c r="B50" s="1257" t="s">
        <v>40</v>
      </c>
      <c r="C50" s="1258">
        <v>12</v>
      </c>
      <c r="D50" s="1258">
        <v>484238.04399999999</v>
      </c>
      <c r="E50" s="1258">
        <v>19</v>
      </c>
      <c r="F50" s="1258">
        <v>374273.26500000001</v>
      </c>
    </row>
    <row r="51" spans="1:6">
      <c r="A51" s="1257" t="s">
        <v>41</v>
      </c>
      <c r="B51" s="1257" t="s">
        <v>42</v>
      </c>
      <c r="C51" s="1258">
        <v>37</v>
      </c>
      <c r="D51" s="1258">
        <v>136094471.40000001</v>
      </c>
      <c r="E51" s="1258">
        <v>367</v>
      </c>
      <c r="F51" s="1258">
        <v>13884836.779999999</v>
      </c>
    </row>
    <row r="52" spans="1:6">
      <c r="A52" s="1257" t="s">
        <v>41</v>
      </c>
      <c r="B52" s="1257" t="s">
        <v>28</v>
      </c>
      <c r="C52" s="1258">
        <v>10</v>
      </c>
      <c r="D52" s="1258">
        <v>12527045.449999999</v>
      </c>
      <c r="E52" s="1258">
        <v>5</v>
      </c>
      <c r="F52" s="1258">
        <v>40571.917000000001</v>
      </c>
    </row>
    <row r="53" spans="1:6">
      <c r="A53" s="1257" t="s">
        <v>43</v>
      </c>
      <c r="B53" s="1257" t="s">
        <v>44</v>
      </c>
      <c r="C53" s="1258">
        <v>84</v>
      </c>
      <c r="D53" s="1258">
        <v>1223030.0919999999</v>
      </c>
      <c r="E53" s="1258">
        <v>264</v>
      </c>
      <c r="F53" s="1258">
        <v>993576.924</v>
      </c>
    </row>
    <row r="54" spans="1:6">
      <c r="A54" s="1257" t="s">
        <v>45</v>
      </c>
      <c r="B54" s="1257" t="s">
        <v>46</v>
      </c>
      <c r="C54" s="1258">
        <v>0</v>
      </c>
      <c r="D54" s="1258">
        <v>0</v>
      </c>
      <c r="E54" s="1258">
        <v>1</v>
      </c>
      <c r="F54" s="1258">
        <v>1094309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36</v>
      </c>
      <c r="D57" s="1258">
        <v>1081137.77</v>
      </c>
      <c r="E57" s="1258">
        <v>76</v>
      </c>
      <c r="F57" s="1258">
        <v>1466135.7220000001</v>
      </c>
    </row>
    <row r="58" spans="1:6">
      <c r="A58" s="1257" t="s">
        <v>48</v>
      </c>
      <c r="B58" s="1257" t="s">
        <v>50</v>
      </c>
      <c r="C58" s="1258">
        <v>26</v>
      </c>
      <c r="D58" s="1258">
        <v>1151318.084</v>
      </c>
      <c r="E58" s="1258">
        <v>38</v>
      </c>
      <c r="F58" s="1258">
        <v>437697.80599999998</v>
      </c>
    </row>
    <row r="59" spans="1:6">
      <c r="A59" s="1257" t="s">
        <v>48</v>
      </c>
      <c r="B59" s="1257" t="s">
        <v>51</v>
      </c>
      <c r="C59" s="1258">
        <v>90</v>
      </c>
      <c r="D59" s="1258">
        <v>2583194.3160000001</v>
      </c>
      <c r="E59" s="1258">
        <v>193</v>
      </c>
      <c r="F59" s="1258">
        <v>4989090.0820000004</v>
      </c>
    </row>
    <row r="60" spans="1:6">
      <c r="A60" s="1257" t="s">
        <v>48</v>
      </c>
      <c r="B60" s="1257" t="s">
        <v>52</v>
      </c>
      <c r="C60" s="1258">
        <v>53</v>
      </c>
      <c r="D60" s="1258">
        <v>2166587.307</v>
      </c>
      <c r="E60" s="1258">
        <v>64</v>
      </c>
      <c r="F60" s="1258">
        <v>1328346.4890000001</v>
      </c>
    </row>
    <row r="61" spans="1:6">
      <c r="A61" s="1257" t="s">
        <v>48</v>
      </c>
      <c r="B61" s="1257" t="s">
        <v>53</v>
      </c>
      <c r="C61" s="1258">
        <v>153</v>
      </c>
      <c r="D61" s="1258">
        <v>6570715.5669999998</v>
      </c>
      <c r="E61" s="1258">
        <v>331</v>
      </c>
      <c r="F61" s="1258">
        <v>4049255.7119999998</v>
      </c>
    </row>
    <row r="62" spans="1:6">
      <c r="A62" s="1257" t="s">
        <v>48</v>
      </c>
      <c r="B62" s="1257" t="s">
        <v>54</v>
      </c>
      <c r="C62" s="1258">
        <v>13</v>
      </c>
      <c r="D62" s="1258">
        <v>1233589.754</v>
      </c>
      <c r="E62" s="1258">
        <v>16</v>
      </c>
      <c r="F62" s="1258">
        <v>351768.24599999998</v>
      </c>
    </row>
    <row r="63" spans="1:6">
      <c r="A63" s="1257" t="s">
        <v>48</v>
      </c>
      <c r="B63" s="1257" t="s">
        <v>28</v>
      </c>
      <c r="C63" s="1258">
        <v>95</v>
      </c>
      <c r="D63" s="1258">
        <v>3713800.1320000002</v>
      </c>
      <c r="E63" s="1258">
        <v>122</v>
      </c>
      <c r="F63" s="1258">
        <v>2756650.2930000001</v>
      </c>
    </row>
    <row r="64" spans="1:6">
      <c r="A64" s="1257" t="s">
        <v>55</v>
      </c>
      <c r="B64" s="1257" t="s">
        <v>56</v>
      </c>
      <c r="C64" s="1258">
        <v>0</v>
      </c>
      <c r="D64" s="1258">
        <v>0</v>
      </c>
      <c r="E64" s="1258">
        <v>0</v>
      </c>
      <c r="F64" s="1258">
        <v>0</v>
      </c>
    </row>
    <row r="65" spans="1:6">
      <c r="A65" s="1257" t="s">
        <v>55</v>
      </c>
      <c r="B65" s="1257" t="s">
        <v>28</v>
      </c>
      <c r="C65" s="1258">
        <v>1</v>
      </c>
      <c r="D65" s="1258">
        <v>3813.79</v>
      </c>
      <c r="E65" s="1258">
        <v>3</v>
      </c>
      <c r="F65" s="1258">
        <v>64142.118999999999</v>
      </c>
    </row>
    <row r="66" spans="1:6">
      <c r="A66" s="1257" t="s">
        <v>55</v>
      </c>
      <c r="B66" s="1257" t="s">
        <v>57</v>
      </c>
      <c r="C66" s="1258">
        <v>0</v>
      </c>
      <c r="D66" s="1258">
        <v>0</v>
      </c>
      <c r="E66" s="1258">
        <v>18</v>
      </c>
      <c r="F66" s="1258">
        <v>490364.304</v>
      </c>
    </row>
    <row r="67" spans="1:6">
      <c r="A67" s="1257" t="s">
        <v>55</v>
      </c>
      <c r="B67" s="1257" t="s">
        <v>58</v>
      </c>
      <c r="C67" s="1258">
        <v>0</v>
      </c>
      <c r="D67" s="1258">
        <v>0</v>
      </c>
      <c r="E67" s="1258">
        <v>0</v>
      </c>
      <c r="F67" s="1258">
        <v>0</v>
      </c>
    </row>
    <row r="68" spans="1:6">
      <c r="A68" s="1252" t="s">
        <v>55</v>
      </c>
      <c r="B68" s="1252" t="s">
        <v>59</v>
      </c>
      <c r="C68" s="1260">
        <v>4</v>
      </c>
      <c r="D68" s="1260">
        <v>121270</v>
      </c>
      <c r="E68" s="1260">
        <v>17</v>
      </c>
      <c r="F68" s="1260">
        <v>505064.59600000002</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70391024</v>
      </c>
      <c r="E73" s="442"/>
      <c r="F73" s="324"/>
    </row>
    <row r="74" spans="1:6">
      <c r="A74" s="1257" t="s">
        <v>63</v>
      </c>
      <c r="B74" s="1257" t="s">
        <v>608</v>
      </c>
      <c r="C74" s="1270" t="s">
        <v>610</v>
      </c>
      <c r="D74" s="1258">
        <v>5203268.5</v>
      </c>
      <c r="E74" s="442"/>
      <c r="F74" s="324"/>
    </row>
    <row r="75" spans="1:6">
      <c r="A75" s="1257" t="s">
        <v>64</v>
      </c>
      <c r="B75" s="1257" t="s">
        <v>607</v>
      </c>
      <c r="C75" s="1270" t="s">
        <v>611</v>
      </c>
      <c r="D75" s="1258">
        <v>13625215</v>
      </c>
      <c r="E75" s="442"/>
      <c r="F75" s="324"/>
    </row>
    <row r="76" spans="1:6">
      <c r="A76" s="1257" t="s">
        <v>64</v>
      </c>
      <c r="B76" s="1257" t="s">
        <v>608</v>
      </c>
      <c r="C76" s="1270" t="s">
        <v>612</v>
      </c>
      <c r="D76" s="1258">
        <v>357131.5</v>
      </c>
      <c r="E76" s="442"/>
      <c r="F76" s="324"/>
    </row>
    <row r="77" spans="1:6">
      <c r="A77" s="1257" t="s">
        <v>65</v>
      </c>
      <c r="B77" s="1257" t="s">
        <v>607</v>
      </c>
      <c r="C77" s="1270" t="s">
        <v>613</v>
      </c>
      <c r="D77" s="1258">
        <v>97386852</v>
      </c>
      <c r="E77" s="442"/>
      <c r="F77" s="324"/>
    </row>
    <row r="78" spans="1:6">
      <c r="A78" s="1252" t="s">
        <v>65</v>
      </c>
      <c r="B78" s="1252" t="s">
        <v>608</v>
      </c>
      <c r="C78" s="1252" t="s">
        <v>614</v>
      </c>
      <c r="D78" s="1260">
        <v>27502636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526761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42630.039829167399</v>
      </c>
      <c r="C90" s="324"/>
      <c r="D90" s="324"/>
      <c r="E90" s="324"/>
      <c r="F90" s="324"/>
    </row>
    <row r="91" spans="1:6">
      <c r="A91" s="1257" t="s">
        <v>67</v>
      </c>
      <c r="B91" s="1258">
        <v>6291.9899301399082</v>
      </c>
      <c r="C91" s="324"/>
      <c r="D91" s="324"/>
      <c r="E91" s="324"/>
      <c r="F91" s="324"/>
    </row>
    <row r="92" spans="1:6">
      <c r="A92" s="1252" t="s">
        <v>68</v>
      </c>
      <c r="B92" s="1253">
        <v>3764.0278054522796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3580</v>
      </c>
      <c r="C97" s="324"/>
      <c r="D97" s="324"/>
      <c r="E97" s="324"/>
      <c r="F97" s="324"/>
    </row>
    <row r="98" spans="1:6">
      <c r="A98" s="1257" t="s">
        <v>71</v>
      </c>
      <c r="B98" s="1258">
        <v>5</v>
      </c>
      <c r="C98" s="324"/>
      <c r="D98" s="324"/>
      <c r="E98" s="324"/>
      <c r="F98" s="324"/>
    </row>
    <row r="99" spans="1:6">
      <c r="A99" s="1257" t="s">
        <v>72</v>
      </c>
      <c r="B99" s="1258">
        <v>229</v>
      </c>
      <c r="C99" s="324"/>
      <c r="D99" s="324"/>
      <c r="E99" s="324"/>
      <c r="F99" s="324"/>
    </row>
    <row r="100" spans="1:6">
      <c r="A100" s="1257" t="s">
        <v>73</v>
      </c>
      <c r="B100" s="1258">
        <v>824</v>
      </c>
      <c r="C100" s="324"/>
      <c r="D100" s="324"/>
      <c r="E100" s="324"/>
      <c r="F100" s="324"/>
    </row>
    <row r="101" spans="1:6">
      <c r="A101" s="1257" t="s">
        <v>74</v>
      </c>
      <c r="B101" s="1258">
        <v>181</v>
      </c>
      <c r="C101" s="324"/>
      <c r="D101" s="324"/>
      <c r="E101" s="324"/>
      <c r="F101" s="324"/>
    </row>
    <row r="102" spans="1:6">
      <c r="A102" s="1257" t="s">
        <v>75</v>
      </c>
      <c r="B102" s="1258">
        <v>79</v>
      </c>
      <c r="C102" s="324"/>
      <c r="D102" s="324"/>
      <c r="E102" s="324"/>
      <c r="F102" s="324"/>
    </row>
    <row r="103" spans="1:6">
      <c r="A103" s="1257" t="s">
        <v>76</v>
      </c>
      <c r="B103" s="1258">
        <v>142</v>
      </c>
      <c r="C103" s="324"/>
      <c r="D103" s="324"/>
      <c r="E103" s="324"/>
      <c r="F103" s="324"/>
    </row>
    <row r="104" spans="1:6">
      <c r="A104" s="1257" t="s">
        <v>77</v>
      </c>
      <c r="B104" s="1258">
        <v>1224</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3</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83</v>
      </c>
      <c r="C123" s="1258">
        <v>29</v>
      </c>
      <c r="D123" s="324"/>
      <c r="E123" s="324"/>
      <c r="F123" s="324"/>
    </row>
    <row r="124" spans="1:6">
      <c r="A124" s="1257" t="s">
        <v>88</v>
      </c>
      <c r="B124" s="1258">
        <v>3</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176</v>
      </c>
      <c r="C129" s="324"/>
      <c r="D129" s="324"/>
      <c r="E129" s="324"/>
      <c r="F129" s="324"/>
    </row>
    <row r="130" spans="1:6">
      <c r="A130" s="1257" t="s">
        <v>283</v>
      </c>
      <c r="B130" s="1258">
        <v>2</v>
      </c>
      <c r="C130" s="324"/>
      <c r="D130" s="324"/>
      <c r="E130" s="324"/>
      <c r="F130" s="324"/>
    </row>
    <row r="131" spans="1:6">
      <c r="A131" s="1257" t="s">
        <v>284</v>
      </c>
      <c r="B131" s="1258">
        <v>4</v>
      </c>
      <c r="C131" s="324"/>
      <c r="D131" s="324"/>
      <c r="E131" s="324"/>
      <c r="F131" s="324"/>
    </row>
    <row r="132" spans="1:6">
      <c r="A132" s="1252" t="s">
        <v>285</v>
      </c>
      <c r="B132" s="1253">
        <v>55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76646.000153769128</v>
      </c>
      <c r="C3" s="43" t="s">
        <v>163</v>
      </c>
      <c r="D3" s="43"/>
      <c r="E3" s="153"/>
      <c r="F3" s="43"/>
      <c r="G3" s="43"/>
      <c r="H3" s="43"/>
      <c r="I3" s="43"/>
      <c r="J3" s="43"/>
      <c r="K3" s="96"/>
    </row>
    <row r="4" spans="1:11">
      <c r="A4" s="350" t="s">
        <v>164</v>
      </c>
      <c r="B4" s="49">
        <f>IF(ISERROR('SEAP template'!B78+'SEAP template'!C78),0,'SEAP template'!B78+'SEAP template'!C78)</f>
        <v>111020.00756475958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13831.771764705883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0.124588099641748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19759.673949579828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83334.21428571429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0.23711358076567554</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1094.309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1094.309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0.124588099641748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136.3378787308616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32971.886500000001</v>
      </c>
      <c r="C5" s="17">
        <f>IF(ISERROR('Eigen informatie GS &amp; warmtenet'!B59),0,'Eigen informatie GS &amp; warmtenet'!B59)</f>
        <v>0</v>
      </c>
      <c r="D5" s="30">
        <f>(SUM(HH_hh_gas_kWh,HH_rest_gas_kWh)/1000)*0.902</f>
        <v>80832.285512440008</v>
      </c>
      <c r="E5" s="17">
        <f>B32*B41</f>
        <v>1968.6377619419923</v>
      </c>
      <c r="F5" s="17">
        <f>B36*B45</f>
        <v>37885.051992178378</v>
      </c>
      <c r="G5" s="18"/>
      <c r="H5" s="17"/>
      <c r="I5" s="17"/>
      <c r="J5" s="17">
        <f>B35*B44+C35*C44</f>
        <v>193.86184339554555</v>
      </c>
      <c r="K5" s="17"/>
      <c r="L5" s="17"/>
      <c r="M5" s="17"/>
      <c r="N5" s="17">
        <f>B34*B43+C34*C43</f>
        <v>10491.28603367056</v>
      </c>
      <c r="O5" s="17">
        <f>B52*B53*B54</f>
        <v>410.67935141311563</v>
      </c>
      <c r="P5" s="17">
        <f>B60*B61*B62/1000-B60*B61*B62/1000/B63</f>
        <v>1485.2882623835883</v>
      </c>
    </row>
    <row r="6" spans="1:16">
      <c r="A6" s="16" t="s">
        <v>573</v>
      </c>
      <c r="B6" s="738">
        <f>kWh_PV_kleiner_dan_10kW</f>
        <v>6291.9899301399082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39263.876430139906</v>
      </c>
      <c r="C8" s="21">
        <f>C5</f>
        <v>0</v>
      </c>
      <c r="D8" s="21">
        <f>D5</f>
        <v>80832.285512440008</v>
      </c>
      <c r="E8" s="21">
        <f>E5</f>
        <v>1968.6377619419923</v>
      </c>
      <c r="F8" s="21">
        <f>F5</f>
        <v>37885.051992178378</v>
      </c>
      <c r="G8" s="21"/>
      <c r="H8" s="21"/>
      <c r="I8" s="21"/>
      <c r="J8" s="21">
        <f>J5</f>
        <v>193.86184339554555</v>
      </c>
      <c r="K8" s="21"/>
      <c r="L8" s="21">
        <f>L5</f>
        <v>0</v>
      </c>
      <c r="M8" s="21">
        <f>M5</f>
        <v>0</v>
      </c>
      <c r="N8" s="21">
        <f>N5</f>
        <v>10491.28603367056</v>
      </c>
      <c r="O8" s="21">
        <f>O5</f>
        <v>410.67935141311563</v>
      </c>
      <c r="P8" s="21">
        <f>P5</f>
        <v>1485.2882623835883</v>
      </c>
    </row>
    <row r="9" spans="1:16">
      <c r="B9" s="19"/>
      <c r="C9" s="19"/>
      <c r="D9" s="255"/>
      <c r="E9" s="19"/>
      <c r="F9" s="19"/>
      <c r="G9" s="19"/>
      <c r="H9" s="19"/>
      <c r="I9" s="19"/>
      <c r="J9" s="19"/>
      <c r="K9" s="19"/>
      <c r="L9" s="19"/>
      <c r="M9" s="19"/>
      <c r="N9" s="19"/>
      <c r="O9" s="19"/>
      <c r="P9" s="19"/>
    </row>
    <row r="10" spans="1:16">
      <c r="A10" s="24" t="s">
        <v>207</v>
      </c>
      <c r="B10" s="25">
        <f ca="1">'EF ele_warmte'!B12</f>
        <v>0.124588099641748</v>
      </c>
      <c r="C10" s="25">
        <f ca="1">'EF ele_warmte'!B22</f>
        <v>0.23711358076567554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4891.8117489995511</v>
      </c>
      <c r="C12" s="23">
        <f ca="1">C10*C8</f>
        <v>0</v>
      </c>
      <c r="D12" s="23">
        <f>D8*D10</f>
        <v>16328.121673512882</v>
      </c>
      <c r="E12" s="23">
        <f>E10*E8</f>
        <v>446.88077196083225</v>
      </c>
      <c r="F12" s="23">
        <f>F10*F8</f>
        <v>10115.308881911627</v>
      </c>
      <c r="G12" s="23"/>
      <c r="H12" s="23"/>
      <c r="I12" s="23"/>
      <c r="J12" s="23">
        <f>J10*J8</f>
        <v>68.627092562023122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8063</v>
      </c>
      <c r="C26" s="36"/>
      <c r="D26" s="225"/>
    </row>
    <row r="27" spans="1:7" s="15" customFormat="1">
      <c r="A27" s="227" t="s">
        <v>774</v>
      </c>
      <c r="B27" s="37">
        <f>SUM(HH_hh_gas_aantal,HH_rest_gas_aantal)</f>
        <v>5368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5099.6000000000004</v>
      </c>
      <c r="C31" s="165" t="s">
        <v>104</v>
      </c>
      <c r="D31" s="230"/>
      <c r="G31" s="15"/>
    </row>
    <row r="32" spans="1:7">
      <c r="A32" s="168" t="s">
        <v>72</v>
      </c>
      <c r="B32" s="165">
        <f>IF((B21*($B$26-($B$27-0.05*$B$27)-$B$60))&lt;0,0,B21*($B$26-($B$27-0.05*$B$27)-$B$60))</f>
        <v>31.817387472769887</v>
      </c>
      <c r="C32" s="165" t="s">
        <v>104</v>
      </c>
      <c r="D32" s="230"/>
      <c r="G32" s="15"/>
    </row>
    <row r="33" spans="1:7">
      <c r="A33" s="168" t="s">
        <v>73</v>
      </c>
      <c r="B33" s="165">
        <f>IF((B22*($B$26-($B$27-0.05*$B$27)-$B$60))&lt;0,0,B22*($B$26-($B$27-0.05*$B$27)-$B$60))</f>
        <v>661.51020482356375</v>
      </c>
      <c r="C33" s="165" t="s">
        <v>104</v>
      </c>
      <c r="D33" s="230"/>
      <c r="G33" s="15"/>
    </row>
    <row r="34" spans="1:7">
      <c r="A34" s="168" t="s">
        <v>74</v>
      </c>
      <c r="B34" s="165">
        <f>IF((B24*($B$26-($B$27-0.05*$B$27)-$B$60))&lt;0,0,B24*($B$26-($B$27-0.05*$B$27)-$B$60))</f>
        <v>279.31878852582344</v>
      </c>
      <c r="C34" s="165">
        <f>B26*C24</f>
        <v>1391.3710975045517</v>
      </c>
      <c r="D34" s="230"/>
      <c r="G34" s="15"/>
    </row>
    <row r="35" spans="1:7">
      <c r="A35" s="168" t="s">
        <v>76</v>
      </c>
      <c r="B35" s="165">
        <f>IF((B19*($B$26-($B$27-0.05*$B$27)-$B$60))&lt;0,0,B19*($B$26-($B$27-0.05*$B$27)-$B$60))</f>
        <v>24.08233142643979</v>
      </c>
      <c r="C35" s="165">
        <f>B35/2</f>
        <v>12.041165713219895</v>
      </c>
      <c r="D35" s="231"/>
      <c r="G35" s="15"/>
    </row>
    <row r="36" spans="1:7">
      <c r="A36" s="168" t="s">
        <v>77</v>
      </c>
      <c r="B36" s="165">
        <f>IF((B18*($B$26-($B$27-0.05*$B$27)-$B$60))&lt;0,0,B18*($B$26-($B$27-0.05*$B$27)-$B$60))</f>
        <v>1825.6712877514028</v>
      </c>
      <c r="C36" s="165" t="s">
        <v>104</v>
      </c>
      <c r="D36" s="231"/>
      <c r="G36" s="15"/>
    </row>
    <row r="37" spans="1:7">
      <c r="A37" s="168" t="s">
        <v>78</v>
      </c>
      <c r="B37" s="165">
        <f>B60</f>
        <v>141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207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141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15378.94435</v>
      </c>
      <c r="C5" s="17">
        <f>IF(ISERROR('Eigen informatie GS &amp; warmtenet'!B60),0,'Eigen informatie GS &amp; warmtenet'!B60)</f>
        <v>0</v>
      </c>
      <c r="D5" s="30">
        <f>SUM(D6:D12)</f>
        <v>16687.309322859997</v>
      </c>
      <c r="E5" s="17">
        <f>SUM(E6:E12)</f>
        <v>40.836040854243947</v>
      </c>
      <c r="F5" s="17">
        <f>SUM(F6:F12)</f>
        <v>2867.0789862429983</v>
      </c>
      <c r="G5" s="18"/>
      <c r="H5" s="17"/>
      <c r="I5" s="17"/>
      <c r="J5" s="17">
        <f>SUM(J6:J12)</f>
        <v>2.0039109117865262E-2</v>
      </c>
      <c r="K5" s="17"/>
      <c r="L5" s="17"/>
      <c r="M5" s="17"/>
      <c r="N5" s="17">
        <f>SUM(N6:N12)</f>
        <v>747.06552682740903</v>
      </c>
      <c r="O5" s="17">
        <f>B38*B39*B40</f>
        <v>9.7945215316823084</v>
      </c>
      <c r="P5" s="17">
        <f>B46*B47*B48/1000-B46*B47*B48/1000/B49</f>
        <v>210.15655322598008</v>
      </c>
      <c r="R5" s="32"/>
    </row>
    <row r="6" spans="1:18">
      <c r="A6" s="32" t="s">
        <v>53</v>
      </c>
      <c r="B6" s="37">
        <f>B26</f>
        <v>4049.2557119999997</v>
      </c>
      <c r="C6" s="33"/>
      <c r="D6" s="37">
        <f>IF(ISERROR(TER_kantoor_gas_kWh/1000),0,TER_kantoor_gas_kWh/1000)*0.902</f>
        <v>5926.7854414339999</v>
      </c>
      <c r="E6" s="33">
        <f>$C$26*'E Balans VL '!I12/100/3.6*1000000</f>
        <v>1.0573767737672071</v>
      </c>
      <c r="F6" s="33">
        <f>$C$26*('E Balans VL '!L12+'E Balans VL '!N12)/100/3.6*1000000</f>
        <v>404.58623960767267</v>
      </c>
      <c r="G6" s="34"/>
      <c r="H6" s="33"/>
      <c r="I6" s="33"/>
      <c r="J6" s="33">
        <f>$C$26*('E Balans VL '!D12+'E Balans VL '!E12)/100/3.6*1000000</f>
        <v>0</v>
      </c>
      <c r="K6" s="33"/>
      <c r="L6" s="33"/>
      <c r="M6" s="33"/>
      <c r="N6" s="33">
        <f>$C$26*'E Balans VL '!Y12/100/3.6*1000000</f>
        <v>2.8709011809955998</v>
      </c>
      <c r="O6" s="33"/>
      <c r="P6" s="33"/>
      <c r="R6" s="32"/>
    </row>
    <row r="7" spans="1:18">
      <c r="A7" s="32" t="s">
        <v>52</v>
      </c>
      <c r="B7" s="37">
        <f t="shared" ref="B7:B12" si="0">B27</f>
        <v>1328.346489</v>
      </c>
      <c r="C7" s="33"/>
      <c r="D7" s="37">
        <f>IF(ISERROR(TER_horeca_gas_kWh/1000),0,TER_horeca_gas_kWh/1000)*0.902</f>
        <v>1954.2617509140002</v>
      </c>
      <c r="E7" s="33">
        <f>$C$27*'E Balans VL '!I9/100/3.6*1000000</f>
        <v>0</v>
      </c>
      <c r="F7" s="33">
        <f>$C$27*('E Balans VL '!L9+'E Balans VL '!N9)/100/3.6*1000000</f>
        <v>109.0924107063155</v>
      </c>
      <c r="G7" s="34"/>
      <c r="H7" s="33"/>
      <c r="I7" s="33"/>
      <c r="J7" s="33">
        <f>$C$27*('E Balans VL '!D9+'E Balans VL '!E9)/100/3.6*1000000</f>
        <v>0</v>
      </c>
      <c r="K7" s="33"/>
      <c r="L7" s="33"/>
      <c r="M7" s="33"/>
      <c r="N7" s="33">
        <f>$C$27*'E Balans VL '!Y9/100/3.6*1000000</f>
        <v>16.786410737613537</v>
      </c>
      <c r="O7" s="33"/>
      <c r="P7" s="33"/>
      <c r="R7" s="32"/>
    </row>
    <row r="8" spans="1:18">
      <c r="A8" s="6" t="s">
        <v>51</v>
      </c>
      <c r="B8" s="37">
        <f t="shared" si="0"/>
        <v>4989.0900820000006</v>
      </c>
      <c r="C8" s="33"/>
      <c r="D8" s="37">
        <f>IF(ISERROR(TER_handel_gas_kWh/1000),0,TER_handel_gas_kWh/1000)*0.902</f>
        <v>2330.0412730319999</v>
      </c>
      <c r="E8" s="33">
        <f>$C$28*'E Balans VL '!I13/100/3.6*1000000</f>
        <v>18.336215236371764</v>
      </c>
      <c r="F8" s="33">
        <f>$C$28*('E Balans VL '!L13+'E Balans VL '!N13)/100/3.6*1000000</f>
        <v>476.54217141667522</v>
      </c>
      <c r="G8" s="34"/>
      <c r="H8" s="33"/>
      <c r="I8" s="33"/>
      <c r="J8" s="33">
        <f>$C$28*('E Balans VL '!D13+'E Balans VL '!E13)/100/3.6*1000000</f>
        <v>0</v>
      </c>
      <c r="K8" s="33"/>
      <c r="L8" s="33"/>
      <c r="M8" s="33"/>
      <c r="N8" s="33">
        <f>$C$28*'E Balans VL '!Y13/100/3.6*1000000</f>
        <v>1.9740657142077198</v>
      </c>
      <c r="O8" s="33"/>
      <c r="P8" s="33"/>
      <c r="R8" s="32"/>
    </row>
    <row r="9" spans="1:18">
      <c r="A9" s="32" t="s">
        <v>50</v>
      </c>
      <c r="B9" s="37">
        <f t="shared" si="0"/>
        <v>437.69780599999996</v>
      </c>
      <c r="C9" s="33"/>
      <c r="D9" s="37">
        <f>IF(ISERROR(TER_gezond_gas_kWh/1000),0,TER_gezond_gas_kWh/1000)*0.902</f>
        <v>1038.488911768</v>
      </c>
      <c r="E9" s="33">
        <f>$C$29*'E Balans VL '!I10/100/3.6*1000000</f>
        <v>0</v>
      </c>
      <c r="F9" s="33">
        <f>$C$29*('E Balans VL '!L10+'E Balans VL '!N10)/100/3.6*1000000</f>
        <v>29.568525146402969</v>
      </c>
      <c r="G9" s="34"/>
      <c r="H9" s="33"/>
      <c r="I9" s="33"/>
      <c r="J9" s="33">
        <f>$C$29*('E Balans VL '!D10+'E Balans VL '!E10)/100/3.6*1000000</f>
        <v>0</v>
      </c>
      <c r="K9" s="33"/>
      <c r="L9" s="33"/>
      <c r="M9" s="33"/>
      <c r="N9" s="33">
        <f>$C$29*'E Balans VL '!Y10/100/3.6*1000000</f>
        <v>3.4056155001670501</v>
      </c>
      <c r="O9" s="33"/>
      <c r="P9" s="33"/>
      <c r="R9" s="32"/>
    </row>
    <row r="10" spans="1:18">
      <c r="A10" s="32" t="s">
        <v>49</v>
      </c>
      <c r="B10" s="37">
        <f t="shared" si="0"/>
        <v>1466.135722</v>
      </c>
      <c r="C10" s="33"/>
      <c r="D10" s="37">
        <f>IF(ISERROR(TER_ander_gas_kWh/1000),0,TER_ander_gas_kWh/1000)*0.902</f>
        <v>975.18626854000001</v>
      </c>
      <c r="E10" s="33">
        <f>$C$30*'E Balans VL '!I14/100/3.6*1000000</f>
        <v>13.294633256637397</v>
      </c>
      <c r="F10" s="33">
        <f>$C$30*('E Balans VL '!L14+'E Balans VL '!N14)/100/3.6*1000000</f>
        <v>1158.9026857533208</v>
      </c>
      <c r="G10" s="34"/>
      <c r="H10" s="33"/>
      <c r="I10" s="33"/>
      <c r="J10" s="33">
        <f>$C$30*('E Balans VL '!D14+'E Balans VL '!E14)/100/3.6*1000000</f>
        <v>1.4511112721281472E-2</v>
      </c>
      <c r="K10" s="33"/>
      <c r="L10" s="33"/>
      <c r="M10" s="33"/>
      <c r="N10" s="33">
        <f>$C$30*'E Balans VL '!Y14/100/3.6*1000000</f>
        <v>517.47117175471567</v>
      </c>
      <c r="O10" s="33"/>
      <c r="P10" s="33"/>
      <c r="R10" s="32"/>
    </row>
    <row r="11" spans="1:18">
      <c r="A11" s="32" t="s">
        <v>54</v>
      </c>
      <c r="B11" s="37">
        <f t="shared" si="0"/>
        <v>351.76824599999998</v>
      </c>
      <c r="C11" s="33"/>
      <c r="D11" s="37">
        <f>IF(ISERROR(TER_onderwijs_gas_kWh/1000),0,TER_onderwijs_gas_kWh/1000)*0.902</f>
        <v>1112.697958108</v>
      </c>
      <c r="E11" s="33">
        <f>$C$31*'E Balans VL '!I11/100/3.6*1000000</f>
        <v>0</v>
      </c>
      <c r="F11" s="33">
        <f>$C$31*('E Balans VL '!L11+'E Balans VL '!N11)/100/3.6*1000000</f>
        <v>41.86515088747506</v>
      </c>
      <c r="G11" s="34"/>
      <c r="H11" s="33"/>
      <c r="I11" s="33"/>
      <c r="J11" s="33">
        <f>$C$31*('E Balans VL '!D11+'E Balans VL '!E11)/100/3.6*1000000</f>
        <v>0</v>
      </c>
      <c r="K11" s="33"/>
      <c r="L11" s="33"/>
      <c r="M11" s="33"/>
      <c r="N11" s="33">
        <f>$C$31*'E Balans VL '!Y11/100/3.6*1000000</f>
        <v>0.7823239958848387</v>
      </c>
      <c r="O11" s="33"/>
      <c r="P11" s="33"/>
      <c r="R11" s="32"/>
    </row>
    <row r="12" spans="1:18">
      <c r="A12" s="32" t="s">
        <v>248</v>
      </c>
      <c r="B12" s="37">
        <f t="shared" si="0"/>
        <v>2756.6502930000001</v>
      </c>
      <c r="C12" s="33"/>
      <c r="D12" s="37">
        <f>IF(ISERROR(TER_rest_gas_kWh/1000),0,TER_rest_gas_kWh/1000)*0.902</f>
        <v>3349.8477190640006</v>
      </c>
      <c r="E12" s="33">
        <f>$C$32*'E Balans VL '!I8/100/3.6*1000000</f>
        <v>8.1478155874675746</v>
      </c>
      <c r="F12" s="33">
        <f>$C$32*('E Balans VL '!L8+'E Balans VL '!N8)/100/3.6*1000000</f>
        <v>646.52180272513601</v>
      </c>
      <c r="G12" s="34"/>
      <c r="H12" s="33"/>
      <c r="I12" s="33"/>
      <c r="J12" s="33">
        <f>$C$32*('E Balans VL '!D8+'E Balans VL '!E8)/100/3.6*1000000</f>
        <v>5.5279963965837913E-3</v>
      </c>
      <c r="K12" s="33"/>
      <c r="L12" s="33"/>
      <c r="M12" s="33"/>
      <c r="N12" s="33">
        <f>$C$32*'E Balans VL '!Y8/100/3.6*1000000</f>
        <v>203.77503794382463</v>
      </c>
      <c r="O12" s="33"/>
      <c r="P12" s="33"/>
      <c r="R12" s="32"/>
    </row>
    <row r="13" spans="1:18">
      <c r="A13" s="16" t="s">
        <v>464</v>
      </c>
      <c r="B13" s="244">
        <f ca="1">'lokale energieproductie'!N45+'lokale energieproductie'!N38</f>
        <v>0</v>
      </c>
      <c r="C13" s="244">
        <f ca="1">'lokale energieproductie'!O45+'lokale energieproductie'!O38</f>
        <v>0</v>
      </c>
      <c r="D13" s="302">
        <f ca="1">('lokale energieproductie'!P38+'lokale energieproductie'!P45)*(-1)</f>
        <v>0</v>
      </c>
      <c r="E13" s="245"/>
      <c r="F13" s="302">
        <f ca="1">('lokale energieproductie'!S38+'lokale energieproductie'!S45)*(-1)</f>
        <v>0</v>
      </c>
      <c r="G13" s="246"/>
      <c r="H13" s="245"/>
      <c r="I13" s="245"/>
      <c r="J13" s="245"/>
      <c r="K13" s="245"/>
      <c r="L13" s="302">
        <f ca="1">('lokale energieproductie'!U38+'lokale energieproductie'!T38+'lokale energieproductie'!U45+'lokale energieproductie'!T45)*(-1)</f>
        <v>0</v>
      </c>
      <c r="M13" s="245"/>
      <c r="N13" s="302">
        <f ca="1">('lokale energieproductie'!Q38+'lokale energieproductie'!R38+'lokale energieproductie'!V38+'lokale energieproductie'!Q45+'lokale energieproductie'!R45+'lokale energieproductie'!V45)*(-1)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15378.94435</v>
      </c>
      <c r="C16" s="21">
        <f t="shared" ca="1" si="1"/>
        <v>0</v>
      </c>
      <c r="D16" s="21">
        <f t="shared" ca="1" si="1"/>
        <v>16687.309322859997</v>
      </c>
      <c r="E16" s="21">
        <f t="shared" si="1"/>
        <v>40.836040854243947</v>
      </c>
      <c r="F16" s="21">
        <f t="shared" ca="1" si="1"/>
        <v>2867.0789862429983</v>
      </c>
      <c r="G16" s="21">
        <f t="shared" si="1"/>
        <v>0</v>
      </c>
      <c r="H16" s="21">
        <f t="shared" si="1"/>
        <v>0</v>
      </c>
      <c r="I16" s="21">
        <f t="shared" si="1"/>
        <v>0</v>
      </c>
      <c r="J16" s="21">
        <f t="shared" si="1"/>
        <v>2.0039109117865262E-2</v>
      </c>
      <c r="K16" s="21">
        <f t="shared" si="1"/>
        <v>0</v>
      </c>
      <c r="L16" s="21">
        <f t="shared" ca="1" si="1"/>
        <v>0</v>
      </c>
      <c r="M16" s="21">
        <f t="shared" si="1"/>
        <v>0</v>
      </c>
      <c r="N16" s="21">
        <f t="shared" ca="1" si="1"/>
        <v>747.06552682740903</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0.124588099641748</v>
      </c>
      <c r="C18" s="25">
        <f ca="1">'EF ele_warmte'!B22</f>
        <v>0.23711358076567554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1916.0334510626974</v>
      </c>
      <c r="C20" s="23">
        <f t="shared" ref="C20:P20" ca="1" si="2">C16*C18</f>
        <v>0</v>
      </c>
      <c r="D20" s="23">
        <f t="shared" ca="1" si="2"/>
        <v>3370.8364832177199</v>
      </c>
      <c r="E20" s="23">
        <f t="shared" si="2"/>
        <v>9.2697812739133756</v>
      </c>
      <c r="F20" s="23">
        <f t="shared" ca="1" si="2"/>
        <v>765.51008932688057</v>
      </c>
      <c r="G20" s="23">
        <f t="shared" si="2"/>
        <v>0</v>
      </c>
      <c r="H20" s="23">
        <f t="shared" si="2"/>
        <v>0</v>
      </c>
      <c r="I20" s="23">
        <f t="shared" si="2"/>
        <v>0</v>
      </c>
      <c r="J20" s="23">
        <f t="shared" si="2"/>
        <v>7.0938446277243024E-3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4049.2557119999997</v>
      </c>
      <c r="C26" s="39">
        <f>IF(ISERROR(B26*3.6/1000000/'E Balans VL '!Z12*100),0,B26*3.6/1000000/'E Balans VL '!Z12*100)</f>
        <v>0.11331929740142953</v>
      </c>
      <c r="D26" s="234" t="s">
        <v>667</v>
      </c>
      <c r="F26" s="6"/>
    </row>
    <row r="27" spans="1:18">
      <c r="A27" s="228" t="s">
        <v>52</v>
      </c>
      <c r="B27" s="33">
        <f>IF(ISERROR(TER_horeca_ele_kWh/1000),0,TER_horeca_ele_kWh/1000)</f>
        <v>1328.346489</v>
      </c>
      <c r="C27" s="39">
        <f>IF(ISERROR(B27*3.6/1000000/'E Balans VL '!Z9*100),0,B27*3.6/1000000/'E Balans VL '!Z9*100)</f>
        <v>9.900490324698677E-2</v>
      </c>
      <c r="D27" s="234" t="s">
        <v>667</v>
      </c>
      <c r="F27" s="6"/>
    </row>
    <row r="28" spans="1:18">
      <c r="A28" s="168" t="s">
        <v>51</v>
      </c>
      <c r="B28" s="33">
        <f>IF(ISERROR(TER_handel_ele_kWh/1000),0,TER_handel_ele_kWh/1000)</f>
        <v>4989.0900820000006</v>
      </c>
      <c r="C28" s="39">
        <f>IF(ISERROR(B28*3.6/1000000/'E Balans VL '!Z13*100),0,B28*3.6/1000000/'E Balans VL '!Z13*100)</f>
        <v>0.14454714799721435</v>
      </c>
      <c r="D28" s="234" t="s">
        <v>667</v>
      </c>
      <c r="F28" s="6"/>
    </row>
    <row r="29" spans="1:18">
      <c r="A29" s="228" t="s">
        <v>50</v>
      </c>
      <c r="B29" s="33">
        <f>IF(ISERROR(TER_gezond_ele_kWh/1000),0,TER_gezond_ele_kWh/1000)</f>
        <v>437.69780599999996</v>
      </c>
      <c r="C29" s="39">
        <f>IF(ISERROR(B29*3.6/1000000/'E Balans VL '!Z10*100),0,B29*3.6/1000000/'E Balans VL '!Z10*100)</f>
        <v>4.4142345710993264E-2</v>
      </c>
      <c r="D29" s="234" t="s">
        <v>667</v>
      </c>
      <c r="F29" s="6"/>
    </row>
    <row r="30" spans="1:18">
      <c r="A30" s="228" t="s">
        <v>49</v>
      </c>
      <c r="B30" s="33">
        <f>IF(ISERROR(TER_ander_ele_kWh/1000),0,TER_ander_ele_kWh/1000)</f>
        <v>1466.135722</v>
      </c>
      <c r="C30" s="39">
        <f>IF(ISERROR(B30*3.6/1000000/'E Balans VL '!Z14*100),0,B30*3.6/1000000/'E Balans VL '!Z14*100)</f>
        <v>5.9431178380674965E-2</v>
      </c>
      <c r="D30" s="234" t="s">
        <v>667</v>
      </c>
      <c r="F30" s="6"/>
    </row>
    <row r="31" spans="1:18">
      <c r="A31" s="228" t="s">
        <v>54</v>
      </c>
      <c r="B31" s="33">
        <f>IF(ISERROR(TER_onderwijs_ele_kWh/1000),0,TER_onderwijs_ele_kWh/1000)</f>
        <v>351.76824599999998</v>
      </c>
      <c r="C31" s="39">
        <f>IF(ISERROR(B31*3.6/1000000/'E Balans VL '!Z11*100),0,B31*3.6/1000000/'E Balans VL '!Z11*100)</f>
        <v>0.10026827477998569</v>
      </c>
      <c r="D31" s="234" t="s">
        <v>667</v>
      </c>
    </row>
    <row r="32" spans="1:18">
      <c r="A32" s="228" t="s">
        <v>248</v>
      </c>
      <c r="B32" s="33">
        <f>IF(ISERROR(TER_rest_ele_kWh/1000),0,TER_rest_ele_kWh/1000)</f>
        <v>2756.6502930000001</v>
      </c>
      <c r="C32" s="39">
        <f>IF(ISERROR(B32*3.6/1000000/'E Balans VL '!Z8*100),0,B32*3.6/1000000/'E Balans VL '!Z8*100)</f>
        <v>2.264025827952406E-2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5774.2072889999999</v>
      </c>
      <c r="C5" s="17">
        <f>IF(ISERROR('Eigen informatie GS &amp; warmtenet'!B61),0,'Eigen informatie GS &amp; warmtenet'!B61)</f>
        <v>0</v>
      </c>
      <c r="D5" s="30">
        <f>SUM(D6:D15)</f>
        <v>3431.2281633080001</v>
      </c>
      <c r="E5" s="17">
        <f>SUM(E6:E15)</f>
        <v>79.911246244413036</v>
      </c>
      <c r="F5" s="17">
        <f>SUM(F6:F15)</f>
        <v>2044.498433293895</v>
      </c>
      <c r="G5" s="18"/>
      <c r="H5" s="17"/>
      <c r="I5" s="17"/>
      <c r="J5" s="17">
        <f>SUM(J6:J15)</f>
        <v>6.417482148669774</v>
      </c>
      <c r="K5" s="17"/>
      <c r="L5" s="17"/>
      <c r="M5" s="17"/>
      <c r="N5" s="17">
        <f>SUM(N6:N15)</f>
        <v>224.58556590955823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1506.6462429999999</v>
      </c>
      <c r="C8" s="33"/>
      <c r="D8" s="37">
        <f>IF( ISERROR(IND_metaal_Gas_kWH/1000),0,IND_metaal_Gas_kWH/1000)*0.902</f>
        <v>586.61129824</v>
      </c>
      <c r="E8" s="33">
        <f>C30*'E Balans VL '!I18/100/3.6*1000000</f>
        <v>10.812053196410719</v>
      </c>
      <c r="F8" s="33">
        <f>C30*'E Balans VL '!L18/100/3.6*1000000+C30*'E Balans VL '!N18/100/3.6*1000000</f>
        <v>100.28129531611219</v>
      </c>
      <c r="G8" s="34"/>
      <c r="H8" s="33"/>
      <c r="I8" s="33"/>
      <c r="J8" s="40">
        <f>C30*'E Balans VL '!D18/100/3.6*1000000+C30*'E Balans VL '!E18/100/3.6*1000000</f>
        <v>1.4524714041545608</v>
      </c>
      <c r="K8" s="33"/>
      <c r="L8" s="33"/>
      <c r="M8" s="33"/>
      <c r="N8" s="33">
        <f>C30*'E Balans VL '!Y18/100/3.6*1000000</f>
        <v>18.257084224421998</v>
      </c>
      <c r="O8" s="33"/>
      <c r="P8" s="33"/>
      <c r="R8" s="32"/>
    </row>
    <row r="9" spans="1:18">
      <c r="A9" s="6" t="s">
        <v>32</v>
      </c>
      <c r="B9" s="37">
        <f t="shared" si="0"/>
        <v>2601.4211299999997</v>
      </c>
      <c r="C9" s="33"/>
      <c r="D9" s="37">
        <f>IF( ISERROR(IND_andere_gas_kWh/1000),0,IND_andere_gas_kWh/1000)*0.902</f>
        <v>1745.753127206</v>
      </c>
      <c r="E9" s="33">
        <f>C31*'E Balans VL '!I19/100/3.6*1000000</f>
        <v>6.8395950889173358</v>
      </c>
      <c r="F9" s="33">
        <f>C31*'E Balans VL '!L19/100/3.6*1000000+C31*'E Balans VL '!N19/100/3.6*1000000</f>
        <v>1717.9906611622305</v>
      </c>
      <c r="G9" s="34"/>
      <c r="H9" s="33"/>
      <c r="I9" s="33"/>
      <c r="J9" s="40">
        <f>C31*'E Balans VL '!D19/100/3.6*1000000+C31*'E Balans VL '!E19/100/3.6*1000000</f>
        <v>0</v>
      </c>
      <c r="K9" s="33"/>
      <c r="L9" s="33"/>
      <c r="M9" s="33"/>
      <c r="N9" s="33">
        <f>C31*'E Balans VL '!Y19/100/3.6*1000000</f>
        <v>138.88573486322906</v>
      </c>
      <c r="O9" s="33"/>
      <c r="P9" s="33"/>
      <c r="R9" s="32"/>
    </row>
    <row r="10" spans="1:18">
      <c r="A10" s="6" t="s">
        <v>40</v>
      </c>
      <c r="B10" s="37">
        <f t="shared" si="0"/>
        <v>374.27326500000004</v>
      </c>
      <c r="C10" s="33"/>
      <c r="D10" s="37">
        <f>IF( ISERROR(IND_voed_gas_kWh/1000),0,IND_voed_gas_kWh/1000)*0.902</f>
        <v>436.782715688</v>
      </c>
      <c r="E10" s="33">
        <f>C32*'E Balans VL '!I20/100/3.6*1000000</f>
        <v>0.63185883057722914</v>
      </c>
      <c r="F10" s="33">
        <f>C32*'E Balans VL '!L20/100/3.6*1000000+C32*'E Balans VL '!N20/100/3.6*1000000</f>
        <v>21.96820718711621</v>
      </c>
      <c r="G10" s="34"/>
      <c r="H10" s="33"/>
      <c r="I10" s="33"/>
      <c r="J10" s="40">
        <f>C32*'E Balans VL '!D20/100/3.6*1000000+C32*'E Balans VL '!E20/100/3.6*1000000</f>
        <v>0</v>
      </c>
      <c r="K10" s="33"/>
      <c r="L10" s="33"/>
      <c r="M10" s="33"/>
      <c r="N10" s="33">
        <f>C32*'E Balans VL '!Y20/100/3.6*1000000</f>
        <v>20.377305667000446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1291.866651</v>
      </c>
      <c r="C15" s="33"/>
      <c r="D15" s="37">
        <f>IF( ISERROR(IND_rest_gas_kWh/1000),0,IND_rest_gas_kWh/1000)*0.902</f>
        <v>662.08102217400005</v>
      </c>
      <c r="E15" s="33">
        <f>C37*'E Balans VL '!I15/100/3.6*1000000</f>
        <v>61.627739128507748</v>
      </c>
      <c r="F15" s="33">
        <f>C37*'E Balans VL '!L15/100/3.6*1000000+C37*'E Balans VL '!N15/100/3.6*1000000</f>
        <v>204.25826962843615</v>
      </c>
      <c r="G15" s="34"/>
      <c r="H15" s="33"/>
      <c r="I15" s="33"/>
      <c r="J15" s="40">
        <f>C37*'E Balans VL '!D15/100/3.6*1000000+C37*'E Balans VL '!E15/100/3.6*1000000</f>
        <v>4.9650107445152134</v>
      </c>
      <c r="K15" s="33"/>
      <c r="L15" s="33"/>
      <c r="M15" s="33"/>
      <c r="N15" s="33">
        <f>C37*'E Balans VL '!Y15/100/3.6*1000000</f>
        <v>47.065441154906715</v>
      </c>
      <c r="O15" s="33"/>
      <c r="P15" s="33"/>
      <c r="R15" s="32"/>
    </row>
    <row r="16" spans="1:18">
      <c r="A16" s="16" t="s">
        <v>464</v>
      </c>
      <c r="B16" s="244">
        <f>'lokale energieproductie'!N44+'lokale energieproductie'!N37</f>
        <v>0</v>
      </c>
      <c r="C16" s="244">
        <f>'lokale energieproductie'!O44+'lokale energieproductie'!O37</f>
        <v>0</v>
      </c>
      <c r="D16" s="302">
        <f>('lokale energieproductie'!P37+'lokale energieproductie'!P44)*(-1)</f>
        <v>0</v>
      </c>
      <c r="E16" s="245"/>
      <c r="F16" s="302">
        <f>('lokale energieproductie'!S37+'lokale energieproductie'!S44)*(-1)</f>
        <v>0</v>
      </c>
      <c r="G16" s="246"/>
      <c r="H16" s="245"/>
      <c r="I16" s="245"/>
      <c r="J16" s="245"/>
      <c r="K16" s="245"/>
      <c r="L16" s="302">
        <f>('lokale energieproductie'!T37+'lokale energieproductie'!U37+'lokale energieproductie'!T44+'lokale energieproductie'!U44)*(-1)</f>
        <v>0</v>
      </c>
      <c r="M16" s="245"/>
      <c r="N16" s="302">
        <f>('lokale energieproductie'!Q37+'lokale energieproductie'!R37+'lokale energieproductie'!V37+'lokale energieproductie'!Q44+'lokale energieproductie'!R44+'lokale energieproductie'!V44)*(-1)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5774.2072889999999</v>
      </c>
      <c r="C18" s="21">
        <f>C5+C16</f>
        <v>0</v>
      </c>
      <c r="D18" s="21">
        <f>MAX((D5+D16),0)</f>
        <v>3431.2281633080001</v>
      </c>
      <c r="E18" s="21">
        <f>MAX((E5+E16),0)</f>
        <v>79.911246244413036</v>
      </c>
      <c r="F18" s="21">
        <f>MAX((F5+F16),0)</f>
        <v>2044.498433293895</v>
      </c>
      <c r="G18" s="21"/>
      <c r="H18" s="21"/>
      <c r="I18" s="21"/>
      <c r="J18" s="21">
        <f>MAX((J5+J16),0)</f>
        <v>6.417482148669774</v>
      </c>
      <c r="K18" s="21"/>
      <c r="L18" s="21">
        <f>MAX((L5+L16),0)</f>
        <v>0</v>
      </c>
      <c r="M18" s="21"/>
      <c r="N18" s="21">
        <f>MAX((N5+N16),0)</f>
        <v>224.58556590955823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0.124588099641748</v>
      </c>
      <c r="C20" s="25">
        <f ca="1">'EF ele_warmte'!B22</f>
        <v>0.23711358076567554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719.39751307403958</v>
      </c>
      <c r="C22" s="23">
        <f ca="1">C18*C20</f>
        <v>0</v>
      </c>
      <c r="D22" s="23">
        <f>D18*D20</f>
        <v>693.10808898821608</v>
      </c>
      <c r="E22" s="23">
        <f>E18*E20</f>
        <v>18.139852897481759</v>
      </c>
      <c r="F22" s="23">
        <f>F18*F20</f>
        <v>545.88108168946997</v>
      </c>
      <c r="G22" s="23"/>
      <c r="H22" s="23"/>
      <c r="I22" s="23"/>
      <c r="J22" s="23">
        <f>J18*J20</f>
        <v>2.2717886806290997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1506.6462429999999</v>
      </c>
      <c r="C30" s="39">
        <f>IF(ISERROR(B30*3.6/1000000/'E Balans VL '!Z18*100),0,B30*3.6/1000000/'E Balans VL '!Z18*100)</f>
        <v>8.3364906891514032E-2</v>
      </c>
      <c r="D30" s="234" t="s">
        <v>667</v>
      </c>
    </row>
    <row r="31" spans="1:18">
      <c r="A31" s="6" t="s">
        <v>32</v>
      </c>
      <c r="B31" s="37">
        <f>IF( ISERROR(IND_ander_ele_kWh/1000),0,IND_ander_ele_kWh/1000)</f>
        <v>2601.4211299999997</v>
      </c>
      <c r="C31" s="39">
        <f>IF(ISERROR(B31*3.6/1000000/'E Balans VL '!Z19*100),0,B31*3.6/1000000/'E Balans VL '!Z19*100)</f>
        <v>0.11348211802732169</v>
      </c>
      <c r="D31" s="234" t="s">
        <v>667</v>
      </c>
    </row>
    <row r="32" spans="1:18">
      <c r="A32" s="168" t="s">
        <v>40</v>
      </c>
      <c r="B32" s="37">
        <f>IF( ISERROR(IND_voed_ele_kWh/1000),0,IND_voed_ele_kWh/1000)</f>
        <v>374.27326500000004</v>
      </c>
      <c r="C32" s="39">
        <f>IF(ISERROR(B32*3.6/1000000/'E Balans VL '!Z20*100),0,B32*3.6/1000000/'E Balans VL '!Z20*100)</f>
        <v>1.174817227052719E-2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1291.866651</v>
      </c>
      <c r="C37" s="39">
        <f>IF(ISERROR(B37*3.6/1000000/'E Balans VL '!Z15*100),0,B37*3.6/1000000/'E Balans VL '!Z15*100)</f>
        <v>1.0513750772915333E-2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13925.408696999999</v>
      </c>
      <c r="C5" s="17">
        <f>'Eigen informatie GS &amp; warmtenet'!B62</f>
        <v>0</v>
      </c>
      <c r="D5" s="30">
        <f>IF(ISERROR(SUM(LB_lb_gas_kWh,LB_rest_gas_kWh)/1000),0,SUM(LB_lb_gas_kWh,LB_rest_gas_kWh)/1000)*0.902</f>
        <v>134056.60819869998</v>
      </c>
      <c r="E5" s="17">
        <f>B17*'E Balans VL '!I25/3.6*1000000/100</f>
        <v>565.73991886873046</v>
      </c>
      <c r="F5" s="17">
        <f>B17*('E Balans VL '!L25/3.6*1000000+'E Balans VL '!N25/3.6*1000000)/100</f>
        <v>49259.043193622434</v>
      </c>
      <c r="G5" s="18"/>
      <c r="H5" s="17"/>
      <c r="I5" s="17"/>
      <c r="J5" s="17">
        <f>('E Balans VL '!D25+'E Balans VL '!E25)/3.6*1000000*landbouw!B17/100</f>
        <v>3956.4972680788342</v>
      </c>
      <c r="K5" s="17"/>
      <c r="L5" s="17">
        <f>L6*(-1)</f>
        <v>0</v>
      </c>
      <c r="M5" s="17"/>
      <c r="N5" s="17">
        <f>N6*(-1)</f>
        <v>374.14285714285711</v>
      </c>
      <c r="O5" s="17"/>
      <c r="P5" s="17"/>
      <c r="R5" s="32"/>
    </row>
    <row r="6" spans="1:18">
      <c r="A6" s="16" t="s">
        <v>464</v>
      </c>
      <c r="B6" s="17" t="s">
        <v>204</v>
      </c>
      <c r="C6" s="17">
        <f>'lokale energieproductie'!O46+'lokale energieproductie'!O39</f>
        <v>83334.21428571429</v>
      </c>
      <c r="D6" s="302">
        <f>('lokale energieproductie'!P39+'lokale energieproductie'!P46)*(-1)</f>
        <v>-166294.28571428571</v>
      </c>
      <c r="E6" s="245"/>
      <c r="F6" s="302">
        <f>('lokale energieproductie'!S39+'lokale energieproductie'!S46)*(-1)</f>
        <v>0</v>
      </c>
      <c r="G6" s="246"/>
      <c r="H6" s="245"/>
      <c r="I6" s="245"/>
      <c r="J6" s="245"/>
      <c r="K6" s="245"/>
      <c r="L6" s="302">
        <f>('lokale energieproductie'!T39+'lokale energieproductie'!U39+'lokale energieproductie'!T46+'lokale energieproductie'!U46)*(-1)</f>
        <v>0</v>
      </c>
      <c r="M6" s="245"/>
      <c r="N6" s="302">
        <f>('lokale energieproductie'!V39+'lokale energieproductie'!R39+'lokale energieproductie'!Q39+'lokale energieproductie'!Q46+'lokale energieproductie'!R46+'lokale energieproductie'!V46)*(-1)</f>
        <v>-374.14285714285711</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13925.408696999999</v>
      </c>
      <c r="C8" s="21">
        <f>C5+C6</f>
        <v>83334.21428571429</v>
      </c>
      <c r="D8" s="21">
        <f>MAX((D5+D6),0)</f>
        <v>0</v>
      </c>
      <c r="E8" s="21">
        <f>MAX((E5+E6),0)</f>
        <v>565.73991886873046</v>
      </c>
      <c r="F8" s="21">
        <f>MAX((F5+F6),0)</f>
        <v>49259.043193622434</v>
      </c>
      <c r="G8" s="21"/>
      <c r="H8" s="21"/>
      <c r="I8" s="21"/>
      <c r="J8" s="21">
        <f>MAX((J5+J6),0)</f>
        <v>3956.4972680788342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0.124588099641748</v>
      </c>
      <c r="C10" s="31">
        <f ca="1">'EF ele_warmte'!B22</f>
        <v>0.23711358076567554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1734.9402062939</v>
      </c>
      <c r="C12" s="23">
        <f ca="1">C8*C10</f>
        <v>19759.673949579828</v>
      </c>
      <c r="D12" s="23">
        <f>D8*D10</f>
        <v>0</v>
      </c>
      <c r="E12" s="23">
        <f>E8*E10</f>
        <v>128.42296158320181</v>
      </c>
      <c r="F12" s="23">
        <f>F8*F10</f>
        <v>13152.16453269719</v>
      </c>
      <c r="G12" s="23"/>
      <c r="H12" s="23"/>
      <c r="I12" s="23"/>
      <c r="J12" s="23">
        <f>J8*J10</f>
        <v>1400.6000328999073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2.0701118295944001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1818.4126244342519</v>
      </c>
      <c r="C26" s="244">
        <f>B26*'GWP N2O_CH4'!B5</f>
        <v>38186.665113119292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1027.1463074370467</v>
      </c>
      <c r="C27" s="244">
        <f>B27*'GWP N2O_CH4'!B5</f>
        <v>21570.072456177983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28.523119704376768</v>
      </c>
      <c r="C28" s="244">
        <f>B28*'GWP N2O_CH4'!B4</f>
        <v>8842.1671083567981</v>
      </c>
      <c r="D28" s="50"/>
    </row>
    <row r="29" spans="1:4">
      <c r="A29" s="41" t="s">
        <v>265</v>
      </c>
      <c r="B29" s="244">
        <f>B34*'ha_N2O bodem landbouw'!B4</f>
        <v>39.498508024276902</v>
      </c>
      <c r="C29" s="244">
        <f>B29*'GWP N2O_CH4'!B4</f>
        <v>12244.53748752584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8.6613116550771294E-3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6.8720003046382624E-4</v>
      </c>
      <c r="C5" s="429" t="s">
        <v>204</v>
      </c>
      <c r="D5" s="414">
        <f>SUM(D6:D11)</f>
        <v>1.0525453107867178E-3</v>
      </c>
      <c r="E5" s="414">
        <f>SUM(E6:E11)</f>
        <v>1.0139771259286292E-3</v>
      </c>
      <c r="F5" s="427" t="s">
        <v>204</v>
      </c>
      <c r="G5" s="414">
        <f>SUM(G6:G11)</f>
        <v>0.60448815040286585</v>
      </c>
      <c r="H5" s="414">
        <f>SUM(H6:H11)</f>
        <v>0.10364492674314063</v>
      </c>
      <c r="I5" s="429" t="s">
        <v>204</v>
      </c>
      <c r="J5" s="429" t="s">
        <v>204</v>
      </c>
      <c r="K5" s="429" t="s">
        <v>204</v>
      </c>
      <c r="L5" s="429" t="s">
        <v>204</v>
      </c>
      <c r="M5" s="414">
        <f>SUM(M6:M11)</f>
        <v>4.1706091209378356E-2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2.2837173104817279E-4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3.8744471721155298E-4</v>
      </c>
      <c r="E6" s="843">
        <f>vkm_GW_PW*SUMIFS(TableVerdeelsleutelVkm[LPG],TableVerdeelsleutelVkm[Voertuigtype],"Lichte voertuigen")*SUMIFS(TableECFTransport[EnergieConsumptieFactor (PJ per km)],TableECFTransport[Index],CONCATENATE($A6,"_LPG_LPG"))</f>
        <v>3.3545327026424191E-4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0.10715783955722884</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3.7278872181802564E-2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8.6450336260561929E-3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1.2936194332709665E-6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4.9373676000310118E-2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7.8689210303514031E-7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2.8460228492733185E-3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5.8846759768753593E-5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1.2728217555889917E-4</v>
      </c>
      <c r="E8" s="417">
        <f>vkm_NGW_PW*SUMIFS(TableVerdeelsleutelVkm[LPG],TableVerdeelsleutelVkm[Voertuigtype],"Lichte voertuigen")*SUMIFS(TableECFTransport[EnergieConsumptieFactor (PJ per km)],TableECFTransport[Index],CONCATENATE($A8,"_LPG_LPG"))</f>
        <v>1.0525444876022469E-4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3.1196622560966725E-2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1.2033681170818386E-2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2.5949899423873164E-3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8.8788854281344523E-8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4.3565788441460298E-3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6.5190386216911718E-8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2.5112387956991133E-4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3.9176151681076575E-4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5.3781841801626572E-4</v>
      </c>
      <c r="E10" s="417">
        <f>vkm_SW_PW*SUMIFS(TableVerdeelsleutelVkm[LPG],TableVerdeelsleutelVkm[Voertuigtype],"Lichte voertuigen")*SUMIFS(TableECFTransport[EnergieConsumptieFactor (PJ per km)],TableECFTransport[Index],CONCATENATE($A10,"_LPG_LPG"))</f>
        <v>5.7326940690416244E-4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0.1648839718511175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5.4327240322990439E-2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1.3101254428740772E-2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6.8376145485818534E-6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0.2475194615890966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4.2809850399851804E-6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1.4267666483350844E-2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190.88889735106284</v>
      </c>
      <c r="C14" s="21"/>
      <c r="D14" s="21">
        <f t="shared" ref="D14:M14" si="0">((D5)*10^9/3600)+D12</f>
        <v>292.37369744075494</v>
      </c>
      <c r="E14" s="21">
        <f t="shared" si="0"/>
        <v>281.66031275795257</v>
      </c>
      <c r="F14" s="21"/>
      <c r="G14" s="21">
        <f t="shared" si="0"/>
        <v>167913.3751119072</v>
      </c>
      <c r="H14" s="21">
        <f t="shared" si="0"/>
        <v>28790.257428650177</v>
      </c>
      <c r="I14" s="21"/>
      <c r="J14" s="21"/>
      <c r="K14" s="21"/>
      <c r="L14" s="21"/>
      <c r="M14" s="21">
        <f t="shared" si="0"/>
        <v>11585.025335938431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0.124588099641748</v>
      </c>
      <c r="C16" s="56">
        <f ca="1">'EF ele_warmte'!B22</f>
        <v>0.23711358076567554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23.782484963677621</v>
      </c>
      <c r="C18" s="23"/>
      <c r="D18" s="23">
        <f t="shared" ref="D18:M18" si="1">D14*D16</f>
        <v>59.059486883032498</v>
      </c>
      <c r="E18" s="23">
        <f t="shared" si="1"/>
        <v>63.936890996055233</v>
      </c>
      <c r="F18" s="23"/>
      <c r="G18" s="23">
        <f t="shared" si="1"/>
        <v>44832.871154879227</v>
      </c>
      <c r="H18" s="23">
        <f t="shared" si="1"/>
        <v>7168.7740997338942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8.9238838601396592E-5</v>
      </c>
      <c r="C50" s="313">
        <f t="shared" ref="C50:P50" si="2">SUM(C51:C52)</f>
        <v>0</v>
      </c>
      <c r="D50" s="313">
        <f t="shared" si="2"/>
        <v>0</v>
      </c>
      <c r="E50" s="313">
        <f t="shared" si="2"/>
        <v>0</v>
      </c>
      <c r="F50" s="313">
        <f t="shared" si="2"/>
        <v>0</v>
      </c>
      <c r="G50" s="313">
        <f t="shared" si="2"/>
        <v>6.4654883568826113E-3</v>
      </c>
      <c r="H50" s="313">
        <f t="shared" si="2"/>
        <v>0</v>
      </c>
      <c r="I50" s="313">
        <f t="shared" si="2"/>
        <v>0</v>
      </c>
      <c r="J50" s="313">
        <f t="shared" si="2"/>
        <v>0</v>
      </c>
      <c r="K50" s="313">
        <f t="shared" si="2"/>
        <v>0</v>
      </c>
      <c r="L50" s="313">
        <f t="shared" si="2"/>
        <v>0</v>
      </c>
      <c r="M50" s="313">
        <f t="shared" si="2"/>
        <v>3.657072759053288E-4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8.9238838601396592E-5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6.4654883568826113E-3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3.657072759053288E-4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24.788566278165721</v>
      </c>
      <c r="C54" s="21">
        <f t="shared" ref="C54:P54" si="3">(C50)*10^9/3600</f>
        <v>0</v>
      </c>
      <c r="D54" s="21">
        <f t="shared" si="3"/>
        <v>0</v>
      </c>
      <c r="E54" s="21">
        <f t="shared" si="3"/>
        <v>0</v>
      </c>
      <c r="F54" s="21">
        <f t="shared" si="3"/>
        <v>0</v>
      </c>
      <c r="G54" s="21">
        <f t="shared" si="3"/>
        <v>1795.9689880229475</v>
      </c>
      <c r="H54" s="21">
        <f t="shared" si="3"/>
        <v>0</v>
      </c>
      <c r="I54" s="21">
        <f t="shared" si="3"/>
        <v>0</v>
      </c>
      <c r="J54" s="21">
        <f t="shared" si="3"/>
        <v>0</v>
      </c>
      <c r="K54" s="21">
        <f t="shared" si="3"/>
        <v>0</v>
      </c>
      <c r="L54" s="21">
        <f t="shared" si="3"/>
        <v>0</v>
      </c>
      <c r="M54" s="21">
        <f t="shared" si="3"/>
        <v>101.58535441814689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0.124588099641748</v>
      </c>
      <c r="C56" s="56">
        <f ca="1">'EF ele_warmte'!B22</f>
        <v>0.23711358076567554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3.088360365440185</v>
      </c>
      <c r="C58" s="23">
        <f t="shared" ref="C58:P58" ca="1" si="4">C54*C56</f>
        <v>0</v>
      </c>
      <c r="D58" s="23">
        <f t="shared" si="4"/>
        <v>0</v>
      </c>
      <c r="E58" s="23">
        <f t="shared" si="4"/>
        <v>0</v>
      </c>
      <c r="F58" s="23">
        <f t="shared" si="4"/>
        <v>0</v>
      </c>
      <c r="G58" s="23">
        <f t="shared" si="4"/>
        <v>479.523719802127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42630.039829167399</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10056.017735592188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N36</f>
        <v>58333.950000000004</v>
      </c>
      <c r="C8" s="539">
        <f>B55</f>
        <v>68474.117647058825</v>
      </c>
      <c r="D8" s="540"/>
      <c r="E8" s="540">
        <f>E55</f>
        <v>0</v>
      </c>
      <c r="F8" s="541"/>
      <c r="G8" s="542"/>
      <c r="H8" s="540">
        <f>I55</f>
        <v>0</v>
      </c>
      <c r="I8" s="540">
        <f>G55+F55</f>
        <v>0</v>
      </c>
      <c r="J8" s="540">
        <f>H55+D55+C55</f>
        <v>154.05882352941174</v>
      </c>
      <c r="K8" s="540"/>
      <c r="L8" s="540"/>
      <c r="M8" s="540"/>
      <c r="N8" s="543"/>
      <c r="O8" s="544">
        <f>C8*$C$12+D8*$D$12+E8*$E$12+F8*$F$12+G8*$G$12+H8*$H$12+I8*$I$12+J8*$J$12</f>
        <v>13831.771764705883</v>
      </c>
      <c r="P8" s="1230"/>
      <c r="Q8" s="1231"/>
      <c r="S8" s="534"/>
      <c r="T8" s="1227"/>
      <c r="U8" s="1227"/>
    </row>
    <row r="9" spans="1:21" s="525" customFormat="1" ht="17.45" customHeight="1" thickBot="1">
      <c r="A9" s="545" t="s">
        <v>236</v>
      </c>
      <c r="B9" s="546">
        <f>N43+'Eigen informatie GS &amp; warmtenet'!B12</f>
        <v>0</v>
      </c>
      <c r="C9" s="547">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111020.00756475958</v>
      </c>
      <c r="C10" s="554">
        <f t="shared" ref="C10:L10" si="0">SUM(C8:C9)</f>
        <v>68474.117647058825</v>
      </c>
      <c r="D10" s="554">
        <f t="shared" si="0"/>
        <v>0</v>
      </c>
      <c r="E10" s="554">
        <f t="shared" si="0"/>
        <v>0</v>
      </c>
      <c r="F10" s="554">
        <f t="shared" si="0"/>
        <v>0</v>
      </c>
      <c r="G10" s="554">
        <f t="shared" si="0"/>
        <v>0</v>
      </c>
      <c r="H10" s="554">
        <f t="shared" si="0"/>
        <v>0</v>
      </c>
      <c r="I10" s="554">
        <f t="shared" si="0"/>
        <v>0</v>
      </c>
      <c r="J10" s="554">
        <f t="shared" si="0"/>
        <v>154.05882352941174</v>
      </c>
      <c r="K10" s="554">
        <f t="shared" si="0"/>
        <v>0</v>
      </c>
      <c r="L10" s="554">
        <f t="shared" si="0"/>
        <v>0</v>
      </c>
      <c r="M10" s="923"/>
      <c r="N10" s="923"/>
      <c r="O10" s="555">
        <f>SUM(O4:O9)</f>
        <v>13831.771764705883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O36</f>
        <v>83334.21428571429</v>
      </c>
      <c r="C17" s="570">
        <f>B56</f>
        <v>97820.16806722687</v>
      </c>
      <c r="D17" s="571"/>
      <c r="E17" s="571">
        <f>E56</f>
        <v>0</v>
      </c>
      <c r="F17" s="572"/>
      <c r="G17" s="573"/>
      <c r="H17" s="570">
        <f>I56</f>
        <v>0</v>
      </c>
      <c r="I17" s="571">
        <f>G56+F56</f>
        <v>0</v>
      </c>
      <c r="J17" s="571">
        <f>H56+D56+C56</f>
        <v>220.08403361344531</v>
      </c>
      <c r="K17" s="571"/>
      <c r="L17" s="571"/>
      <c r="M17" s="571"/>
      <c r="N17" s="924"/>
      <c r="O17" s="574">
        <f>C17*$C$22+E17*$E$22+H17*$H$22+I17*$I$22+J17*$J$22+D17*$D$22+F17*$F$22+G17*$G$22+K17*$K$22+L17*$L$22</f>
        <v>19759.673949579828</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83334.21428571429</v>
      </c>
      <c r="C20" s="553">
        <f>SUM(C17:C19)</f>
        <v>97820.16806722687</v>
      </c>
      <c r="D20" s="553">
        <f t="shared" ref="D20:L20" si="1">SUM(D17:D19)</f>
        <v>0</v>
      </c>
      <c r="E20" s="553">
        <f t="shared" si="1"/>
        <v>0</v>
      </c>
      <c r="F20" s="553">
        <f t="shared" si="1"/>
        <v>0</v>
      </c>
      <c r="G20" s="553">
        <f t="shared" si="1"/>
        <v>0</v>
      </c>
      <c r="H20" s="553">
        <f t="shared" si="1"/>
        <v>0</v>
      </c>
      <c r="I20" s="553">
        <f t="shared" si="1"/>
        <v>0</v>
      </c>
      <c r="J20" s="553">
        <f t="shared" si="1"/>
        <v>220.08403361344531</v>
      </c>
      <c r="K20" s="553">
        <f t="shared" si="1"/>
        <v>0</v>
      </c>
      <c r="L20" s="553">
        <f t="shared" si="1"/>
        <v>0</v>
      </c>
      <c r="M20" s="553"/>
      <c r="N20" s="553"/>
      <c r="O20" s="579">
        <f>SUM(O17:O19)</f>
        <v>19759.673949579828</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11053</v>
      </c>
      <c r="C28" s="745">
        <v>2990</v>
      </c>
      <c r="D28" s="631"/>
      <c r="E28" s="630"/>
      <c r="F28" s="630"/>
      <c r="G28" s="630" t="s">
        <v>883</v>
      </c>
      <c r="H28" s="630" t="s">
        <v>884</v>
      </c>
      <c r="I28" s="630"/>
      <c r="J28" s="744"/>
      <c r="K28" s="744"/>
      <c r="L28" s="630" t="s">
        <v>885</v>
      </c>
      <c r="M28" s="630">
        <v>3435</v>
      </c>
      <c r="N28" s="630">
        <v>15457.5</v>
      </c>
      <c r="O28" s="630">
        <v>22082.142857142859</v>
      </c>
      <c r="P28" s="630">
        <v>44164.285714285717</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11053</v>
      </c>
      <c r="C29" s="745">
        <v>2990</v>
      </c>
      <c r="D29" s="631"/>
      <c r="E29" s="630"/>
      <c r="F29" s="630"/>
      <c r="G29" s="630" t="s">
        <v>883</v>
      </c>
      <c r="H29" s="630" t="s">
        <v>884</v>
      </c>
      <c r="I29" s="630"/>
      <c r="J29" s="744"/>
      <c r="K29" s="744"/>
      <c r="L29" s="630" t="s">
        <v>885</v>
      </c>
      <c r="M29" s="630">
        <v>5140</v>
      </c>
      <c r="N29" s="630">
        <v>23130</v>
      </c>
      <c r="O29" s="630">
        <v>33042.857142857145</v>
      </c>
      <c r="P29" s="630">
        <v>66085.71428571429</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11053</v>
      </c>
      <c r="C30" s="745">
        <v>2990</v>
      </c>
      <c r="D30" s="631"/>
      <c r="E30" s="630"/>
      <c r="F30" s="630"/>
      <c r="G30" s="630" t="s">
        <v>883</v>
      </c>
      <c r="H30" s="630" t="s">
        <v>884</v>
      </c>
      <c r="I30" s="630"/>
      <c r="J30" s="744"/>
      <c r="K30" s="744"/>
      <c r="L30" s="630" t="s">
        <v>885</v>
      </c>
      <c r="M30" s="630">
        <v>1558</v>
      </c>
      <c r="N30" s="630">
        <v>7011</v>
      </c>
      <c r="O30" s="630">
        <v>10015.714285714286</v>
      </c>
      <c r="P30" s="630">
        <v>20031.428571428572</v>
      </c>
      <c r="Q30" s="630">
        <v>0</v>
      </c>
      <c r="R30" s="630">
        <v>0</v>
      </c>
      <c r="S30" s="630">
        <v>0</v>
      </c>
      <c r="T30" s="630">
        <v>0</v>
      </c>
      <c r="U30" s="630">
        <v>0</v>
      </c>
      <c r="V30" s="630">
        <v>0</v>
      </c>
      <c r="W30" s="630">
        <v>0</v>
      </c>
      <c r="X30" s="630"/>
      <c r="Y30" s="630">
        <v>10</v>
      </c>
      <c r="Z30" s="630" t="s">
        <v>105</v>
      </c>
      <c r="AA30" s="632" t="s">
        <v>105</v>
      </c>
    </row>
    <row r="31" spans="1:27" s="584" customFormat="1" ht="25.5" hidden="1">
      <c r="A31" s="583"/>
      <c r="B31" s="745">
        <v>11053</v>
      </c>
      <c r="C31" s="745">
        <v>2990</v>
      </c>
      <c r="D31" s="631"/>
      <c r="E31" s="630"/>
      <c r="F31" s="630"/>
      <c r="G31" s="630" t="s">
        <v>883</v>
      </c>
      <c r="H31" s="630" t="s">
        <v>884</v>
      </c>
      <c r="I31" s="630"/>
      <c r="J31" s="744"/>
      <c r="K31" s="744"/>
      <c r="L31" s="630" t="s">
        <v>885</v>
      </c>
      <c r="M31" s="630">
        <v>801</v>
      </c>
      <c r="N31" s="630">
        <v>3604.5</v>
      </c>
      <c r="O31" s="630">
        <v>5149.2857142857147</v>
      </c>
      <c r="P31" s="630">
        <v>10298.571428571429</v>
      </c>
      <c r="Q31" s="630">
        <v>0</v>
      </c>
      <c r="R31" s="630">
        <v>0</v>
      </c>
      <c r="S31" s="630">
        <v>0</v>
      </c>
      <c r="T31" s="630">
        <v>0</v>
      </c>
      <c r="U31" s="630">
        <v>0</v>
      </c>
      <c r="V31" s="630">
        <v>0</v>
      </c>
      <c r="W31" s="630">
        <v>0</v>
      </c>
      <c r="X31" s="630"/>
      <c r="Y31" s="630">
        <v>10</v>
      </c>
      <c r="Z31" s="630" t="s">
        <v>105</v>
      </c>
      <c r="AA31" s="632" t="s">
        <v>105</v>
      </c>
    </row>
    <row r="32" spans="1:27" s="584" customFormat="1" ht="25.5" hidden="1">
      <c r="A32" s="583"/>
      <c r="B32" s="745">
        <v>11053</v>
      </c>
      <c r="C32" s="745">
        <v>2990</v>
      </c>
      <c r="D32" s="631"/>
      <c r="E32" s="630"/>
      <c r="F32" s="630"/>
      <c r="G32" s="630" t="s">
        <v>883</v>
      </c>
      <c r="H32" s="630" t="s">
        <v>884</v>
      </c>
      <c r="I32" s="630"/>
      <c r="J32" s="744"/>
      <c r="K32" s="744"/>
      <c r="L32" s="630" t="s">
        <v>885</v>
      </c>
      <c r="M32" s="630">
        <v>2000</v>
      </c>
      <c r="N32" s="630">
        <v>9000</v>
      </c>
      <c r="O32" s="630">
        <v>12857.142857142857</v>
      </c>
      <c r="P32" s="630">
        <v>25714.285714285717</v>
      </c>
      <c r="Q32" s="630">
        <v>0</v>
      </c>
      <c r="R32" s="630">
        <v>0</v>
      </c>
      <c r="S32" s="630">
        <v>0</v>
      </c>
      <c r="T32" s="630">
        <v>0</v>
      </c>
      <c r="U32" s="630">
        <v>0</v>
      </c>
      <c r="V32" s="630">
        <v>0</v>
      </c>
      <c r="W32" s="630">
        <v>0</v>
      </c>
      <c r="X32" s="630"/>
      <c r="Y32" s="630">
        <v>10</v>
      </c>
      <c r="Z32" s="630" t="s">
        <v>105</v>
      </c>
      <c r="AA32" s="632" t="s">
        <v>105</v>
      </c>
    </row>
    <row r="33" spans="1:28" s="584" customFormat="1" ht="25.5" hidden="1">
      <c r="A33" s="583"/>
      <c r="B33" s="745">
        <v>11053</v>
      </c>
      <c r="C33" s="745">
        <v>2990</v>
      </c>
      <c r="D33" s="631"/>
      <c r="E33" s="630"/>
      <c r="F33" s="630"/>
      <c r="G33" s="630" t="s">
        <v>883</v>
      </c>
      <c r="H33" s="630" t="s">
        <v>884</v>
      </c>
      <c r="I33" s="630"/>
      <c r="J33" s="744"/>
      <c r="K33" s="744"/>
      <c r="L33" s="630" t="s">
        <v>885</v>
      </c>
      <c r="M33" s="630">
        <v>9.6999999999999993</v>
      </c>
      <c r="N33" s="630">
        <v>43.649999999999991</v>
      </c>
      <c r="O33" s="630">
        <v>62.357142857142847</v>
      </c>
      <c r="P33" s="630">
        <v>0</v>
      </c>
      <c r="Q33" s="630">
        <v>124.71428571428569</v>
      </c>
      <c r="R33" s="630">
        <v>0</v>
      </c>
      <c r="S33" s="630">
        <v>0</v>
      </c>
      <c r="T33" s="630">
        <v>0</v>
      </c>
      <c r="U33" s="630">
        <v>0</v>
      </c>
      <c r="V33" s="630">
        <v>0</v>
      </c>
      <c r="W33" s="630">
        <v>0</v>
      </c>
      <c r="X33" s="630"/>
      <c r="Y33" s="630">
        <v>10</v>
      </c>
      <c r="Z33" s="630" t="s">
        <v>105</v>
      </c>
      <c r="AA33" s="632" t="s">
        <v>105</v>
      </c>
    </row>
    <row r="34" spans="1:28" s="584" customFormat="1" ht="25.5" hidden="1">
      <c r="A34" s="583"/>
      <c r="B34" s="745">
        <v>11053</v>
      </c>
      <c r="C34" s="745">
        <v>2990</v>
      </c>
      <c r="D34" s="631"/>
      <c r="E34" s="630"/>
      <c r="F34" s="630"/>
      <c r="G34" s="630" t="s">
        <v>883</v>
      </c>
      <c r="H34" s="630" t="s">
        <v>884</v>
      </c>
      <c r="I34" s="630"/>
      <c r="J34" s="744"/>
      <c r="K34" s="744"/>
      <c r="L34" s="630" t="s">
        <v>885</v>
      </c>
      <c r="M34" s="630">
        <v>9.6999999999999993</v>
      </c>
      <c r="N34" s="630">
        <v>43.649999999999991</v>
      </c>
      <c r="O34" s="630">
        <v>62.357142857142847</v>
      </c>
      <c r="P34" s="630">
        <v>0</v>
      </c>
      <c r="Q34" s="630">
        <v>124.71428571428569</v>
      </c>
      <c r="R34" s="630">
        <v>0</v>
      </c>
      <c r="S34" s="630">
        <v>0</v>
      </c>
      <c r="T34" s="630">
        <v>0</v>
      </c>
      <c r="U34" s="630">
        <v>0</v>
      </c>
      <c r="V34" s="630">
        <v>0</v>
      </c>
      <c r="W34" s="630">
        <v>0</v>
      </c>
      <c r="X34" s="630"/>
      <c r="Y34" s="630">
        <v>10</v>
      </c>
      <c r="Z34" s="630" t="s">
        <v>105</v>
      </c>
      <c r="AA34" s="632" t="s">
        <v>105</v>
      </c>
    </row>
    <row r="35" spans="1:28" s="584" customFormat="1" ht="25.5" hidden="1">
      <c r="A35" s="583"/>
      <c r="B35" s="745">
        <v>11053</v>
      </c>
      <c r="C35" s="745">
        <v>2990</v>
      </c>
      <c r="D35" s="631"/>
      <c r="E35" s="630"/>
      <c r="F35" s="630"/>
      <c r="G35" s="630" t="s">
        <v>883</v>
      </c>
      <c r="H35" s="630" t="s">
        <v>884</v>
      </c>
      <c r="I35" s="630"/>
      <c r="J35" s="744"/>
      <c r="K35" s="744"/>
      <c r="L35" s="630" t="s">
        <v>885</v>
      </c>
      <c r="M35" s="630">
        <v>9.6999999999999993</v>
      </c>
      <c r="N35" s="630">
        <v>43.649999999999991</v>
      </c>
      <c r="O35" s="630">
        <v>62.357142857142847</v>
      </c>
      <c r="P35" s="630">
        <v>0</v>
      </c>
      <c r="Q35" s="630">
        <v>124.71428571428569</v>
      </c>
      <c r="R35" s="630">
        <v>0</v>
      </c>
      <c r="S35" s="630">
        <v>0</v>
      </c>
      <c r="T35" s="630">
        <v>0</v>
      </c>
      <c r="U35" s="630">
        <v>0</v>
      </c>
      <c r="V35" s="630">
        <v>0</v>
      </c>
      <c r="W35" s="630">
        <v>0</v>
      </c>
      <c r="X35" s="630"/>
      <c r="Y35" s="630">
        <v>10</v>
      </c>
      <c r="Z35" s="630" t="s">
        <v>105</v>
      </c>
      <c r="AA35" s="632" t="s">
        <v>105</v>
      </c>
    </row>
    <row r="36" spans="1:28" s="564" customFormat="1" hidden="1">
      <c r="A36" s="586" t="s">
        <v>268</v>
      </c>
      <c r="B36" s="587"/>
      <c r="C36" s="587"/>
      <c r="D36" s="587"/>
      <c r="E36" s="587"/>
      <c r="F36" s="587"/>
      <c r="G36" s="587"/>
      <c r="H36" s="587"/>
      <c r="I36" s="587"/>
      <c r="J36" s="587"/>
      <c r="K36" s="587"/>
      <c r="L36" s="588"/>
      <c r="M36" s="588">
        <f>SUM(M28:M35)</f>
        <v>12963.100000000002</v>
      </c>
      <c r="N36" s="588">
        <f>SUM(N28:N35)</f>
        <v>58333.950000000004</v>
      </c>
      <c r="O36" s="588">
        <f>SUM(O28:O35)</f>
        <v>83334.21428571429</v>
      </c>
      <c r="P36" s="588">
        <f>SUM(P28:P35)</f>
        <v>166294.28571428571</v>
      </c>
      <c r="Q36" s="588">
        <f>SUM(Q28:Q35)</f>
        <v>374.14285714285711</v>
      </c>
      <c r="R36" s="588">
        <f>SUM(R28:R35)</f>
        <v>0</v>
      </c>
      <c r="S36" s="588">
        <f>SUM(S28:S35)</f>
        <v>0</v>
      </c>
      <c r="T36" s="588">
        <f>SUM(T28:T35)</f>
        <v>0</v>
      </c>
      <c r="U36" s="588">
        <f>SUM(U28:U35)</f>
        <v>0</v>
      </c>
      <c r="V36" s="588">
        <f>SUM(V28:V35)</f>
        <v>0</v>
      </c>
      <c r="W36" s="588">
        <f>SUM(W28:W35)</f>
        <v>0</v>
      </c>
      <c r="X36" s="588"/>
      <c r="Y36" s="589"/>
      <c r="Z36" s="589"/>
      <c r="AA36" s="590"/>
    </row>
    <row r="37" spans="1:28" s="564" customFormat="1">
      <c r="A37" s="586" t="s">
        <v>275</v>
      </c>
      <c r="B37" s="587"/>
      <c r="C37" s="587"/>
      <c r="D37" s="587"/>
      <c r="E37" s="587"/>
      <c r="F37" s="587"/>
      <c r="G37" s="587"/>
      <c r="H37" s="587"/>
      <c r="I37" s="587"/>
      <c r="J37" s="587"/>
      <c r="K37" s="587"/>
      <c r="L37" s="588"/>
      <c r="M37" s="588">
        <f>SUMIF($AA$28:$AA$35,"industrie",M28:M35)</f>
        <v>0</v>
      </c>
      <c r="N37" s="588">
        <f>SUMIF($AA$28:$AA$35,"industrie",N28:N35)</f>
        <v>0</v>
      </c>
      <c r="O37" s="588">
        <f>SUMIF($AA$28:$AA$35,"industrie",O28:O35)</f>
        <v>0</v>
      </c>
      <c r="P37" s="588">
        <f>SUMIF($AA$28:$AA$35,"industrie",P28:P35)</f>
        <v>0</v>
      </c>
      <c r="Q37" s="588">
        <f>SUMIF($AA$28:$AA$35,"industrie",Q28:Q35)</f>
        <v>0</v>
      </c>
      <c r="R37" s="588">
        <f>SUMIF($AA$28:$AA$35,"industrie",R28:R35)</f>
        <v>0</v>
      </c>
      <c r="S37" s="588">
        <f>SUMIF($AA$28:$AA$35,"industrie",S28:S35)</f>
        <v>0</v>
      </c>
      <c r="T37" s="588">
        <f>SUMIF($AA$28:$AA$35,"industrie",T28:T35)</f>
        <v>0</v>
      </c>
      <c r="U37" s="588">
        <f>SUMIF($AA$28:$AA$35,"industrie",U28:U35)</f>
        <v>0</v>
      </c>
      <c r="V37" s="588">
        <f>SUMIF($AA$28:$AA$35,"industrie",V28:V35)</f>
        <v>0</v>
      </c>
      <c r="W37" s="588">
        <f>SUMIF($AA$28:$AA$35,"industrie",W28:W35)</f>
        <v>0</v>
      </c>
      <c r="X37" s="588"/>
      <c r="Y37" s="589"/>
      <c r="Z37" s="589"/>
      <c r="AA37" s="590"/>
    </row>
    <row r="38" spans="1:28" s="564" customFormat="1">
      <c r="A38" s="586" t="s">
        <v>276</v>
      </c>
      <c r="B38" s="587"/>
      <c r="C38" s="587"/>
      <c r="D38" s="587"/>
      <c r="E38" s="587"/>
      <c r="F38" s="587"/>
      <c r="G38" s="587"/>
      <c r="H38" s="587"/>
      <c r="I38" s="587"/>
      <c r="J38" s="587"/>
      <c r="K38" s="587"/>
      <c r="L38" s="588"/>
      <c r="M38" s="588">
        <f ca="1">SUMIF($AA$28:AD35,"tertiair",M28:M35)</f>
        <v>0</v>
      </c>
      <c r="N38" s="588">
        <f ca="1">SUMIF($AA$28:AE35,"tertiair",N28:N35)</f>
        <v>0</v>
      </c>
      <c r="O38" s="588">
        <f ca="1">SUMIF($AA$28:AF35,"tertiair",O28:O35)</f>
        <v>0</v>
      </c>
      <c r="P38" s="588">
        <f ca="1">SUMIF($AA$28:AG35,"tertiair",P28:P35)</f>
        <v>0</v>
      </c>
      <c r="Q38" s="588">
        <f ca="1">SUMIF($AA$28:AH35,"tertiair",Q28:Q35)</f>
        <v>0</v>
      </c>
      <c r="R38" s="588">
        <f ca="1">SUMIF($AA$28:AI35,"tertiair",R28:R35)</f>
        <v>0</v>
      </c>
      <c r="S38" s="588">
        <f ca="1">SUMIF($AA$28:AJ35,"tertiair",S28:S35)</f>
        <v>0</v>
      </c>
      <c r="T38" s="588">
        <f ca="1">SUMIF($AA$28:AK35,"tertiair",T28:T35)</f>
        <v>0</v>
      </c>
      <c r="U38" s="588">
        <f ca="1">SUMIF($AA$28:AL35,"tertiair",U28:U35)</f>
        <v>0</v>
      </c>
      <c r="V38" s="588">
        <f ca="1">SUMIF($AA$28:AM35,"tertiair",V28:V35)</f>
        <v>0</v>
      </c>
      <c r="W38" s="588">
        <f ca="1">SUMIF($AA$28:AN35,"tertiair",W28:W35)</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SUMIF($AA$28:$AA$35,"landbouw",M28:M35)</f>
        <v>12963.100000000002</v>
      </c>
      <c r="N39" s="593">
        <f>SUMIF($AA$28:$AA$35,"landbouw",N28:N35)</f>
        <v>58333.950000000004</v>
      </c>
      <c r="O39" s="593">
        <f>SUMIF($AA$28:$AA$35,"landbouw",O28:O35)</f>
        <v>83334.21428571429</v>
      </c>
      <c r="P39" s="593">
        <f>SUMIF($AA$28:$AA$35,"landbouw",P28:P35)</f>
        <v>166294.28571428571</v>
      </c>
      <c r="Q39" s="593">
        <f>SUMIF($AA$28:$AA$35,"landbouw",Q28:Q35)</f>
        <v>374.14285714285711</v>
      </c>
      <c r="R39" s="593">
        <f>SUMIF($AA$28:$AA$35,"landbouw",R28:R35)</f>
        <v>0</v>
      </c>
      <c r="S39" s="593">
        <f>SUMIF($AA$28:$AA$35,"landbouw",S28:S35)</f>
        <v>0</v>
      </c>
      <c r="T39" s="593">
        <f>SUMIF($AA$28:$AA$35,"landbouw",T28:T35)</f>
        <v>0</v>
      </c>
      <c r="U39" s="593">
        <f>SUMIF($AA$28:$AA$35,"landbouw",U28:U35)</f>
        <v>0</v>
      </c>
      <c r="V39" s="593">
        <f>SUMIF($AA$28:$AA$35,"landbouw",V28:V35)</f>
        <v>0</v>
      </c>
      <c r="W39" s="593">
        <f>SUMIF($AA$28:$AA$35,"landbouw",W28:W35)</f>
        <v>0</v>
      </c>
      <c r="X39" s="593"/>
      <c r="Y39" s="594"/>
      <c r="Z39" s="594"/>
      <c r="AA39" s="595"/>
    </row>
    <row r="40" spans="1:28" s="525" customFormat="1" ht="15.75" thickBot="1">
      <c r="A40" s="596"/>
      <c r="B40" s="597"/>
      <c r="C40" s="597"/>
      <c r="D40" s="597"/>
      <c r="E40" s="597"/>
      <c r="F40" s="597"/>
      <c r="G40" s="597"/>
      <c r="H40" s="597"/>
      <c r="I40" s="597"/>
      <c r="J40" s="597"/>
      <c r="K40" s="597"/>
      <c r="L40" s="580"/>
      <c r="M40" s="580"/>
      <c r="N40" s="580"/>
      <c r="O40" s="581"/>
      <c r="P40" s="581"/>
    </row>
    <row r="41" spans="1:28" s="525" customFormat="1" ht="45">
      <c r="A41" s="598" t="s">
        <v>269</v>
      </c>
      <c r="B41" s="627" t="s">
        <v>89</v>
      </c>
      <c r="C41" s="627" t="s">
        <v>90</v>
      </c>
      <c r="D41" s="627"/>
      <c r="E41" s="627"/>
      <c r="F41" s="627"/>
      <c r="G41" s="627" t="s">
        <v>91</v>
      </c>
      <c r="H41" s="627" t="s">
        <v>92</v>
      </c>
      <c r="I41" s="627"/>
      <c r="J41" s="627"/>
      <c r="K41" s="627"/>
      <c r="L41" s="627" t="s">
        <v>93</v>
      </c>
      <c r="M41" s="628" t="s">
        <v>286</v>
      </c>
      <c r="N41" s="628" t="s">
        <v>94</v>
      </c>
      <c r="O41" s="628" t="s">
        <v>95</v>
      </c>
      <c r="P41" s="628" t="s">
        <v>509</v>
      </c>
      <c r="Q41" s="628" t="s">
        <v>96</v>
      </c>
      <c r="R41" s="628" t="s">
        <v>97</v>
      </c>
      <c r="S41" s="628" t="s">
        <v>98</v>
      </c>
      <c r="T41" s="628" t="s">
        <v>99</v>
      </c>
      <c r="U41" s="628" t="s">
        <v>100</v>
      </c>
      <c r="V41" s="628" t="s">
        <v>101</v>
      </c>
      <c r="W41" s="627" t="s">
        <v>102</v>
      </c>
      <c r="X41" s="627" t="s">
        <v>882</v>
      </c>
      <c r="Y41" s="627" t="s">
        <v>287</v>
      </c>
      <c r="Z41" s="627" t="s">
        <v>103</v>
      </c>
      <c r="AA41" s="629" t="s">
        <v>288</v>
      </c>
    </row>
    <row r="42" spans="1:28" s="599" customFormat="1" ht="12.75" hidden="1">
      <c r="A42" s="585"/>
      <c r="B42" s="745"/>
      <c r="C42" s="745"/>
      <c r="D42" s="633"/>
      <c r="E42" s="633"/>
      <c r="F42" s="633"/>
      <c r="G42" s="633"/>
      <c r="H42" s="633"/>
      <c r="I42" s="633"/>
      <c r="J42" s="744"/>
      <c r="K42" s="744"/>
      <c r="L42" s="633"/>
      <c r="M42" s="633"/>
      <c r="N42" s="633"/>
      <c r="O42" s="633"/>
      <c r="P42" s="633"/>
      <c r="Q42" s="633"/>
      <c r="R42" s="633"/>
      <c r="S42" s="633"/>
      <c r="T42" s="633"/>
      <c r="U42" s="633"/>
      <c r="V42" s="633"/>
      <c r="W42" s="633"/>
      <c r="X42" s="633"/>
      <c r="Y42" s="633"/>
      <c r="Z42" s="633"/>
      <c r="AA42" s="634"/>
    </row>
    <row r="43" spans="1:28" s="564" customFormat="1" hidden="1">
      <c r="A43" s="586" t="s">
        <v>268</v>
      </c>
      <c r="B43" s="587"/>
      <c r="C43" s="587"/>
      <c r="D43" s="587"/>
      <c r="E43" s="587"/>
      <c r="F43" s="587"/>
      <c r="G43" s="587"/>
      <c r="H43" s="587"/>
      <c r="I43" s="587"/>
      <c r="J43" s="587"/>
      <c r="K43" s="587"/>
      <c r="L43" s="588"/>
      <c r="M43" s="588">
        <f>SUM(M42:M42)</f>
        <v>0</v>
      </c>
      <c r="N43" s="588">
        <f>SUM(N42:N42)</f>
        <v>0</v>
      </c>
      <c r="O43" s="588">
        <f>SUM(O42:O42)</f>
        <v>0</v>
      </c>
      <c r="P43" s="588">
        <f>SUM(P42:P42)</f>
        <v>0</v>
      </c>
      <c r="Q43" s="588">
        <f>SUM(Q42:Q42)</f>
        <v>0</v>
      </c>
      <c r="R43" s="588">
        <f>SUM(R42:R42)</f>
        <v>0</v>
      </c>
      <c r="S43" s="588">
        <f>SUM(S42:S42)</f>
        <v>0</v>
      </c>
      <c r="T43" s="588">
        <f>SUM(T42:T42)</f>
        <v>0</v>
      </c>
      <c r="U43" s="588">
        <f>SUM(U42:U42)</f>
        <v>0</v>
      </c>
      <c r="V43" s="588">
        <f>SUM(V42:V42)</f>
        <v>0</v>
      </c>
      <c r="W43" s="588">
        <f>SUM(W42:W42)</f>
        <v>0</v>
      </c>
      <c r="X43" s="588"/>
      <c r="Y43" s="589"/>
      <c r="Z43" s="589"/>
      <c r="AA43" s="590"/>
    </row>
    <row r="44" spans="1:28" s="564" customFormat="1">
      <c r="A44" s="586" t="s">
        <v>275</v>
      </c>
      <c r="B44" s="587"/>
      <c r="C44" s="587"/>
      <c r="D44" s="587"/>
      <c r="E44" s="587"/>
      <c r="F44" s="587"/>
      <c r="G44" s="587"/>
      <c r="H44" s="587"/>
      <c r="I44" s="587"/>
      <c r="J44" s="587"/>
      <c r="K44" s="587"/>
      <c r="L44" s="588"/>
      <c r="M44" s="588">
        <f>SUMIF($AA$42:$AA$42,"industrie",M42:M42)</f>
        <v>0</v>
      </c>
      <c r="N44" s="588">
        <f>SUMIF($AA$42:$AA$42,"industrie",N42:N42)</f>
        <v>0</v>
      </c>
      <c r="O44" s="588">
        <f>SUMIF($AA$42:$AA$42,"industrie",O42:O42)</f>
        <v>0</v>
      </c>
      <c r="P44" s="588">
        <f>SUMIF($AA$42:$AA$42,"industrie",P42:P42)</f>
        <v>0</v>
      </c>
      <c r="Q44" s="588">
        <f>SUMIF($AA$42:$AA$42,"industrie",Q42:Q42)</f>
        <v>0</v>
      </c>
      <c r="R44" s="588">
        <f>SUMIF($AA$42:$AA$42,"industrie",R42:R42)</f>
        <v>0</v>
      </c>
      <c r="S44" s="588">
        <f>SUMIF($AA$42:$AA$42,"industrie",S42:S42)</f>
        <v>0</v>
      </c>
      <c r="T44" s="588">
        <f>SUMIF($AA$42:$AA$42,"industrie",T42:T42)</f>
        <v>0</v>
      </c>
      <c r="U44" s="588">
        <f>SUMIF($AA$42:$AA$42,"industrie",U42:U42)</f>
        <v>0</v>
      </c>
      <c r="V44" s="588">
        <f>SUMIF($AA$42:$AA$42,"industrie",V42:V42)</f>
        <v>0</v>
      </c>
      <c r="W44" s="588">
        <f>SUMIF($AA$42:$AA$42,"industrie",W42:W42)</f>
        <v>0</v>
      </c>
      <c r="X44" s="588"/>
      <c r="Y44" s="589"/>
      <c r="Z44" s="589"/>
      <c r="AA44" s="590"/>
    </row>
    <row r="45" spans="1:28" s="564" customFormat="1">
      <c r="A45" s="586" t="s">
        <v>276</v>
      </c>
      <c r="B45" s="587"/>
      <c r="C45" s="587"/>
      <c r="D45" s="587"/>
      <c r="E45" s="587"/>
      <c r="F45" s="587"/>
      <c r="G45" s="587"/>
      <c r="H45" s="587"/>
      <c r="I45" s="587"/>
      <c r="J45" s="587"/>
      <c r="K45" s="587"/>
      <c r="L45" s="588"/>
      <c r="M45" s="588">
        <f>SUMIF($AA$42:$AA$43,"tertiair",M42:M43)</f>
        <v>0</v>
      </c>
      <c r="N45" s="588">
        <f>SUMIF($AA$42:$AA$43,"tertiair",N42:N43)</f>
        <v>0</v>
      </c>
      <c r="O45" s="588">
        <f>SUMIF($AA$42:$AA$43,"tertiair",O42:O43)</f>
        <v>0</v>
      </c>
      <c r="P45" s="588">
        <f>SUMIF($AA$42:$AA$43,"tertiair",P42:P43)</f>
        <v>0</v>
      </c>
      <c r="Q45" s="588">
        <f>SUMIF($AA$42:$AA$43,"tertiair",Q42:Q43)</f>
        <v>0</v>
      </c>
      <c r="R45" s="588">
        <f>SUMIF($AA$42:$AA$43,"tertiair",R42:R43)</f>
        <v>0</v>
      </c>
      <c r="S45" s="588">
        <f>SUMIF($AA$42:$AA$43,"tertiair",S42:S43)</f>
        <v>0</v>
      </c>
      <c r="T45" s="588">
        <f>SUMIF($AA$42:$AA$43,"tertiair",T42:T43)</f>
        <v>0</v>
      </c>
      <c r="U45" s="588">
        <f>SUMIF($AA$42:$AA$43,"tertiair",U42:U43)</f>
        <v>0</v>
      </c>
      <c r="V45" s="588">
        <f>SUMIF($AA$42:$AA$43,"tertiair",V42:V43)</f>
        <v>0</v>
      </c>
      <c r="W45" s="588">
        <f>SUMIF($AA$42:$AA$43,"tertiair",W42:W43)</f>
        <v>0</v>
      </c>
      <c r="X45" s="588"/>
      <c r="Y45" s="589"/>
      <c r="Z45" s="589"/>
      <c r="AA45" s="590"/>
    </row>
    <row r="46" spans="1:28" s="564" customFormat="1" ht="15.75" thickBot="1">
      <c r="A46" s="591" t="s">
        <v>277</v>
      </c>
      <c r="B46" s="592"/>
      <c r="C46" s="592"/>
      <c r="D46" s="592"/>
      <c r="E46" s="592"/>
      <c r="F46" s="592"/>
      <c r="G46" s="592"/>
      <c r="H46" s="592"/>
      <c r="I46" s="592"/>
      <c r="J46" s="592"/>
      <c r="K46" s="592"/>
      <c r="L46" s="593"/>
      <c r="M46" s="593">
        <f>SUMIF($AA$42:$AA$44,"landbouw",M42:M44)</f>
        <v>0</v>
      </c>
      <c r="N46" s="593">
        <f>SUMIF($AA$42:$AA$44,"landbouw",N42:N44)</f>
        <v>0</v>
      </c>
      <c r="O46" s="593">
        <f>SUMIF($AA$42:$AA$44,"landbouw",O42:O44)</f>
        <v>0</v>
      </c>
      <c r="P46" s="593">
        <f>SUMIF($AA$42:$AA$44,"landbouw",P42:P44)</f>
        <v>0</v>
      </c>
      <c r="Q46" s="593">
        <f>SUMIF($AA$42:$AA$44,"landbouw",Q42:Q44)</f>
        <v>0</v>
      </c>
      <c r="R46" s="593">
        <f>SUMIF($AA$42:$AA$44,"landbouw",R42:R44)</f>
        <v>0</v>
      </c>
      <c r="S46" s="593">
        <f>SUMIF($AA$42:$AA$44,"landbouw",S42:S44)</f>
        <v>0</v>
      </c>
      <c r="T46" s="593">
        <f>SUMIF($AA$42:$AA$44,"landbouw",T42:T44)</f>
        <v>0</v>
      </c>
      <c r="U46" s="593">
        <f>SUMIF($AA$42:$AA$44,"landbouw",U42:U44)</f>
        <v>0</v>
      </c>
      <c r="V46" s="593">
        <f>SUMIF($AA$42:$AA$44,"landbouw",V42:V44)</f>
        <v>0</v>
      </c>
      <c r="W46" s="593">
        <f>SUMIF($AA$42:$AA$44,"landbouw",W42:W44)</f>
        <v>0</v>
      </c>
      <c r="X46" s="593"/>
      <c r="Y46" s="594"/>
      <c r="Z46" s="594"/>
      <c r="AA46" s="595"/>
    </row>
    <row r="47" spans="1:28" s="600" customFormat="1">
      <c r="A47" s="596"/>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row>
    <row r="48" spans="1:28" s="600" customFormat="1" ht="15.75" thickBot="1">
      <c r="A48" s="596"/>
      <c r="B48" s="580"/>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row>
    <row r="49" spans="1:16">
      <c r="A49" s="601" t="s">
        <v>270</v>
      </c>
      <c r="B49" s="602"/>
      <c r="C49" s="602"/>
      <c r="D49" s="602"/>
      <c r="E49" s="602"/>
      <c r="F49" s="602"/>
      <c r="G49" s="602"/>
      <c r="H49" s="602"/>
      <c r="I49" s="603"/>
      <c r="J49" s="604"/>
      <c r="K49" s="604"/>
      <c r="L49" s="605"/>
      <c r="M49" s="605"/>
      <c r="N49" s="605"/>
      <c r="O49" s="605"/>
      <c r="P49" s="605"/>
    </row>
    <row r="50" spans="1:16">
      <c r="A50" s="607"/>
      <c r="B50" s="597"/>
      <c r="C50" s="597"/>
      <c r="D50" s="597"/>
      <c r="E50" s="597"/>
      <c r="F50" s="597"/>
      <c r="G50" s="597"/>
      <c r="H50" s="597"/>
      <c r="I50" s="608"/>
      <c r="J50" s="597"/>
      <c r="K50" s="597"/>
      <c r="L50" s="605"/>
      <c r="M50" s="605"/>
      <c r="N50" s="605"/>
      <c r="O50" s="605"/>
      <c r="P50" s="605"/>
    </row>
    <row r="51" spans="1:16">
      <c r="A51" s="609"/>
      <c r="B51" s="610" t="s">
        <v>271</v>
      </c>
      <c r="C51" s="610" t="s">
        <v>272</v>
      </c>
      <c r="D51" s="610"/>
      <c r="E51" s="610"/>
      <c r="F51" s="610"/>
      <c r="G51" s="610"/>
      <c r="H51" s="610"/>
      <c r="I51" s="611"/>
      <c r="J51" s="610"/>
      <c r="K51" s="610"/>
      <c r="L51" s="610"/>
      <c r="M51" s="610"/>
      <c r="N51" s="610"/>
      <c r="O51" s="610"/>
      <c r="P51" s="605"/>
    </row>
    <row r="52" spans="1:16">
      <c r="A52" s="607" t="s">
        <v>268</v>
      </c>
      <c r="B52" s="612">
        <f>IF(ISERROR(O36/(O36+N36)),0,O36/(O36+N36))</f>
        <v>0.58823529411764697</v>
      </c>
      <c r="C52" s="613">
        <f>IF(ISERROR(N36/(O36+N36)),0,N36/(N36+O36))</f>
        <v>0.41176470588235292</v>
      </c>
      <c r="D52" s="580"/>
      <c r="E52" s="580"/>
      <c r="F52" s="580"/>
      <c r="G52" s="580"/>
      <c r="H52" s="580"/>
      <c r="I52" s="614"/>
      <c r="J52" s="580"/>
      <c r="K52" s="580"/>
      <c r="L52" s="615"/>
      <c r="M52" s="615"/>
      <c r="N52" s="615"/>
      <c r="O52" s="615"/>
      <c r="P52" s="605"/>
    </row>
    <row r="53" spans="1:16">
      <c r="A53" s="607"/>
      <c r="B53" s="616"/>
      <c r="C53" s="616"/>
      <c r="D53" s="616"/>
      <c r="E53" s="616"/>
      <c r="F53" s="616"/>
      <c r="G53" s="616"/>
      <c r="H53" s="616"/>
      <c r="I53" s="617"/>
      <c r="J53" s="616"/>
      <c r="K53" s="616"/>
      <c r="L53" s="618"/>
      <c r="M53" s="618"/>
      <c r="N53" s="618"/>
      <c r="O53" s="618"/>
      <c r="P53" s="605"/>
    </row>
    <row r="54" spans="1:16" ht="30">
      <c r="A54" s="619"/>
      <c r="B54" s="620" t="s">
        <v>509</v>
      </c>
      <c r="C54" s="620" t="s">
        <v>96</v>
      </c>
      <c r="D54" s="620" t="s">
        <v>97</v>
      </c>
      <c r="E54" s="620" t="s">
        <v>98</v>
      </c>
      <c r="F54" s="620" t="s">
        <v>99</v>
      </c>
      <c r="G54" s="620" t="s">
        <v>100</v>
      </c>
      <c r="H54" s="620" t="s">
        <v>101</v>
      </c>
      <c r="I54" s="621" t="s">
        <v>102</v>
      </c>
      <c r="J54" s="610"/>
      <c r="K54" s="610"/>
      <c r="L54" s="618"/>
      <c r="M54" s="618"/>
      <c r="N54" s="618"/>
      <c r="O54" s="605"/>
      <c r="P54" s="605"/>
    </row>
    <row r="55" spans="1:16">
      <c r="A55" s="609" t="s">
        <v>273</v>
      </c>
      <c r="B55" s="622">
        <f t="shared" ref="B55:I55" si="2">$C$52*P36</f>
        <v>68474.117647058825</v>
      </c>
      <c r="C55" s="622">
        <f t="shared" si="2"/>
        <v>154.05882352941174</v>
      </c>
      <c r="D55" s="622">
        <f t="shared" si="2"/>
        <v>0</v>
      </c>
      <c r="E55" s="622">
        <f t="shared" si="2"/>
        <v>0</v>
      </c>
      <c r="F55" s="622">
        <f t="shared" si="2"/>
        <v>0</v>
      </c>
      <c r="G55" s="622">
        <f t="shared" si="2"/>
        <v>0</v>
      </c>
      <c r="H55" s="622">
        <f t="shared" si="2"/>
        <v>0</v>
      </c>
      <c r="I55" s="623">
        <f t="shared" si="2"/>
        <v>0</v>
      </c>
      <c r="J55" s="580"/>
      <c r="K55" s="580"/>
      <c r="L55" s="618"/>
      <c r="M55" s="618"/>
      <c r="N55" s="618"/>
      <c r="O55" s="605"/>
      <c r="P55" s="605"/>
    </row>
    <row r="56" spans="1:16" ht="15.75" thickBot="1">
      <c r="A56" s="624" t="s">
        <v>274</v>
      </c>
      <c r="B56" s="625">
        <f t="shared" ref="B56:I56" si="3">$B$52*P36</f>
        <v>97820.16806722687</v>
      </c>
      <c r="C56" s="625">
        <f t="shared" si="3"/>
        <v>220.08403361344531</v>
      </c>
      <c r="D56" s="625">
        <f t="shared" si="3"/>
        <v>0</v>
      </c>
      <c r="E56" s="625">
        <f t="shared" si="3"/>
        <v>0</v>
      </c>
      <c r="F56" s="625">
        <f t="shared" si="3"/>
        <v>0</v>
      </c>
      <c r="G56" s="625">
        <f t="shared" si="3"/>
        <v>0</v>
      </c>
      <c r="H56" s="625">
        <f t="shared" si="3"/>
        <v>0</v>
      </c>
      <c r="I56" s="626">
        <f t="shared" si="3"/>
        <v>0</v>
      </c>
      <c r="J56" s="580"/>
      <c r="K56" s="580"/>
      <c r="L56" s="618"/>
      <c r="M56" s="618"/>
      <c r="N56" s="618"/>
      <c r="O56" s="605"/>
      <c r="P56" s="605"/>
    </row>
    <row r="57" spans="1:16">
      <c r="J57" s="560"/>
      <c r="K57" s="560"/>
      <c r="L57" s="560"/>
      <c r="M57" s="560"/>
      <c r="N57" s="560"/>
    </row>
    <row r="58" spans="1:16">
      <c r="J58" s="560"/>
      <c r="K58" s="560"/>
      <c r="L58" s="560"/>
      <c r="M58" s="560"/>
      <c r="N58"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16473.253349999999</v>
      </c>
      <c r="D10" s="641">
        <f ca="1">tertiair!C16</f>
        <v>0</v>
      </c>
      <c r="E10" s="641">
        <f ca="1">tertiair!D16</f>
        <v>16687.309322859997</v>
      </c>
      <c r="F10" s="641">
        <f>tertiair!E16</f>
        <v>40.836040854243947</v>
      </c>
      <c r="G10" s="641">
        <f ca="1">tertiair!F16</f>
        <v>2867.0789862429983</v>
      </c>
      <c r="H10" s="641">
        <f>tertiair!G16</f>
        <v>0</v>
      </c>
      <c r="I10" s="641">
        <f>tertiair!H16</f>
        <v>0</v>
      </c>
      <c r="J10" s="641">
        <f>tertiair!I16</f>
        <v>0</v>
      </c>
      <c r="K10" s="641">
        <f>tertiair!J16</f>
        <v>2.0039109117865262E-2</v>
      </c>
      <c r="L10" s="641">
        <f>tertiair!K16</f>
        <v>0</v>
      </c>
      <c r="M10" s="641">
        <f ca="1">tertiair!L16</f>
        <v>0</v>
      </c>
      <c r="N10" s="641">
        <f>tertiair!M16</f>
        <v>0</v>
      </c>
      <c r="O10" s="641">
        <f ca="1">tertiair!N16</f>
        <v>747.06552682740903</v>
      </c>
      <c r="P10" s="641">
        <f>tertiair!O16</f>
        <v>9.7945215316823084</v>
      </c>
      <c r="Q10" s="642">
        <f>tertiair!P16</f>
        <v>210.15655322598008</v>
      </c>
      <c r="R10" s="644">
        <f ca="1">SUM(C10:Q10)</f>
        <v>37035.514340651418</v>
      </c>
      <c r="S10" s="67"/>
    </row>
    <row r="11" spans="1:19" s="440" customFormat="1">
      <c r="A11" s="761" t="s">
        <v>213</v>
      </c>
      <c r="B11" s="766"/>
      <c r="C11" s="641">
        <f>huishoudens!B8</f>
        <v>39263.876430139906</v>
      </c>
      <c r="D11" s="641">
        <f>huishoudens!C8</f>
        <v>0</v>
      </c>
      <c r="E11" s="641">
        <f>huishoudens!D8</f>
        <v>80832.285512440008</v>
      </c>
      <c r="F11" s="641">
        <f>huishoudens!E8</f>
        <v>1968.6377619419923</v>
      </c>
      <c r="G11" s="641">
        <f>huishoudens!F8</f>
        <v>37885.051992178378</v>
      </c>
      <c r="H11" s="641">
        <f>huishoudens!G8</f>
        <v>0</v>
      </c>
      <c r="I11" s="641">
        <f>huishoudens!H8</f>
        <v>0</v>
      </c>
      <c r="J11" s="641">
        <f>huishoudens!I8</f>
        <v>0</v>
      </c>
      <c r="K11" s="641">
        <f>huishoudens!J8</f>
        <v>193.86184339554555</v>
      </c>
      <c r="L11" s="641">
        <f>huishoudens!K8</f>
        <v>0</v>
      </c>
      <c r="M11" s="641">
        <f>huishoudens!L8</f>
        <v>0</v>
      </c>
      <c r="N11" s="641">
        <f>huishoudens!M8</f>
        <v>0</v>
      </c>
      <c r="O11" s="641">
        <f>huishoudens!N8</f>
        <v>10491.28603367056</v>
      </c>
      <c r="P11" s="641">
        <f>huishoudens!O8</f>
        <v>410.67935141311563</v>
      </c>
      <c r="Q11" s="642">
        <f>huishoudens!P8</f>
        <v>1485.2882623835883</v>
      </c>
      <c r="R11" s="644">
        <f>SUM(C11:Q11)</f>
        <v>172530.9671875631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5774.2072889999999</v>
      </c>
      <c r="D13" s="641">
        <f>industrie!C18</f>
        <v>0</v>
      </c>
      <c r="E13" s="641">
        <f>industrie!D18</f>
        <v>3431.2281633080001</v>
      </c>
      <c r="F13" s="641">
        <f>industrie!E18</f>
        <v>79.911246244413036</v>
      </c>
      <c r="G13" s="641">
        <f>industrie!F18</f>
        <v>2044.498433293895</v>
      </c>
      <c r="H13" s="641">
        <f>industrie!G18</f>
        <v>0</v>
      </c>
      <c r="I13" s="641">
        <f>industrie!H18</f>
        <v>0</v>
      </c>
      <c r="J13" s="641">
        <f>industrie!I18</f>
        <v>0</v>
      </c>
      <c r="K13" s="641">
        <f>industrie!J18</f>
        <v>6.417482148669774</v>
      </c>
      <c r="L13" s="641">
        <f>industrie!K18</f>
        <v>0</v>
      </c>
      <c r="M13" s="641">
        <f>industrie!L18</f>
        <v>0</v>
      </c>
      <c r="N13" s="641">
        <f>industrie!M18</f>
        <v>0</v>
      </c>
      <c r="O13" s="641">
        <f>industrie!N18</f>
        <v>224.58556590955823</v>
      </c>
      <c r="P13" s="641">
        <f>industrie!O18</f>
        <v>0</v>
      </c>
      <c r="Q13" s="642">
        <f>industrie!P18</f>
        <v>0</v>
      </c>
      <c r="R13" s="644">
        <f>SUM(C13:Q13)</f>
        <v>11560.848179904537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61511.337069139903</v>
      </c>
      <c r="D16" s="677">
        <f t="shared" ref="D16:R16" ca="1" si="0">SUM(D9:D15)</f>
        <v>0</v>
      </c>
      <c r="E16" s="677">
        <f t="shared" ca="1" si="0"/>
        <v>100950.822998608</v>
      </c>
      <c r="F16" s="677">
        <f t="shared" si="0"/>
        <v>2089.3850490406494</v>
      </c>
      <c r="G16" s="677">
        <f t="shared" ca="1" si="0"/>
        <v>42796.629411715272</v>
      </c>
      <c r="H16" s="677">
        <f t="shared" si="0"/>
        <v>0</v>
      </c>
      <c r="I16" s="677">
        <f t="shared" si="0"/>
        <v>0</v>
      </c>
      <c r="J16" s="677">
        <f t="shared" si="0"/>
        <v>0</v>
      </c>
      <c r="K16" s="677">
        <f t="shared" si="0"/>
        <v>200.29936465333319</v>
      </c>
      <c r="L16" s="677">
        <f t="shared" si="0"/>
        <v>0</v>
      </c>
      <c r="M16" s="677">
        <f t="shared" ca="1" si="0"/>
        <v>0</v>
      </c>
      <c r="N16" s="677">
        <f t="shared" si="0"/>
        <v>0</v>
      </c>
      <c r="O16" s="677">
        <f t="shared" ca="1" si="0"/>
        <v>11462.937126407527</v>
      </c>
      <c r="P16" s="677">
        <f t="shared" si="0"/>
        <v>420.47387294479796</v>
      </c>
      <c r="Q16" s="677">
        <f t="shared" si="0"/>
        <v>1695.4448156095684</v>
      </c>
      <c r="R16" s="677">
        <f t="shared" ca="1" si="0"/>
        <v>221127.32970811907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24.788566278165721</v>
      </c>
      <c r="D19" s="641">
        <f>transport!C54</f>
        <v>0</v>
      </c>
      <c r="E19" s="641">
        <f>transport!D54</f>
        <v>0</v>
      </c>
      <c r="F19" s="641">
        <f>transport!E54</f>
        <v>0</v>
      </c>
      <c r="G19" s="641">
        <f>transport!F54</f>
        <v>0</v>
      </c>
      <c r="H19" s="641">
        <f>transport!G54</f>
        <v>1795.9689880229475</v>
      </c>
      <c r="I19" s="641">
        <f>transport!H54</f>
        <v>0</v>
      </c>
      <c r="J19" s="641">
        <f>transport!I54</f>
        <v>0</v>
      </c>
      <c r="K19" s="641">
        <f>transport!J54</f>
        <v>0</v>
      </c>
      <c r="L19" s="641">
        <f>transport!K54</f>
        <v>0</v>
      </c>
      <c r="M19" s="641">
        <f>transport!L54</f>
        <v>0</v>
      </c>
      <c r="N19" s="641">
        <f>transport!M54</f>
        <v>101.58535441814689</v>
      </c>
      <c r="O19" s="641">
        <f>transport!N54</f>
        <v>0</v>
      </c>
      <c r="P19" s="641">
        <f>transport!O54</f>
        <v>0</v>
      </c>
      <c r="Q19" s="642">
        <f>transport!P54</f>
        <v>0</v>
      </c>
      <c r="R19" s="644">
        <f>SUM(C19:Q19)</f>
        <v>1922.3429087192601</v>
      </c>
      <c r="S19" s="67"/>
    </row>
    <row r="20" spans="1:19" s="440" customFormat="1">
      <c r="A20" s="761" t="s">
        <v>295</v>
      </c>
      <c r="B20" s="766"/>
      <c r="C20" s="641">
        <f>transport!B14</f>
        <v>190.88889735106284</v>
      </c>
      <c r="D20" s="641">
        <f>transport!C14</f>
        <v>0</v>
      </c>
      <c r="E20" s="641">
        <f>transport!D14</f>
        <v>292.37369744075494</v>
      </c>
      <c r="F20" s="641">
        <f>transport!E14</f>
        <v>281.66031275795257</v>
      </c>
      <c r="G20" s="641">
        <f>transport!F14</f>
        <v>0</v>
      </c>
      <c r="H20" s="641">
        <f>transport!G14</f>
        <v>167913.3751119072</v>
      </c>
      <c r="I20" s="641">
        <f>transport!H14</f>
        <v>28790.257428650177</v>
      </c>
      <c r="J20" s="641">
        <f>transport!I14</f>
        <v>0</v>
      </c>
      <c r="K20" s="641">
        <f>transport!J14</f>
        <v>0</v>
      </c>
      <c r="L20" s="641">
        <f>transport!K14</f>
        <v>0</v>
      </c>
      <c r="M20" s="641">
        <f>transport!L14</f>
        <v>0</v>
      </c>
      <c r="N20" s="641">
        <f>transport!M14</f>
        <v>11585.025335938431</v>
      </c>
      <c r="O20" s="641">
        <f>transport!N14</f>
        <v>0</v>
      </c>
      <c r="P20" s="641">
        <f>transport!O14</f>
        <v>0</v>
      </c>
      <c r="Q20" s="642">
        <f>transport!P14</f>
        <v>0</v>
      </c>
      <c r="R20" s="644">
        <f>SUM(C20:Q20)</f>
        <v>209053.58078404557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215.67746362922855</v>
      </c>
      <c r="D22" s="764">
        <f t="shared" ref="D22:R22" si="1">SUM(D18:D21)</f>
        <v>0</v>
      </c>
      <c r="E22" s="764">
        <f t="shared" si="1"/>
        <v>292.37369744075494</v>
      </c>
      <c r="F22" s="764">
        <f t="shared" si="1"/>
        <v>281.66031275795257</v>
      </c>
      <c r="G22" s="764">
        <f t="shared" si="1"/>
        <v>0</v>
      </c>
      <c r="H22" s="764">
        <f t="shared" si="1"/>
        <v>169709.34409993014</v>
      </c>
      <c r="I22" s="764">
        <f t="shared" si="1"/>
        <v>28790.257428650177</v>
      </c>
      <c r="J22" s="764">
        <f t="shared" si="1"/>
        <v>0</v>
      </c>
      <c r="K22" s="764">
        <f t="shared" si="1"/>
        <v>0</v>
      </c>
      <c r="L22" s="764">
        <f t="shared" si="1"/>
        <v>0</v>
      </c>
      <c r="M22" s="764">
        <f t="shared" si="1"/>
        <v>0</v>
      </c>
      <c r="N22" s="764">
        <f t="shared" si="1"/>
        <v>11686.610690356578</v>
      </c>
      <c r="O22" s="764">
        <f t="shared" si="1"/>
        <v>0</v>
      </c>
      <c r="P22" s="764">
        <f t="shared" si="1"/>
        <v>0</v>
      </c>
      <c r="Q22" s="764">
        <f t="shared" si="1"/>
        <v>0</v>
      </c>
      <c r="R22" s="764">
        <f t="shared" si="1"/>
        <v>210975.92369276483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13925.408696999999</v>
      </c>
      <c r="D24" s="641">
        <f>+landbouw!C8</f>
        <v>83334.21428571429</v>
      </c>
      <c r="E24" s="641">
        <f>+landbouw!D8</f>
        <v>0</v>
      </c>
      <c r="F24" s="641">
        <f>+landbouw!E8</f>
        <v>565.73991886873046</v>
      </c>
      <c r="G24" s="641">
        <f>+landbouw!F8</f>
        <v>49259.043193622434</v>
      </c>
      <c r="H24" s="641">
        <f>+landbouw!G8</f>
        <v>0</v>
      </c>
      <c r="I24" s="641">
        <f>+landbouw!H8</f>
        <v>0</v>
      </c>
      <c r="J24" s="641">
        <f>+landbouw!I8</f>
        <v>0</v>
      </c>
      <c r="K24" s="641">
        <f>+landbouw!J8</f>
        <v>3956.4972680788342</v>
      </c>
      <c r="L24" s="641">
        <f>+landbouw!K8</f>
        <v>0</v>
      </c>
      <c r="M24" s="641">
        <f>+landbouw!L8</f>
        <v>0</v>
      </c>
      <c r="N24" s="641">
        <f>+landbouw!M8</f>
        <v>0</v>
      </c>
      <c r="O24" s="641">
        <f>+landbouw!N8</f>
        <v>0</v>
      </c>
      <c r="P24" s="641">
        <f>+landbouw!O8</f>
        <v>0</v>
      </c>
      <c r="Q24" s="642">
        <f>+landbouw!P8</f>
        <v>0</v>
      </c>
      <c r="R24" s="644">
        <f>SUM(C24:Q24)</f>
        <v>151040.90336328431</v>
      </c>
      <c r="S24" s="67"/>
    </row>
    <row r="25" spans="1:19" s="440" customFormat="1" ht="15" thickBot="1">
      <c r="A25" s="783" t="s">
        <v>683</v>
      </c>
      <c r="B25" s="901"/>
      <c r="C25" s="902">
        <f>IF(Onbekend_ele_kWh="---",0,Onbekend_ele_kWh)/1000+IF(REST_rest_ele_kWh="---",0,REST_rest_ele_kWh)/1000</f>
        <v>993.57692399999996</v>
      </c>
      <c r="D25" s="902"/>
      <c r="E25" s="902">
        <f>IF(onbekend_gas_kWh="---",0,onbekend_gas_kWh)/1000+IF(REST_rest_gas_kWh="---",0,REST_rest_gas_kWh)/1000</f>
        <v>1223.030092</v>
      </c>
      <c r="F25" s="902"/>
      <c r="G25" s="902"/>
      <c r="H25" s="902"/>
      <c r="I25" s="902"/>
      <c r="J25" s="902"/>
      <c r="K25" s="902"/>
      <c r="L25" s="902"/>
      <c r="M25" s="902"/>
      <c r="N25" s="902"/>
      <c r="O25" s="902"/>
      <c r="P25" s="902"/>
      <c r="Q25" s="903"/>
      <c r="R25" s="644">
        <f>SUM(C25:Q25)</f>
        <v>2216.6070159999999</v>
      </c>
      <c r="S25" s="67"/>
    </row>
    <row r="26" spans="1:19" s="440" customFormat="1" ht="15.75" thickBot="1">
      <c r="A26" s="649" t="s">
        <v>684</v>
      </c>
      <c r="B26" s="769"/>
      <c r="C26" s="764">
        <f>SUM(C24:C25)</f>
        <v>14918.985621</v>
      </c>
      <c r="D26" s="764">
        <f t="shared" ref="D26:R26" si="2">SUM(D24:D25)</f>
        <v>83334.21428571429</v>
      </c>
      <c r="E26" s="764">
        <f t="shared" si="2"/>
        <v>1223.030092</v>
      </c>
      <c r="F26" s="764">
        <f t="shared" si="2"/>
        <v>565.73991886873046</v>
      </c>
      <c r="G26" s="764">
        <f t="shared" si="2"/>
        <v>49259.043193622434</v>
      </c>
      <c r="H26" s="764">
        <f t="shared" si="2"/>
        <v>0</v>
      </c>
      <c r="I26" s="764">
        <f t="shared" si="2"/>
        <v>0</v>
      </c>
      <c r="J26" s="764">
        <f t="shared" si="2"/>
        <v>0</v>
      </c>
      <c r="K26" s="764">
        <f t="shared" si="2"/>
        <v>3956.4972680788342</v>
      </c>
      <c r="L26" s="764">
        <f t="shared" si="2"/>
        <v>0</v>
      </c>
      <c r="M26" s="764">
        <f t="shared" si="2"/>
        <v>0</v>
      </c>
      <c r="N26" s="764">
        <f t="shared" si="2"/>
        <v>0</v>
      </c>
      <c r="O26" s="764">
        <f t="shared" si="2"/>
        <v>0</v>
      </c>
      <c r="P26" s="764">
        <f t="shared" si="2"/>
        <v>0</v>
      </c>
      <c r="Q26" s="764">
        <f t="shared" si="2"/>
        <v>0</v>
      </c>
      <c r="R26" s="764">
        <f t="shared" si="2"/>
        <v>153257.5103792843</v>
      </c>
      <c r="S26" s="67"/>
    </row>
    <row r="27" spans="1:19" s="440" customFormat="1" ht="17.25" thickTop="1" thickBot="1">
      <c r="A27" s="650" t="s">
        <v>109</v>
      </c>
      <c r="B27" s="756"/>
      <c r="C27" s="651">
        <f ca="1">C22+C16+C26</f>
        <v>76646.000153769128</v>
      </c>
      <c r="D27" s="651">
        <f t="shared" ref="D27:R27" ca="1" si="3">D22+D16+D26</f>
        <v>83334.21428571429</v>
      </c>
      <c r="E27" s="651">
        <f t="shared" ca="1" si="3"/>
        <v>102466.22678804875</v>
      </c>
      <c r="F27" s="651">
        <f t="shared" si="3"/>
        <v>2936.7852806673322</v>
      </c>
      <c r="G27" s="651">
        <f t="shared" ca="1" si="3"/>
        <v>92055.672605337706</v>
      </c>
      <c r="H27" s="651">
        <f t="shared" si="3"/>
        <v>169709.34409993014</v>
      </c>
      <c r="I27" s="651">
        <f t="shared" si="3"/>
        <v>28790.257428650177</v>
      </c>
      <c r="J27" s="651">
        <f t="shared" si="3"/>
        <v>0</v>
      </c>
      <c r="K27" s="651">
        <f t="shared" si="3"/>
        <v>4156.7966327321674</v>
      </c>
      <c r="L27" s="651">
        <f t="shared" si="3"/>
        <v>0</v>
      </c>
      <c r="M27" s="651">
        <f t="shared" ca="1" si="3"/>
        <v>0</v>
      </c>
      <c r="N27" s="651">
        <f t="shared" si="3"/>
        <v>11686.610690356578</v>
      </c>
      <c r="O27" s="651">
        <f t="shared" ca="1" si="3"/>
        <v>11462.937126407527</v>
      </c>
      <c r="P27" s="651">
        <f t="shared" si="3"/>
        <v>420.47387294479796</v>
      </c>
      <c r="Q27" s="651">
        <f t="shared" si="3"/>
        <v>1695.4448156095684</v>
      </c>
      <c r="R27" s="651">
        <f t="shared" ca="1" si="3"/>
        <v>585360.76378016814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2052.3713297935592</v>
      </c>
      <c r="D40" s="641">
        <f ca="1">tertiair!C20</f>
        <v>0</v>
      </c>
      <c r="E40" s="641">
        <f ca="1">tertiair!D20</f>
        <v>3370.8364832177199</v>
      </c>
      <c r="F40" s="641">
        <f>tertiair!E20</f>
        <v>9.2697812739133756</v>
      </c>
      <c r="G40" s="641">
        <f ca="1">tertiair!F20</f>
        <v>765.51008932688057</v>
      </c>
      <c r="H40" s="641">
        <f>tertiair!G20</f>
        <v>0</v>
      </c>
      <c r="I40" s="641">
        <f>tertiair!H20</f>
        <v>0</v>
      </c>
      <c r="J40" s="641">
        <f>tertiair!I20</f>
        <v>0</v>
      </c>
      <c r="K40" s="641">
        <f>tertiair!J20</f>
        <v>7.0938446277243024E-3</v>
      </c>
      <c r="L40" s="641">
        <f>tertiair!K20</f>
        <v>0</v>
      </c>
      <c r="M40" s="641">
        <f ca="1">tertiair!L20</f>
        <v>0</v>
      </c>
      <c r="N40" s="641">
        <f>tertiair!M20</f>
        <v>0</v>
      </c>
      <c r="O40" s="641">
        <f ca="1">tertiair!N20</f>
        <v>0</v>
      </c>
      <c r="P40" s="641">
        <f>tertiair!O20</f>
        <v>0</v>
      </c>
      <c r="Q40" s="724">
        <f>tertiair!P20</f>
        <v>0</v>
      </c>
      <c r="R40" s="802">
        <f t="shared" ca="1" si="4"/>
        <v>6197.9947774567008</v>
      </c>
    </row>
    <row r="41" spans="1:18">
      <c r="A41" s="774" t="s">
        <v>213</v>
      </c>
      <c r="B41" s="781"/>
      <c r="C41" s="641">
        <f ca="1">huishoudens!B12</f>
        <v>4891.8117489995511</v>
      </c>
      <c r="D41" s="641">
        <f ca="1">huishoudens!C12</f>
        <v>0</v>
      </c>
      <c r="E41" s="641">
        <f>huishoudens!D12</f>
        <v>16328.121673512882</v>
      </c>
      <c r="F41" s="641">
        <f>huishoudens!E12</f>
        <v>446.88077196083225</v>
      </c>
      <c r="G41" s="641">
        <f>huishoudens!F12</f>
        <v>10115.308881911627</v>
      </c>
      <c r="H41" s="641">
        <f>huishoudens!G12</f>
        <v>0</v>
      </c>
      <c r="I41" s="641">
        <f>huishoudens!H12</f>
        <v>0</v>
      </c>
      <c r="J41" s="641">
        <f>huishoudens!I12</f>
        <v>0</v>
      </c>
      <c r="K41" s="641">
        <f>huishoudens!J12</f>
        <v>68.627092562023122</v>
      </c>
      <c r="L41" s="641">
        <f>huishoudens!K12</f>
        <v>0</v>
      </c>
      <c r="M41" s="641">
        <f>huishoudens!L12</f>
        <v>0</v>
      </c>
      <c r="N41" s="641">
        <f>huishoudens!M12</f>
        <v>0</v>
      </c>
      <c r="O41" s="641">
        <f>huishoudens!N12</f>
        <v>0</v>
      </c>
      <c r="P41" s="641">
        <f>huishoudens!O12</f>
        <v>0</v>
      </c>
      <c r="Q41" s="724">
        <f>huishoudens!P12</f>
        <v>0</v>
      </c>
      <c r="R41" s="802">
        <f t="shared" ca="1" si="4"/>
        <v>31850.750168946917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719.39751307403958</v>
      </c>
      <c r="D43" s="641">
        <f ca="1">industrie!C22</f>
        <v>0</v>
      </c>
      <c r="E43" s="641">
        <f>industrie!D22</f>
        <v>693.10808898821608</v>
      </c>
      <c r="F43" s="641">
        <f>industrie!E22</f>
        <v>18.139852897481759</v>
      </c>
      <c r="G43" s="641">
        <f>industrie!F22</f>
        <v>545.88108168946997</v>
      </c>
      <c r="H43" s="641">
        <f>industrie!G22</f>
        <v>0</v>
      </c>
      <c r="I43" s="641">
        <f>industrie!H22</f>
        <v>0</v>
      </c>
      <c r="J43" s="641">
        <f>industrie!I22</f>
        <v>0</v>
      </c>
      <c r="K43" s="641">
        <f>industrie!J22</f>
        <v>2.2717886806290997</v>
      </c>
      <c r="L43" s="641">
        <f>industrie!K22</f>
        <v>0</v>
      </c>
      <c r="M43" s="641">
        <f>industrie!L22</f>
        <v>0</v>
      </c>
      <c r="N43" s="641">
        <f>industrie!M22</f>
        <v>0</v>
      </c>
      <c r="O43" s="641">
        <f>industrie!N22</f>
        <v>0</v>
      </c>
      <c r="P43" s="641">
        <f>industrie!O22</f>
        <v>0</v>
      </c>
      <c r="Q43" s="724">
        <f>industrie!P22</f>
        <v>0</v>
      </c>
      <c r="R43" s="801">
        <f t="shared" ca="1" si="4"/>
        <v>1978.7983253298362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7663.5805918671504</v>
      </c>
      <c r="D46" s="677">
        <f t="shared" ref="D46:Q46" ca="1" si="5">SUM(D39:D45)</f>
        <v>0</v>
      </c>
      <c r="E46" s="677">
        <f t="shared" ca="1" si="5"/>
        <v>20392.066245718819</v>
      </c>
      <c r="F46" s="677">
        <f t="shared" si="5"/>
        <v>474.29040613222742</v>
      </c>
      <c r="G46" s="677">
        <f t="shared" ca="1" si="5"/>
        <v>11426.700052927978</v>
      </c>
      <c r="H46" s="677">
        <f t="shared" si="5"/>
        <v>0</v>
      </c>
      <c r="I46" s="677">
        <f t="shared" si="5"/>
        <v>0</v>
      </c>
      <c r="J46" s="677">
        <f t="shared" si="5"/>
        <v>0</v>
      </c>
      <c r="K46" s="677">
        <f t="shared" si="5"/>
        <v>70.905975087279941</v>
      </c>
      <c r="L46" s="677">
        <f t="shared" si="5"/>
        <v>0</v>
      </c>
      <c r="M46" s="677">
        <f t="shared" ca="1" si="5"/>
        <v>0</v>
      </c>
      <c r="N46" s="677">
        <f t="shared" si="5"/>
        <v>0</v>
      </c>
      <c r="O46" s="677">
        <f t="shared" ca="1" si="5"/>
        <v>0</v>
      </c>
      <c r="P46" s="677">
        <f t="shared" si="5"/>
        <v>0</v>
      </c>
      <c r="Q46" s="677">
        <f t="shared" si="5"/>
        <v>0</v>
      </c>
      <c r="R46" s="677">
        <f ca="1">SUM(R39:R45)</f>
        <v>40027.543271733455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3.088360365440185</v>
      </c>
      <c r="D49" s="641">
        <f ca="1">transport!C58</f>
        <v>0</v>
      </c>
      <c r="E49" s="641">
        <f>transport!D58</f>
        <v>0</v>
      </c>
      <c r="F49" s="641">
        <f>transport!E58</f>
        <v>0</v>
      </c>
      <c r="G49" s="641">
        <f>transport!F58</f>
        <v>0</v>
      </c>
      <c r="H49" s="641">
        <f>transport!G58</f>
        <v>479.523719802127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482.61208016756717</v>
      </c>
    </row>
    <row r="50" spans="1:18">
      <c r="A50" s="777" t="s">
        <v>295</v>
      </c>
      <c r="B50" s="787"/>
      <c r="C50" s="647">
        <f ca="1">transport!B18</f>
        <v>23.782484963677621</v>
      </c>
      <c r="D50" s="647">
        <f>transport!C18</f>
        <v>0</v>
      </c>
      <c r="E50" s="647">
        <f>transport!D18</f>
        <v>59.059486883032498</v>
      </c>
      <c r="F50" s="647">
        <f>transport!E18</f>
        <v>63.936890996055233</v>
      </c>
      <c r="G50" s="647">
        <f>transport!F18</f>
        <v>0</v>
      </c>
      <c r="H50" s="647">
        <f>transport!G18</f>
        <v>44832.871154879227</v>
      </c>
      <c r="I50" s="647">
        <f>transport!H18</f>
        <v>7168.7740997338942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52148.424117455885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26.870845329117806</v>
      </c>
      <c r="D52" s="677">
        <f t="shared" ref="D52:Q52" ca="1" si="6">SUM(D48:D51)</f>
        <v>0</v>
      </c>
      <c r="E52" s="677">
        <f t="shared" si="6"/>
        <v>59.059486883032498</v>
      </c>
      <c r="F52" s="677">
        <f t="shared" si="6"/>
        <v>63.936890996055233</v>
      </c>
      <c r="G52" s="677">
        <f t="shared" si="6"/>
        <v>0</v>
      </c>
      <c r="H52" s="677">
        <f t="shared" si="6"/>
        <v>45312.394874681355</v>
      </c>
      <c r="I52" s="677">
        <f t="shared" si="6"/>
        <v>7168.7740997338942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52631.036197623449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1734.9402062939</v>
      </c>
      <c r="D54" s="647">
        <f ca="1">+landbouw!C12</f>
        <v>19759.673949579828</v>
      </c>
      <c r="E54" s="647">
        <f>+landbouw!D12</f>
        <v>0</v>
      </c>
      <c r="F54" s="647">
        <f>+landbouw!E12</f>
        <v>128.42296158320181</v>
      </c>
      <c r="G54" s="647">
        <f>+landbouw!F12</f>
        <v>13152.16453269719</v>
      </c>
      <c r="H54" s="647">
        <f>+landbouw!G12</f>
        <v>0</v>
      </c>
      <c r="I54" s="647">
        <f>+landbouw!H12</f>
        <v>0</v>
      </c>
      <c r="J54" s="647">
        <f>+landbouw!I12</f>
        <v>0</v>
      </c>
      <c r="K54" s="647">
        <f>+landbouw!J12</f>
        <v>1400.6000328999073</v>
      </c>
      <c r="L54" s="647">
        <f>+landbouw!K12</f>
        <v>0</v>
      </c>
      <c r="M54" s="647">
        <f>+landbouw!L12</f>
        <v>0</v>
      </c>
      <c r="N54" s="647">
        <f>+landbouw!M12</f>
        <v>0</v>
      </c>
      <c r="O54" s="647">
        <f>+landbouw!N12</f>
        <v>0</v>
      </c>
      <c r="P54" s="647">
        <f>+landbouw!O12</f>
        <v>0</v>
      </c>
      <c r="Q54" s="648">
        <f>+landbouw!P12</f>
        <v>0</v>
      </c>
      <c r="R54" s="676">
        <f ca="1">SUM(C54:Q54)</f>
        <v>36175.801683054029</v>
      </c>
    </row>
    <row r="55" spans="1:18" ht="15" thickBot="1">
      <c r="A55" s="777" t="s">
        <v>683</v>
      </c>
      <c r="B55" s="787"/>
      <c r="C55" s="647">
        <f ca="1">C25*'EF ele_warmte'!B12</f>
        <v>123.78786080905347</v>
      </c>
      <c r="D55" s="647"/>
      <c r="E55" s="647">
        <f>E25*EF_CO2_aardgas</f>
        <v>247.05207858400001</v>
      </c>
      <c r="F55" s="647"/>
      <c r="G55" s="647"/>
      <c r="H55" s="647"/>
      <c r="I55" s="647"/>
      <c r="J55" s="647"/>
      <c r="K55" s="647"/>
      <c r="L55" s="647"/>
      <c r="M55" s="647"/>
      <c r="N55" s="647"/>
      <c r="O55" s="647"/>
      <c r="P55" s="647"/>
      <c r="Q55" s="648"/>
      <c r="R55" s="676">
        <f ca="1">SUM(C55:Q55)</f>
        <v>370.8399393930535</v>
      </c>
    </row>
    <row r="56" spans="1:18" ht="15.75" thickBot="1">
      <c r="A56" s="775" t="s">
        <v>684</v>
      </c>
      <c r="B56" s="788"/>
      <c r="C56" s="677">
        <f ca="1">SUM(C54:C55)</f>
        <v>1858.7280671029534</v>
      </c>
      <c r="D56" s="677">
        <f t="shared" ref="D56:Q56" ca="1" si="7">SUM(D54:D55)</f>
        <v>19759.673949579828</v>
      </c>
      <c r="E56" s="677">
        <f t="shared" si="7"/>
        <v>247.05207858400001</v>
      </c>
      <c r="F56" s="677">
        <f t="shared" si="7"/>
        <v>128.42296158320181</v>
      </c>
      <c r="G56" s="677">
        <f t="shared" si="7"/>
        <v>13152.16453269719</v>
      </c>
      <c r="H56" s="677">
        <f t="shared" si="7"/>
        <v>0</v>
      </c>
      <c r="I56" s="677">
        <f t="shared" si="7"/>
        <v>0</v>
      </c>
      <c r="J56" s="677">
        <f t="shared" si="7"/>
        <v>0</v>
      </c>
      <c r="K56" s="677">
        <f t="shared" si="7"/>
        <v>1400.6000328999073</v>
      </c>
      <c r="L56" s="677">
        <f t="shared" si="7"/>
        <v>0</v>
      </c>
      <c r="M56" s="677">
        <f t="shared" si="7"/>
        <v>0</v>
      </c>
      <c r="N56" s="677">
        <f t="shared" si="7"/>
        <v>0</v>
      </c>
      <c r="O56" s="677">
        <f t="shared" si="7"/>
        <v>0</v>
      </c>
      <c r="P56" s="677">
        <f t="shared" si="7"/>
        <v>0</v>
      </c>
      <c r="Q56" s="678">
        <f t="shared" si="7"/>
        <v>0</v>
      </c>
      <c r="R56" s="679">
        <f ca="1">SUM(R54:R55)</f>
        <v>36546.641622447081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9549.1795042992217</v>
      </c>
      <c r="D61" s="685">
        <f t="shared" ref="D61:Q61" ca="1" si="8">D46+D52+D56</f>
        <v>19759.673949579828</v>
      </c>
      <c r="E61" s="685">
        <f t="shared" ca="1" si="8"/>
        <v>20698.177811185855</v>
      </c>
      <c r="F61" s="685">
        <f t="shared" si="8"/>
        <v>666.65025871148441</v>
      </c>
      <c r="G61" s="685">
        <f t="shared" ca="1" si="8"/>
        <v>24578.864585625168</v>
      </c>
      <c r="H61" s="685">
        <f t="shared" si="8"/>
        <v>45312.394874681355</v>
      </c>
      <c r="I61" s="685">
        <f t="shared" si="8"/>
        <v>7168.7740997338942</v>
      </c>
      <c r="J61" s="685">
        <f t="shared" si="8"/>
        <v>0</v>
      </c>
      <c r="K61" s="685">
        <f t="shared" si="8"/>
        <v>1471.5060079871873</v>
      </c>
      <c r="L61" s="685">
        <f t="shared" si="8"/>
        <v>0</v>
      </c>
      <c r="M61" s="685">
        <f t="shared" ca="1" si="8"/>
        <v>0</v>
      </c>
      <c r="N61" s="685">
        <f t="shared" si="8"/>
        <v>0</v>
      </c>
      <c r="O61" s="685">
        <f t="shared" ca="1" si="8"/>
        <v>0</v>
      </c>
      <c r="P61" s="685">
        <f t="shared" si="8"/>
        <v>0</v>
      </c>
      <c r="Q61" s="685">
        <f t="shared" si="8"/>
        <v>0</v>
      </c>
      <c r="R61" s="685">
        <f ca="1">R46+R52+R56</f>
        <v>129205.22109180398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0.12458809964174801</v>
      </c>
      <c r="D63" s="731">
        <f t="shared" ca="1" si="9"/>
        <v>0.23711358076567554</v>
      </c>
      <c r="E63" s="927">
        <f t="shared" ca="1" si="9"/>
        <v>0.20200000000000007</v>
      </c>
      <c r="F63" s="731">
        <f t="shared" si="9"/>
        <v>0.22700000000000001</v>
      </c>
      <c r="G63" s="731">
        <f t="shared" ca="1" si="9"/>
        <v>0.26700000000000002</v>
      </c>
      <c r="H63" s="731">
        <f t="shared" si="9"/>
        <v>0.26700000000000007</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42630.039829167399</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10056.017735592188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130.94999999999999</v>
      </c>
      <c r="C76" s="698">
        <f>'lokale energieproductie'!B8*IFERROR(SUM(D76:H76)/SUM(D76:O76),0)</f>
        <v>58203.000000000007</v>
      </c>
      <c r="D76" s="910">
        <f>'lokale energieproductie'!C8</f>
        <v>68474.117647058825</v>
      </c>
      <c r="E76" s="911">
        <f>'lokale energieproductie'!D8</f>
        <v>0</v>
      </c>
      <c r="F76" s="911">
        <f>'lokale energieproductie'!E8</f>
        <v>0</v>
      </c>
      <c r="G76" s="911">
        <f>'lokale energieproductie'!F8</f>
        <v>0</v>
      </c>
      <c r="H76" s="911">
        <f>'lokale energieproductie'!G8</f>
        <v>0</v>
      </c>
      <c r="I76" s="911">
        <f>'lokale energieproductie'!I8</f>
        <v>0</v>
      </c>
      <c r="J76" s="911">
        <f>'lokale energieproductie'!J8</f>
        <v>154.05882352941174</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13831.771764705883</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52817.00756475958</v>
      </c>
      <c r="C78" s="703">
        <f>SUM(C72:C77)</f>
        <v>58203.000000000007</v>
      </c>
      <c r="D78" s="704">
        <f t="shared" ref="D78:H78" si="10">SUM(D76:D77)</f>
        <v>68474.117647058825</v>
      </c>
      <c r="E78" s="704">
        <f t="shared" si="10"/>
        <v>0</v>
      </c>
      <c r="F78" s="704">
        <f t="shared" si="10"/>
        <v>0</v>
      </c>
      <c r="G78" s="704">
        <f t="shared" si="10"/>
        <v>0</v>
      </c>
      <c r="H78" s="704">
        <f t="shared" si="10"/>
        <v>0</v>
      </c>
      <c r="I78" s="704">
        <f>SUM(I76:I77)</f>
        <v>0</v>
      </c>
      <c r="J78" s="704">
        <f>SUM(J76:J77)</f>
        <v>154.05882352941174</v>
      </c>
      <c r="K78" s="704">
        <f t="shared" ref="K78:L78" si="11">SUM(K76:K77)</f>
        <v>0</v>
      </c>
      <c r="L78" s="704">
        <f t="shared" si="11"/>
        <v>0</v>
      </c>
      <c r="M78" s="704">
        <f>SUM(M76:M77)</f>
        <v>0</v>
      </c>
      <c r="N78" s="704">
        <f>SUM(N76:N77)</f>
        <v>0</v>
      </c>
      <c r="O78" s="812">
        <f>SUM(O76:O77)</f>
        <v>0</v>
      </c>
      <c r="P78" s="705">
        <v>0</v>
      </c>
      <c r="Q78" s="705">
        <f>SUM(Q76:Q77)</f>
        <v>13831.771764705883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187.07142857142858</v>
      </c>
      <c r="C87" s="716">
        <f>'lokale energieproductie'!B17*IFERROR(SUM(D87:H87)/SUM(D87:O87),0)</f>
        <v>83147.142857142855</v>
      </c>
      <c r="D87" s="727">
        <f>'lokale energieproductie'!C17</f>
        <v>97820.16806722687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220.08403361344531</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19759.673949579828</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187.07142857142858</v>
      </c>
      <c r="C90" s="703">
        <f>SUM(C87:C89)</f>
        <v>83147.142857142855</v>
      </c>
      <c r="D90" s="703">
        <f t="shared" ref="D90:H90" si="12">SUM(D87:D89)</f>
        <v>97820.16806722687</v>
      </c>
      <c r="E90" s="703">
        <f t="shared" si="12"/>
        <v>0</v>
      </c>
      <c r="F90" s="703">
        <f t="shared" si="12"/>
        <v>0</v>
      </c>
      <c r="G90" s="703">
        <f t="shared" si="12"/>
        <v>0</v>
      </c>
      <c r="H90" s="703">
        <f t="shared" si="12"/>
        <v>0</v>
      </c>
      <c r="I90" s="703">
        <f>SUM(I87:I89)</f>
        <v>0</v>
      </c>
      <c r="J90" s="703">
        <f>SUM(J87:J89)</f>
        <v>220.08403361344531</v>
      </c>
      <c r="K90" s="703">
        <f t="shared" ref="K90:L90" si="13">SUM(K87:K89)</f>
        <v>0</v>
      </c>
      <c r="L90" s="703">
        <f t="shared" si="13"/>
        <v>0</v>
      </c>
      <c r="M90" s="703">
        <f>SUM(M87:M89)</f>
        <v>0</v>
      </c>
      <c r="N90" s="703">
        <f>SUM(N87:N89)</f>
        <v>0</v>
      </c>
      <c r="O90" s="703">
        <f>SUM(O87:O89)</f>
        <v>0</v>
      </c>
      <c r="P90" s="703">
        <v>0</v>
      </c>
      <c r="Q90" s="703">
        <f>SUM(Q87:Q89)</f>
        <v>19759.673949579828</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39263.876430139906</v>
      </c>
      <c r="C4" s="444">
        <f>huishoudens!C8</f>
        <v>0</v>
      </c>
      <c r="D4" s="444">
        <f>huishoudens!D8</f>
        <v>80832.285512440008</v>
      </c>
      <c r="E4" s="444">
        <f>huishoudens!E8</f>
        <v>1968.6377619419923</v>
      </c>
      <c r="F4" s="444">
        <f>huishoudens!F8</f>
        <v>37885.051992178378</v>
      </c>
      <c r="G4" s="444">
        <f>huishoudens!G8</f>
        <v>0</v>
      </c>
      <c r="H4" s="444">
        <f>huishoudens!H8</f>
        <v>0</v>
      </c>
      <c r="I4" s="444">
        <f>huishoudens!I8</f>
        <v>0</v>
      </c>
      <c r="J4" s="444">
        <f>huishoudens!J8</f>
        <v>193.86184339554555</v>
      </c>
      <c r="K4" s="444">
        <f>huishoudens!K8</f>
        <v>0</v>
      </c>
      <c r="L4" s="444">
        <f>huishoudens!L8</f>
        <v>0</v>
      </c>
      <c r="M4" s="444">
        <f>huishoudens!M8</f>
        <v>0</v>
      </c>
      <c r="N4" s="444">
        <f>huishoudens!N8</f>
        <v>10491.28603367056</v>
      </c>
      <c r="O4" s="444">
        <f>huishoudens!O8</f>
        <v>410.67935141311563</v>
      </c>
      <c r="P4" s="445">
        <f>huishoudens!P8</f>
        <v>1485.2882623835883</v>
      </c>
      <c r="Q4" s="446">
        <f>SUM(B4:P4)</f>
        <v>172530.9671875631</v>
      </c>
    </row>
    <row r="5" spans="1:17">
      <c r="A5" s="443" t="s">
        <v>149</v>
      </c>
      <c r="B5" s="444">
        <f ca="1">tertiair!B16</f>
        <v>15378.94435</v>
      </c>
      <c r="C5" s="444">
        <f ca="1">tertiair!C16</f>
        <v>0</v>
      </c>
      <c r="D5" s="444">
        <f ca="1">tertiair!D16</f>
        <v>16687.309322859997</v>
      </c>
      <c r="E5" s="444">
        <f>tertiair!E16</f>
        <v>40.836040854243947</v>
      </c>
      <c r="F5" s="444">
        <f ca="1">tertiair!F16</f>
        <v>2867.0789862429983</v>
      </c>
      <c r="G5" s="444">
        <f>tertiair!G16</f>
        <v>0</v>
      </c>
      <c r="H5" s="444">
        <f>tertiair!H16</f>
        <v>0</v>
      </c>
      <c r="I5" s="444">
        <f>tertiair!I16</f>
        <v>0</v>
      </c>
      <c r="J5" s="444">
        <f>tertiair!J16</f>
        <v>2.0039109117865262E-2</v>
      </c>
      <c r="K5" s="444">
        <f>tertiair!K16</f>
        <v>0</v>
      </c>
      <c r="L5" s="444">
        <f ca="1">tertiair!L16</f>
        <v>0</v>
      </c>
      <c r="M5" s="444">
        <f>tertiair!M16</f>
        <v>0</v>
      </c>
      <c r="N5" s="444">
        <f ca="1">tertiair!N16</f>
        <v>747.06552682740903</v>
      </c>
      <c r="O5" s="444">
        <f>tertiair!O16</f>
        <v>9.7945215316823084</v>
      </c>
      <c r="P5" s="445">
        <f>tertiair!P16</f>
        <v>210.15655322598008</v>
      </c>
      <c r="Q5" s="443">
        <f t="shared" ref="Q5:Q14" ca="1" si="0">SUM(B5:P5)</f>
        <v>35941.205340651417</v>
      </c>
    </row>
    <row r="6" spans="1:17">
      <c r="A6" s="443" t="s">
        <v>187</v>
      </c>
      <c r="B6" s="444">
        <f>'openbare verlichting'!B8</f>
        <v>1094.309</v>
      </c>
      <c r="C6" s="444"/>
      <c r="D6" s="444"/>
      <c r="E6" s="444"/>
      <c r="F6" s="444"/>
      <c r="G6" s="444"/>
      <c r="H6" s="444"/>
      <c r="I6" s="444"/>
      <c r="J6" s="444"/>
      <c r="K6" s="444"/>
      <c r="L6" s="444"/>
      <c r="M6" s="444"/>
      <c r="N6" s="444"/>
      <c r="O6" s="444"/>
      <c r="P6" s="445"/>
      <c r="Q6" s="443">
        <f t="shared" si="0"/>
        <v>1094.309</v>
      </c>
    </row>
    <row r="7" spans="1:17">
      <c r="A7" s="443" t="s">
        <v>105</v>
      </c>
      <c r="B7" s="444">
        <f>landbouw!B8</f>
        <v>13925.408696999999</v>
      </c>
      <c r="C7" s="444">
        <f>landbouw!C8</f>
        <v>83334.21428571429</v>
      </c>
      <c r="D7" s="444">
        <f>landbouw!D8</f>
        <v>0</v>
      </c>
      <c r="E7" s="444">
        <f>landbouw!E8</f>
        <v>565.73991886873046</v>
      </c>
      <c r="F7" s="444">
        <f>landbouw!F8</f>
        <v>49259.043193622434</v>
      </c>
      <c r="G7" s="444">
        <f>landbouw!G8</f>
        <v>0</v>
      </c>
      <c r="H7" s="444">
        <f>landbouw!H8</f>
        <v>0</v>
      </c>
      <c r="I7" s="444">
        <f>landbouw!I8</f>
        <v>0</v>
      </c>
      <c r="J7" s="444">
        <f>landbouw!J8</f>
        <v>3956.4972680788342</v>
      </c>
      <c r="K7" s="444">
        <f>landbouw!K8</f>
        <v>0</v>
      </c>
      <c r="L7" s="444">
        <f>landbouw!L8</f>
        <v>0</v>
      </c>
      <c r="M7" s="444">
        <f>landbouw!M8</f>
        <v>0</v>
      </c>
      <c r="N7" s="444">
        <f>landbouw!N8</f>
        <v>0</v>
      </c>
      <c r="O7" s="444">
        <f>landbouw!O8</f>
        <v>0</v>
      </c>
      <c r="P7" s="445">
        <f>landbouw!P8</f>
        <v>0</v>
      </c>
      <c r="Q7" s="443">
        <f t="shared" si="0"/>
        <v>151040.90336328431</v>
      </c>
    </row>
    <row r="8" spans="1:17">
      <c r="A8" s="443" t="s">
        <v>587</v>
      </c>
      <c r="B8" s="444">
        <f>industrie!B18</f>
        <v>5774.2072889999999</v>
      </c>
      <c r="C8" s="444">
        <f>industrie!C18</f>
        <v>0</v>
      </c>
      <c r="D8" s="444">
        <f>industrie!D18</f>
        <v>3431.2281633080001</v>
      </c>
      <c r="E8" s="444">
        <f>industrie!E18</f>
        <v>79.911246244413036</v>
      </c>
      <c r="F8" s="444">
        <f>industrie!F18</f>
        <v>2044.498433293895</v>
      </c>
      <c r="G8" s="444">
        <f>industrie!G18</f>
        <v>0</v>
      </c>
      <c r="H8" s="444">
        <f>industrie!H18</f>
        <v>0</v>
      </c>
      <c r="I8" s="444">
        <f>industrie!I18</f>
        <v>0</v>
      </c>
      <c r="J8" s="444">
        <f>industrie!J18</f>
        <v>6.417482148669774</v>
      </c>
      <c r="K8" s="444">
        <f>industrie!K18</f>
        <v>0</v>
      </c>
      <c r="L8" s="444">
        <f>industrie!L18</f>
        <v>0</v>
      </c>
      <c r="M8" s="444">
        <f>industrie!M18</f>
        <v>0</v>
      </c>
      <c r="N8" s="444">
        <f>industrie!N18</f>
        <v>224.58556590955823</v>
      </c>
      <c r="O8" s="444">
        <f>industrie!O18</f>
        <v>0</v>
      </c>
      <c r="P8" s="445">
        <f>industrie!P18</f>
        <v>0</v>
      </c>
      <c r="Q8" s="443">
        <f t="shared" si="0"/>
        <v>11560.848179904537</v>
      </c>
    </row>
    <row r="9" spans="1:17" s="449" customFormat="1">
      <c r="A9" s="447" t="s">
        <v>536</v>
      </c>
      <c r="B9" s="448">
        <f>transport!B14</f>
        <v>190.88889735106284</v>
      </c>
      <c r="C9" s="448">
        <f>transport!C14</f>
        <v>0</v>
      </c>
      <c r="D9" s="448">
        <f>transport!D14</f>
        <v>292.37369744075494</v>
      </c>
      <c r="E9" s="448">
        <f>transport!E14</f>
        <v>281.66031275795257</v>
      </c>
      <c r="F9" s="448">
        <f>transport!F14</f>
        <v>0</v>
      </c>
      <c r="G9" s="448">
        <f>transport!G14</f>
        <v>167913.3751119072</v>
      </c>
      <c r="H9" s="448">
        <f>transport!H14</f>
        <v>28790.257428650177</v>
      </c>
      <c r="I9" s="448">
        <f>transport!I14</f>
        <v>0</v>
      </c>
      <c r="J9" s="448">
        <f>transport!J14</f>
        <v>0</v>
      </c>
      <c r="K9" s="448">
        <f>transport!K14</f>
        <v>0</v>
      </c>
      <c r="L9" s="448">
        <f>transport!L14</f>
        <v>0</v>
      </c>
      <c r="M9" s="448">
        <f>transport!M14</f>
        <v>11585.025335938431</v>
      </c>
      <c r="N9" s="448">
        <f>transport!N14</f>
        <v>0</v>
      </c>
      <c r="O9" s="448">
        <f>transport!O14</f>
        <v>0</v>
      </c>
      <c r="P9" s="448">
        <f>transport!P14</f>
        <v>0</v>
      </c>
      <c r="Q9" s="447">
        <f>SUM(B9:P9)</f>
        <v>209053.58078404557</v>
      </c>
    </row>
    <row r="10" spans="1:17">
      <c r="A10" s="443" t="s">
        <v>526</v>
      </c>
      <c r="B10" s="444">
        <f>transport!B54</f>
        <v>24.788566278165721</v>
      </c>
      <c r="C10" s="444">
        <f>transport!C54</f>
        <v>0</v>
      </c>
      <c r="D10" s="444">
        <f>transport!D54</f>
        <v>0</v>
      </c>
      <c r="E10" s="444">
        <f>transport!E54</f>
        <v>0</v>
      </c>
      <c r="F10" s="444">
        <f>transport!F54</f>
        <v>0</v>
      </c>
      <c r="G10" s="444">
        <f>transport!G54</f>
        <v>1795.9689880229475</v>
      </c>
      <c r="H10" s="444">
        <f>transport!H54</f>
        <v>0</v>
      </c>
      <c r="I10" s="444">
        <f>transport!I54</f>
        <v>0</v>
      </c>
      <c r="J10" s="444">
        <f>transport!J54</f>
        <v>0</v>
      </c>
      <c r="K10" s="444">
        <f>transport!K54</f>
        <v>0</v>
      </c>
      <c r="L10" s="444">
        <f>transport!L54</f>
        <v>0</v>
      </c>
      <c r="M10" s="444">
        <f>transport!M54</f>
        <v>101.58535441814689</v>
      </c>
      <c r="N10" s="444">
        <f>transport!N54</f>
        <v>0</v>
      </c>
      <c r="O10" s="444">
        <f>transport!O54</f>
        <v>0</v>
      </c>
      <c r="P10" s="445">
        <f>transport!P54</f>
        <v>0</v>
      </c>
      <c r="Q10" s="443">
        <f t="shared" si="0"/>
        <v>1922.3429087192601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993.57692399999996</v>
      </c>
      <c r="C14" s="451"/>
      <c r="D14" s="451">
        <f>'SEAP template'!E25</f>
        <v>1223.030092</v>
      </c>
      <c r="E14" s="451"/>
      <c r="F14" s="451"/>
      <c r="G14" s="451"/>
      <c r="H14" s="451"/>
      <c r="I14" s="451"/>
      <c r="J14" s="451"/>
      <c r="K14" s="451"/>
      <c r="L14" s="451"/>
      <c r="M14" s="451"/>
      <c r="N14" s="451"/>
      <c r="O14" s="451"/>
      <c r="P14" s="452"/>
      <c r="Q14" s="443">
        <f t="shared" si="0"/>
        <v>2216.6070159999999</v>
      </c>
    </row>
    <row r="15" spans="1:17" s="455" customFormat="1">
      <c r="A15" s="453" t="s">
        <v>530</v>
      </c>
      <c r="B15" s="454">
        <f ca="1">SUM(B4:B14)</f>
        <v>76646.000153769113</v>
      </c>
      <c r="C15" s="454">
        <f t="shared" ref="C15:Q15" ca="1" si="1">SUM(C4:C14)</f>
        <v>83334.21428571429</v>
      </c>
      <c r="D15" s="454">
        <f t="shared" ca="1" si="1"/>
        <v>102466.22678804875</v>
      </c>
      <c r="E15" s="454">
        <f t="shared" si="1"/>
        <v>2936.7852806673322</v>
      </c>
      <c r="F15" s="454">
        <f t="shared" ca="1" si="1"/>
        <v>92055.672605337691</v>
      </c>
      <c r="G15" s="454">
        <f t="shared" si="1"/>
        <v>169709.34409993014</v>
      </c>
      <c r="H15" s="454">
        <f t="shared" si="1"/>
        <v>28790.257428650177</v>
      </c>
      <c r="I15" s="454">
        <f t="shared" si="1"/>
        <v>0</v>
      </c>
      <c r="J15" s="454">
        <f t="shared" si="1"/>
        <v>4156.7966327321674</v>
      </c>
      <c r="K15" s="454">
        <f t="shared" si="1"/>
        <v>0</v>
      </c>
      <c r="L15" s="454">
        <f t="shared" ca="1" si="1"/>
        <v>0</v>
      </c>
      <c r="M15" s="454">
        <f t="shared" si="1"/>
        <v>11686.610690356578</v>
      </c>
      <c r="N15" s="454">
        <f t="shared" ca="1" si="1"/>
        <v>11462.937126407527</v>
      </c>
      <c r="O15" s="454">
        <f t="shared" si="1"/>
        <v>420.47387294479796</v>
      </c>
      <c r="P15" s="454">
        <f t="shared" si="1"/>
        <v>1695.4448156095684</v>
      </c>
      <c r="Q15" s="454">
        <f t="shared" ca="1" si="1"/>
        <v>585360.76378016814</v>
      </c>
    </row>
    <row r="17" spans="1:17">
      <c r="A17" s="456" t="s">
        <v>531</v>
      </c>
      <c r="B17" s="736">
        <f ca="1">huishoudens!B10</f>
        <v>0.124588099641748</v>
      </c>
      <c r="C17" s="736">
        <f ca="1">huishoudens!C10</f>
        <v>0.23711358076567554</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4891.8117489995511</v>
      </c>
      <c r="C22" s="444">
        <f t="shared" ref="C22:C32" ca="1" si="3">C4*$C$17</f>
        <v>0</v>
      </c>
      <c r="D22" s="444">
        <f t="shared" ref="D22:D32" si="4">D4*$D$17</f>
        <v>16328.121673512882</v>
      </c>
      <c r="E22" s="444">
        <f t="shared" ref="E22:E32" si="5">E4*$E$17</f>
        <v>446.88077196083225</v>
      </c>
      <c r="F22" s="444">
        <f t="shared" ref="F22:F32" si="6">F4*$F$17</f>
        <v>10115.308881911627</v>
      </c>
      <c r="G22" s="444">
        <f t="shared" ref="G22:G32" si="7">G4*$G$17</f>
        <v>0</v>
      </c>
      <c r="H22" s="444">
        <f t="shared" ref="H22:H32" si="8">H4*$H$17</f>
        <v>0</v>
      </c>
      <c r="I22" s="444">
        <f t="shared" ref="I22:I32" si="9">I4*$I$17</f>
        <v>0</v>
      </c>
      <c r="J22" s="444">
        <f t="shared" ref="J22:J32" si="10">J4*$J$17</f>
        <v>68.627092562023122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31850.750168946917</v>
      </c>
    </row>
    <row r="23" spans="1:17">
      <c r="A23" s="443" t="s">
        <v>149</v>
      </c>
      <c r="B23" s="444">
        <f t="shared" ca="1" si="2"/>
        <v>1916.0334510626974</v>
      </c>
      <c r="C23" s="444">
        <f t="shared" ca="1" si="3"/>
        <v>0</v>
      </c>
      <c r="D23" s="444">
        <f t="shared" ca="1" si="4"/>
        <v>3370.8364832177199</v>
      </c>
      <c r="E23" s="444">
        <f t="shared" si="5"/>
        <v>9.2697812739133756</v>
      </c>
      <c r="F23" s="444">
        <f t="shared" ca="1" si="6"/>
        <v>765.51008932688057</v>
      </c>
      <c r="G23" s="444">
        <f t="shared" si="7"/>
        <v>0</v>
      </c>
      <c r="H23" s="444">
        <f t="shared" si="8"/>
        <v>0</v>
      </c>
      <c r="I23" s="444">
        <f t="shared" si="9"/>
        <v>0</v>
      </c>
      <c r="J23" s="444">
        <f t="shared" si="10"/>
        <v>7.0938446277243024E-3</v>
      </c>
      <c r="K23" s="444">
        <f t="shared" si="11"/>
        <v>0</v>
      </c>
      <c r="L23" s="444">
        <f t="shared" ca="1" si="12"/>
        <v>0</v>
      </c>
      <c r="M23" s="444">
        <f t="shared" si="13"/>
        <v>0</v>
      </c>
      <c r="N23" s="444">
        <f t="shared" ca="1" si="14"/>
        <v>0</v>
      </c>
      <c r="O23" s="444">
        <f t="shared" si="15"/>
        <v>0</v>
      </c>
      <c r="P23" s="445">
        <f t="shared" si="16"/>
        <v>0</v>
      </c>
      <c r="Q23" s="443">
        <f t="shared" ref="Q23:Q31" ca="1" si="17">SUM(B23:P23)</f>
        <v>6061.6568987258397</v>
      </c>
    </row>
    <row r="24" spans="1:17">
      <c r="A24" s="443" t="s">
        <v>187</v>
      </c>
      <c r="B24" s="444">
        <f t="shared" ca="1" si="2"/>
        <v>136.3378787308616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136.3378787308616</v>
      </c>
    </row>
    <row r="25" spans="1:17">
      <c r="A25" s="443" t="s">
        <v>105</v>
      </c>
      <c r="B25" s="444">
        <f t="shared" ca="1" si="2"/>
        <v>1734.9402062939</v>
      </c>
      <c r="C25" s="444">
        <f t="shared" ca="1" si="3"/>
        <v>19759.673949579828</v>
      </c>
      <c r="D25" s="444">
        <f t="shared" si="4"/>
        <v>0</v>
      </c>
      <c r="E25" s="444">
        <f t="shared" si="5"/>
        <v>128.42296158320181</v>
      </c>
      <c r="F25" s="444">
        <f t="shared" si="6"/>
        <v>13152.16453269719</v>
      </c>
      <c r="G25" s="444">
        <f t="shared" si="7"/>
        <v>0</v>
      </c>
      <c r="H25" s="444">
        <f t="shared" si="8"/>
        <v>0</v>
      </c>
      <c r="I25" s="444">
        <f t="shared" si="9"/>
        <v>0</v>
      </c>
      <c r="J25" s="444">
        <f t="shared" si="10"/>
        <v>1400.6000328999073</v>
      </c>
      <c r="K25" s="444">
        <f t="shared" si="11"/>
        <v>0</v>
      </c>
      <c r="L25" s="444">
        <f t="shared" si="12"/>
        <v>0</v>
      </c>
      <c r="M25" s="444">
        <f t="shared" si="13"/>
        <v>0</v>
      </c>
      <c r="N25" s="444">
        <f t="shared" si="14"/>
        <v>0</v>
      </c>
      <c r="O25" s="444">
        <f t="shared" si="15"/>
        <v>0</v>
      </c>
      <c r="P25" s="445">
        <f t="shared" si="16"/>
        <v>0</v>
      </c>
      <c r="Q25" s="443">
        <f t="shared" ca="1" si="17"/>
        <v>36175.801683054029</v>
      </c>
    </row>
    <row r="26" spans="1:17">
      <c r="A26" s="443" t="s">
        <v>587</v>
      </c>
      <c r="B26" s="444">
        <f t="shared" ca="1" si="2"/>
        <v>719.39751307403958</v>
      </c>
      <c r="C26" s="444">
        <f t="shared" ca="1" si="3"/>
        <v>0</v>
      </c>
      <c r="D26" s="444">
        <f t="shared" si="4"/>
        <v>693.10808898821608</v>
      </c>
      <c r="E26" s="444">
        <f t="shared" si="5"/>
        <v>18.139852897481759</v>
      </c>
      <c r="F26" s="444">
        <f t="shared" si="6"/>
        <v>545.88108168946997</v>
      </c>
      <c r="G26" s="444">
        <f t="shared" si="7"/>
        <v>0</v>
      </c>
      <c r="H26" s="444">
        <f t="shared" si="8"/>
        <v>0</v>
      </c>
      <c r="I26" s="444">
        <f t="shared" si="9"/>
        <v>0</v>
      </c>
      <c r="J26" s="444">
        <f t="shared" si="10"/>
        <v>2.2717886806290997</v>
      </c>
      <c r="K26" s="444">
        <f t="shared" si="11"/>
        <v>0</v>
      </c>
      <c r="L26" s="444">
        <f t="shared" si="12"/>
        <v>0</v>
      </c>
      <c r="M26" s="444">
        <f t="shared" si="13"/>
        <v>0</v>
      </c>
      <c r="N26" s="444">
        <f t="shared" si="14"/>
        <v>0</v>
      </c>
      <c r="O26" s="444">
        <f t="shared" si="15"/>
        <v>0</v>
      </c>
      <c r="P26" s="445">
        <f t="shared" si="16"/>
        <v>0</v>
      </c>
      <c r="Q26" s="443">
        <f t="shared" ca="1" si="17"/>
        <v>1978.7983253298362</v>
      </c>
    </row>
    <row r="27" spans="1:17" s="449" customFormat="1">
      <c r="A27" s="447" t="s">
        <v>536</v>
      </c>
      <c r="B27" s="730">
        <f t="shared" ca="1" si="2"/>
        <v>23.782484963677621</v>
      </c>
      <c r="C27" s="448">
        <f t="shared" ca="1" si="3"/>
        <v>0</v>
      </c>
      <c r="D27" s="448">
        <f t="shared" si="4"/>
        <v>59.059486883032498</v>
      </c>
      <c r="E27" s="448">
        <f t="shared" si="5"/>
        <v>63.936890996055233</v>
      </c>
      <c r="F27" s="448">
        <f t="shared" si="6"/>
        <v>0</v>
      </c>
      <c r="G27" s="448">
        <f t="shared" si="7"/>
        <v>44832.871154879227</v>
      </c>
      <c r="H27" s="448">
        <f t="shared" si="8"/>
        <v>7168.7740997338942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52148.424117455885</v>
      </c>
    </row>
    <row r="28" spans="1:17" ht="16.5" customHeight="1">
      <c r="A28" s="443" t="s">
        <v>526</v>
      </c>
      <c r="B28" s="444">
        <f t="shared" ca="1" si="2"/>
        <v>3.088360365440185</v>
      </c>
      <c r="C28" s="444">
        <f t="shared" ca="1" si="3"/>
        <v>0</v>
      </c>
      <c r="D28" s="444">
        <f t="shared" si="4"/>
        <v>0</v>
      </c>
      <c r="E28" s="444">
        <f t="shared" si="5"/>
        <v>0</v>
      </c>
      <c r="F28" s="444">
        <f t="shared" si="6"/>
        <v>0</v>
      </c>
      <c r="G28" s="444">
        <f t="shared" si="7"/>
        <v>479.523719802127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482.61208016756717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123.78786080905347</v>
      </c>
      <c r="C32" s="444">
        <f t="shared" ca="1" si="3"/>
        <v>0</v>
      </c>
      <c r="D32" s="444">
        <f t="shared" si="4"/>
        <v>247.05207858400001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370.8399393930535</v>
      </c>
    </row>
    <row r="33" spans="1:17" s="455" customFormat="1">
      <c r="A33" s="453" t="s">
        <v>530</v>
      </c>
      <c r="B33" s="454">
        <f ca="1">SUM(B22:B32)</f>
        <v>9549.1795042992235</v>
      </c>
      <c r="C33" s="454">
        <f t="shared" ref="C33:Q33" ca="1" si="19">SUM(C22:C32)</f>
        <v>19759.673949579828</v>
      </c>
      <c r="D33" s="454">
        <f t="shared" ca="1" si="19"/>
        <v>20698.177811185855</v>
      </c>
      <c r="E33" s="454">
        <f t="shared" si="19"/>
        <v>666.65025871148441</v>
      </c>
      <c r="F33" s="454">
        <f t="shared" ca="1" si="19"/>
        <v>24578.864585625168</v>
      </c>
      <c r="G33" s="454">
        <f t="shared" si="19"/>
        <v>45312.394874681355</v>
      </c>
      <c r="H33" s="454">
        <f t="shared" si="19"/>
        <v>7168.7740997338942</v>
      </c>
      <c r="I33" s="454">
        <f t="shared" si="19"/>
        <v>0</v>
      </c>
      <c r="J33" s="454">
        <f t="shared" si="19"/>
        <v>1471.5060079871871</v>
      </c>
      <c r="K33" s="454">
        <f t="shared" si="19"/>
        <v>0</v>
      </c>
      <c r="L33" s="454">
        <f t="shared" ca="1" si="19"/>
        <v>0</v>
      </c>
      <c r="M33" s="454">
        <f t="shared" si="19"/>
        <v>0</v>
      </c>
      <c r="N33" s="454">
        <f t="shared" ca="1" si="19"/>
        <v>0</v>
      </c>
      <c r="O33" s="454">
        <f t="shared" si="19"/>
        <v>0</v>
      </c>
      <c r="P33" s="454">
        <f t="shared" si="19"/>
        <v>0</v>
      </c>
      <c r="Q33" s="454">
        <f t="shared" ca="1" si="19"/>
        <v>129205.22109180399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42630.039829167399</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10056.017735592188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130.94999999999999</v>
      </c>
      <c r="C8" s="979">
        <f>'SEAP template'!C76</f>
        <v>58203.000000000007</v>
      </c>
      <c r="D8" s="979">
        <f>'SEAP template'!D76</f>
        <v>68474.117647058825</v>
      </c>
      <c r="E8" s="979">
        <f>'SEAP template'!E76</f>
        <v>0</v>
      </c>
      <c r="F8" s="979">
        <f>'SEAP template'!F76</f>
        <v>0</v>
      </c>
      <c r="G8" s="979">
        <f>'SEAP template'!G76</f>
        <v>0</v>
      </c>
      <c r="H8" s="979">
        <f>'SEAP template'!H76</f>
        <v>0</v>
      </c>
      <c r="I8" s="979">
        <f>'SEAP template'!I76</f>
        <v>0</v>
      </c>
      <c r="J8" s="979">
        <f>'SEAP template'!J76</f>
        <v>154.05882352941174</v>
      </c>
      <c r="K8" s="979">
        <f>'SEAP template'!K76</f>
        <v>0</v>
      </c>
      <c r="L8" s="979">
        <f>'SEAP template'!L76</f>
        <v>0</v>
      </c>
      <c r="M8" s="979">
        <f>'SEAP template'!M76</f>
        <v>0</v>
      </c>
      <c r="N8" s="979">
        <f>'SEAP template'!N76</f>
        <v>0</v>
      </c>
      <c r="O8" s="979">
        <f>'SEAP template'!O76</f>
        <v>0</v>
      </c>
      <c r="P8" s="980">
        <f>'SEAP template'!Q76</f>
        <v>13831.771764705883</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52817.00756475958</v>
      </c>
      <c r="C10" s="981">
        <f>SUM(C4:C9)</f>
        <v>58203.000000000007</v>
      </c>
      <c r="D10" s="981">
        <f t="shared" ref="D10:H10" si="0">SUM(D8:D9)</f>
        <v>68474.117647058825</v>
      </c>
      <c r="E10" s="981">
        <f t="shared" si="0"/>
        <v>0</v>
      </c>
      <c r="F10" s="981">
        <f t="shared" si="0"/>
        <v>0</v>
      </c>
      <c r="G10" s="981">
        <f t="shared" si="0"/>
        <v>0</v>
      </c>
      <c r="H10" s="981">
        <f t="shared" si="0"/>
        <v>0</v>
      </c>
      <c r="I10" s="981">
        <f>SUM(I8:I9)</f>
        <v>0</v>
      </c>
      <c r="J10" s="981">
        <f>SUM(J8:J9)</f>
        <v>154.05882352941174</v>
      </c>
      <c r="K10" s="981">
        <f t="shared" ref="K10:L10" si="1">SUM(K8:K9)</f>
        <v>0</v>
      </c>
      <c r="L10" s="981">
        <f t="shared" si="1"/>
        <v>0</v>
      </c>
      <c r="M10" s="981">
        <f>SUM(M8:M9)</f>
        <v>0</v>
      </c>
      <c r="N10" s="981">
        <f>SUM(N8:N9)</f>
        <v>0</v>
      </c>
      <c r="O10" s="981">
        <f>SUM(O8:O9)</f>
        <v>0</v>
      </c>
      <c r="P10" s="981">
        <f>SUM(P8:P9)</f>
        <v>13831.771764705883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0.124588099641748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187.07142857142858</v>
      </c>
      <c r="C17" s="982">
        <f>'SEAP template'!C87</f>
        <v>83147.142857142855</v>
      </c>
      <c r="D17" s="980">
        <f>'SEAP template'!D87</f>
        <v>97820.16806722687</v>
      </c>
      <c r="E17" s="980">
        <f>'SEAP template'!E87</f>
        <v>0</v>
      </c>
      <c r="F17" s="980">
        <f>'SEAP template'!F87</f>
        <v>0</v>
      </c>
      <c r="G17" s="980">
        <f>'SEAP template'!G87</f>
        <v>0</v>
      </c>
      <c r="H17" s="980">
        <f>'SEAP template'!H87</f>
        <v>0</v>
      </c>
      <c r="I17" s="980">
        <f>'SEAP template'!I87</f>
        <v>0</v>
      </c>
      <c r="J17" s="980">
        <f>'SEAP template'!J87</f>
        <v>220.08403361344531</v>
      </c>
      <c r="K17" s="980">
        <f>'SEAP template'!K87</f>
        <v>0</v>
      </c>
      <c r="L17" s="980">
        <f>'SEAP template'!L87</f>
        <v>0</v>
      </c>
      <c r="M17" s="980">
        <f>'SEAP template'!M87</f>
        <v>0</v>
      </c>
      <c r="N17" s="980">
        <f>'SEAP template'!N87</f>
        <v>0</v>
      </c>
      <c r="O17" s="980">
        <f>'SEAP template'!O87</f>
        <v>0</v>
      </c>
      <c r="P17" s="980">
        <f>'SEAP template'!Q87</f>
        <v>19759.673949579828</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187.07142857142858</v>
      </c>
      <c r="C20" s="981">
        <f>SUM(C17:C19)</f>
        <v>83147.142857142855</v>
      </c>
      <c r="D20" s="981">
        <f t="shared" ref="D20:H20" si="2">SUM(D17:D19)</f>
        <v>97820.16806722687</v>
      </c>
      <c r="E20" s="981">
        <f t="shared" si="2"/>
        <v>0</v>
      </c>
      <c r="F20" s="981">
        <f t="shared" si="2"/>
        <v>0</v>
      </c>
      <c r="G20" s="981">
        <f t="shared" si="2"/>
        <v>0</v>
      </c>
      <c r="H20" s="981">
        <f t="shared" si="2"/>
        <v>0</v>
      </c>
      <c r="I20" s="981">
        <f>SUM(I17:I19)</f>
        <v>0</v>
      </c>
      <c r="J20" s="981">
        <f>SUM(J17:J19)</f>
        <v>220.08403361344531</v>
      </c>
      <c r="K20" s="981">
        <f t="shared" ref="K20:L20" si="3">SUM(K17:K19)</f>
        <v>0</v>
      </c>
      <c r="L20" s="981">
        <f t="shared" si="3"/>
        <v>0</v>
      </c>
      <c r="M20" s="981">
        <f>SUM(M17:M19)</f>
        <v>0</v>
      </c>
      <c r="N20" s="981">
        <f>SUM(N17:N19)</f>
        <v>0</v>
      </c>
      <c r="O20" s="981">
        <f>SUM(O17:O19)</f>
        <v>0</v>
      </c>
      <c r="P20" s="981">
        <f>SUM(P17:P19)</f>
        <v>19759.673949579828</v>
      </c>
    </row>
    <row r="21" spans="1:16">
      <c r="B21" s="840"/>
    </row>
    <row r="22" spans="1:16">
      <c r="A22" s="456" t="s">
        <v>754</v>
      </c>
      <c r="B22" s="736" t="s">
        <v>752</v>
      </c>
      <c r="C22" s="736">
        <f ca="1">'EF ele_warmte'!B22</f>
        <v>0.23711358076567554</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0.124588099641748</v>
      </c>
      <c r="C17" s="492">
        <f ca="1">'EF ele_warmte'!B22</f>
        <v>0.23711358076567554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3</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14.691782297523464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2022-07-26T10:05:42Z</dcterms:modified>
</cp:coreProperties>
</file>