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1E56166-C0E4-4790-916B-D688A25AAA9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<sst xmlns="http://schemas.openxmlformats.org/spreadsheetml/2006/main" count="2402" uniqueCount="881">
  <si>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</si>
  <si>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</si>
  <si>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</si>
  <si>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</si>
  <si>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</si>
  <si>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</si>
  <si>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</si>
  <si>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</si>
  <si>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</si>
  <si>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</si>
  <si>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</si>
  <si>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</si>
  <si>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</si>
  <si>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</si>
  <si>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</si>
  <si>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</si>
  <si>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</si>
  <si>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</si>
  <si>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</si>
  <si>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</si>
  <si>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</si>
  <si>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</si>
  <si>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</si>
  <si>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</si>
  <si>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</si>
  <si>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</si>
  <si>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</si>
  <si>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</si>
  <si>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</si>
  <si>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</si>
  <si>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</si>
  <si>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</si>
  <si>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</si>
  <si>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</si>
  <si>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</si>
  <si>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</si>
  <si>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</si>
  <si>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</si>
  <si>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</si>
  <si>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</si>
  <si>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</si>
  <si>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</si>
  <si>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</si>
  <si>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</si>
  <si>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</si>
  <si>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</si>
  <si>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</si>
  <si>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</si>
  <si>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</si>
  <si>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</si>
  <si>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</si>
  <si>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</si>
  <si>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</si>
  <si>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</si>
  <si>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</si>
  <si>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</si>
  <si>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</si>
  <si>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</si>
  <si>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</si>
  <si>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</si>
  <si>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</si>
  <si>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</si>
  <si>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</si>
  <si>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</si>
  <si>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</si>
  <si>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</si>
  <si>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</si>
  <si>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</si>
  <si>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</si>
  <si>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</si>
  <si>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</si>
  <si>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</si>
  <si>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</si>
  <si>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</si>
  <si>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</si>
  <si>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</si>
  <si>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</si>
  <si>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</si>
  <si>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</si>
  <si>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</si>
  <si>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</si>
  <si>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</si>
  <si>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</si>
  <si>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</si>
  <si>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</si>
  <si>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</si>
  <si>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</si>
  <si>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</si>
  <si>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</si>
  <si>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</si>
  <si>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</si>
  <si>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</si>
  <si>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</si>
  <si>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</si>
  <si>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</si>
  <si>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</si>
  <si>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</si>
  <si>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</si>
  <si>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</si>
  <si>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</si>
  <si>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</si>
  <si>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</si>
  <si>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</si>
  <si>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</si>
  <si>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</si>
  <si>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</si>
  <si>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</si>
  <si>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</si>
  <si>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</si>
  <si>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</si>
  <si>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</si>
  <si>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</si>
  <si>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</si>
  <si>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</si>
  <si>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</si>
  <si>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</si>
  <si>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</si>
  <si>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</si>
  <si>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</si>
  <si>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</si>
  <si>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</si>
  <si>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</si>
  <si>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</si>
  <si>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</si>
  <si>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</si>
  <si>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</si>
  <si>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</si>
  <si>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</si>
  <si>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</si>
  <si>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</si>
  <si>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</si>
  <si>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</si>
  <si>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</si>
  <si>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</si>
  <si>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</si>
  <si>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</si>
  <si>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</si>
  <si>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</si>
  <si>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</si>
  <si>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</si>
  <si>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</si>
  <si>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</si>
  <si>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</si>
  <si>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</si>
  <si>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</si>
  <si>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</si>
  <si>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</si>
  <si>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</si>
  <si>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</si>
  <si>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</si>
  <si>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</si>
  <si>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</si>
  <si>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</si>
  <si>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</si>
  <si>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</si>
  <si>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</si>
  <si>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</si>
  <si>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</si>
  <si>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</si>
  <si>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</si>
  <si>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</si>
  <si>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</si>
  <si>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</si>
  <si>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</si>
  <si>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</si>
  <si>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</si>
  <si>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</si>
  <si>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</si>
  <si>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</si>
  <si>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</si>
  <si>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</si>
  <si>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</si>
  <si>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</si>
  <si>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</si>
  <si>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</si>
  <si>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</si>
  <si>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</si>
  <si>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</si>
  <si>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</si>
  <si>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</si>
  <si>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</si>
  <si>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</si>
  <si>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</si>
  <si>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</si>
  <si>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</si>
  <si>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</si>
  <si>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</si>
  <si>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</si>
  <si>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</si>
  <si>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</si>
  <si>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</si>
  <si>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</si>
  <si>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</si>
  <si>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</si>
  <si>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</si>
  <si>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</si>
  <si>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</si>
  <si>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</si>
  <si>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</si>
  <si>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</si>
  <si>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</si>
  <si>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</si>
  <si>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</si>
  <si>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</si>
  <si>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</si>
  <si>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</si>
  <si>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</si>
  <si>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</si>
  <si>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</si>
  <si>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</si>
  <si>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</si>
  <si>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</si>
  <si>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</si>
  <si>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</si>
  <si>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</si>
  <si>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</si>
  <si>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</si>
  <si>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</si>
  <si>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</si>
  <si>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</si>
  <si>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</si>
  <si>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</si>
  <si>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</si>
  <si>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</si>
  <si>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</si>
  <si>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</si>
  <si>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</si>
  <si>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</si>
  <si>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</si>
  <si>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</si>
  <si>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</si>
  <si>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</si>
  <si>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</si>
  <si>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</si>
  <si>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</si>
  <si>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</si>
  <si>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</si>
  <si>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</si>
  <si>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</si>
  <si>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</si>
  <si>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</si>
  <si>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</si>
  <si>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</si>
  <si>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</si>
  <si>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</si>
  <si>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</si>
  <si>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</si>
  <si>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</si>
  <si>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</si>
  <si>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</si>
  <si>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</si>
  <si>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</si>
  <si>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</si>
  <si>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</si>
  <si>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</si>
  <si>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</si>
  <si>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</si>
  <si>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</si>
  <si>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</si>
  <si>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</si>
  <si>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</si>
  <si>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</si>
  <si>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</si>
  <si>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</si>
  <si>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</si>
  <si>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</si>
  <si>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</si>
  <si>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</si>
  <si>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</si>
  <si>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</si>
  <si>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</si>
  <si>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</si>
  <si>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</si>
  <si>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</si>
  <si>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</si>
  <si>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</si>
  <si>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</si>
  <si>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</si>
  <si>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</si>
  <si>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</si>
  <si>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</si>
  <si>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</si>
  <si>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</si>
  <si>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</si>
  <si>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</si>
  <si>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</si>
  <si>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</si>
  <si>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</si>
  <si>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</si>
  <si>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</si>
  <si>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</si>
  <si>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</si>
  <si>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</si>
  <si>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</si>
  <si>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</si>
  <si>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</si>
  <si>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</si>
  <si>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</si>
  <si>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</si>
  <si>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</si>
  <si>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</si>
  <si>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</si>
  <si>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</si>
  <si>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</si>
  <si>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</si>
  <si>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</si>
  <si>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</si>
  <si>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</si>
  <si>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</si>
  <si>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</si>
  <si>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</si>
  <si>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</si>
  <si>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</si>
  <si>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</si>
  <si>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</si>
  <si>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</si>
  <si>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</si>
  <si>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</si>
  <si>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</si>
  <si>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</si>
  <si>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</si>
  <si>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</si>
  <si>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</si>
  <si>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</si>
  <si>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</si>
  <si>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</si>
  <si>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</si>
  <si>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</si>
  <si>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</si>
  <si>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</si>
  <si>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</si>
  <si>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</si>
  <si>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</si>
  <si>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</si>
  <si>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</si>
  <si>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</si>
  <si>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</si>
  <si>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</si>
  <si>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</si>
  <si>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</si>
  <si>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</si>
  <si>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</si>
  <si>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</si>
  <si>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</si>
  <si>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</si>
  <si>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</si>
  <si>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</si>
  <si>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</si>
  <si>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</si>
  <si>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</si>
  <si>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</si>
  <si>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</si>
  <si>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</si>
  <si>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</si>
  <si>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</si>
  <si>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</si>
  <si>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</si>
  <si>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</si>
  <si>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</si>
  <si>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</si>
  <si>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</si>
  <si>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</si>
  <si>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</si>
  <si>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</si>
  <si>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</si>
  <si>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</si>
  <si>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</si>
  <si>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</si>
  <si>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</si>
  <si>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</si>
  <si>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</si>
  <si>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</si>
  <si>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</si>
  <si>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</si>
  <si>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</si>
  <si>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</si>
  <si>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</si>
  <si>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</si>
  <si>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</si>
  <si>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</si>
  <si>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</si>
  <si>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</si>
  <si>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</si>
  <si>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</si>
  <si>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</si>
  <si>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</si>
  <si>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</si>
  <si>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</si>
  <si>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</si>
  <si>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</si>
  <si>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</si>
  <si>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</si>
  <si>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</si>
  <si>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</si>
  <si>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</si>
  <si>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</si>
  <si>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</si>
  <si>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</si>
  <si>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</si>
  <si>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</si>
  <si>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</si>
  <si>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</si>
  <si>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</si>
  <si>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</si>
  <si>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</si>
  <si>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</si>
  <si>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</si>
  <si>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</si>
  <si>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</si>
  <si>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</si>
  <si>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</si>
  <si>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</si>
  <si>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</si>
  <si>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</si>
  <si>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</si>
  <si>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</si>
  <si>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</si>
  <si>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</si>
  <si>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</si>
  <si>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</si>
  <si>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</si>
  <si>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</si>
  <si>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</si>
  <si>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</si>
  <si>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</si>
  <si>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</si>
  <si>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</si>
  <si>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</si>
  <si>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</si>
  <si>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</si>
  <si>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</si>
  <si>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</si>
  <si>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</si>
  <si>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</si>
  <si>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</si>
  <si>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</si>
  <si>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</si>
  <si>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</si>
  <si>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</si>
  <si>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</si>
  <si>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</si>
  <si>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</si>
  <si>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</si>
  <si>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</si>
  <si>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</si>
  <si>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</si>
  <si>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</si>
  <si>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</si>
  <si>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</si>
  <si>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</si>
  <si>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</si>
  <si>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</si>
  <si>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</si>
  <si>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</si>
  <si>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</si>
  <si>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</si>
  <si>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</si>
  <si>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</si>
  <si>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</si>
  <si>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</si>
  <si>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</si>
  <si>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</si>
  <si>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</si>
  <si>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</si>
  <si>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</si>
  <si>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</si>
  <si>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</si>
  <si>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</si>
  <si>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</si>
  <si>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</si>
  <si>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</si>
  <si>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</si>
  <si>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</si>
  <si>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</si>
  <si>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</si>
  <si>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</si>
  <si>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</si>
  <si>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</si>
  <si>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</si>
  <si>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</si>
  <si>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</si>
  <si>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</si>
  <si>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</si>
  <si>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</si>
  <si>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</si>
  <si>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</si>
  <si>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</si>
  <si>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</si>
  <si>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</si>
  <si>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</si>
  <si>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</si>
  <si>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</si>
  <si>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</si>
  <si>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</si>
  <si>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</si>
  <si>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</si>
  <si>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</si>
  <si>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</si>
  <si>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</si>
  <si>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</si>
  <si>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</si>
  <si>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</si>
  <si>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</si>
  <si>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</si>
  <si>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</si>
  <si>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</si>
  <si>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</si>
  <si>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</si>
  <si>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</si>
  <si>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</si>
  <si>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</si>
  <si>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</si>
  <si>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</si>
  <si>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</si>
  <si>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</si>
  <si>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</si>
  <si>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</si>
  <si>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</si>
  <si>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</si>
  <si>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</si>
  <si>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</si>
  <si>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</si>
  <si>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</si>
  <si>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</si>
  <si>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</si>
  <si>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</si>
  <si>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</si>
  <si>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</si>
  <si>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</si>
  <si>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</si>
  <si>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</si>
  <si>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</si>
  <si>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</si>
  <si>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</si>
  <si>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</si>
  <si>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</si>
  <si>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</si>
  <si>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</si>
  <si>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</si>
  <si>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</si>
  <si>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</si>
  <si>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</si>
  <si>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</si>
  <si>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</si>
  <si>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</si>
  <si>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</si>
  <si>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</si>
  <si>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</si>
  <si>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</si>
  <si>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</si>
  <si>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</si>
  <si>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</si>
  <si>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</si>
  <si>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</si>
  <si>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</si>
  <si>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</si>
  <si>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</si>
  <si>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</si>
  <si>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</si>
  <si>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</si>
  <si>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</si>
  <si>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</si>
  <si>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</si>
  <si>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</si>
  <si>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</si>
  <si>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</si>
  <si>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</si>
  <si>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</si>
  <si>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</si>
  <si>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</si>
  <si>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</si>
  <si>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</si>
  <si>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</si>
  <si>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</si>
  <si>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</si>
  <si>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</si>
  <si>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</si>
  <si>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</si>
  <si>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</si>
  <si>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</si>
  <si>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</si>
  <si>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</si>
  <si>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</si>
  <si>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</si>
  <si>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</si>
  <si>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</si>
  <si>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</si>
  <si>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</si>
  <si>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</si>
  <si>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</si>
  <si>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</si>
  <si>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</si>
  <si>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</si>
  <si>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</si>
  <si>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</si>
  <si>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</si>
  <si>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</si>
  <si>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</si>
  <si>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</si>
  <si>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</si>
  <si>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</si>
  <si>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</si>
  <si>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</si>
  <si>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</si>
  <si>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</si>
  <si>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</si>
  <si>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</si>
  <si>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</si>
  <si>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</si>
  <si>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</si>
  <si>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</si>
  <si>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</si>
  <si>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</si>
  <si>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</si>
  <si>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</si>
  <si>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</si>
  <si>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</si>
  <si>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</si>
  <si>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</si>
  <si>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</si>
  <si>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</si>
  <si>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</si>
  <si>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</si>
  <si>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</si>
  <si>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</si>
  <si>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</si>
  <si>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</si>
  <si>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</si>
  <si>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</si>
  <si>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</si>
  <si>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</si>
  <si>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</si>
  <si>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</si>
  <si>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</si>
  <si>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</si>
  <si>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</si>
  <si>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</si>
  <si>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</si>
  <si>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</si>
  <si>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</si>
  <si>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</si>
  <si>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</si>
  <si>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</si>
  <si>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</si>
  <si>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</si>
  <si>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</si>
  <si>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</si>
  <si>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</si>
  <si>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</si>
  <si>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</si>
  <si>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</si>
  <si>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</si>
  <si>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</si>
  <si>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</si>
  <si>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</si>
  <si>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</si>
  <si>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</si>
  <si>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</si>
  <si>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</si>
  <si>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</si>
  <si>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</si>
  <si>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</si>
  <si>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</si>
  <si>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</si>
  <si>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</si>
  <si>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</si>
  <si>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</si>
  <si>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</si>
  <si>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</si>
  <si>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</si>
  <si>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</si>
  <si>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</si>
  <si>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</si>
  <si>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</si>
  <si>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</si>
  <si>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</si>
  <si>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</si>
  <si>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</si>
  <si>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</si>
  <si>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</si>
  <si>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</si>
  <si>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</si>
  <si>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</si>
  <si>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</si>
  <si>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</si>
  <si>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</si>
  <si>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</si>
  <si>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</si>
  <si>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</si>
  <si>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</si>
  <si>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</si>
  <si>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</si>
  <si>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</si>
  <si>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</si>
  <si>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</si>
  <si>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</si>
  <si>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</si>
  <si>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</si>
  <si>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</si>
  <si>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</si>
  <si>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</si>
  <si>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</si>
  <si>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</si>
  <si>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</si>
  <si>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</si>
  <si>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</si>
  <si>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</si>
  <si>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</si>
  <si>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</si>
  <si>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</si>
  <si>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</si>
  <si>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</si>
  <si>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</si>
  <si>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</si>
  <si>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</si>
  <si>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</si>
  <si>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</si>
  <si>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</si>
  <si>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</si>
  <si>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</si>
  <si>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</si>
  <si>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</si>
  <si>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</si>
  <si>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</si>
  <si>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</si>
  <si>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</si>
  <si>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</si>
  <si>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</si>
  <si>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</si>
  <si>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</si>
  <si>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</si>
  <si>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</si>
  <si>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</si>
  <si>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</si>
  <si>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</si>
  <si>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</si>
  <si>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</si>
  <si>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</si>
  <si>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</si>
  <si>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</si>
  <si>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</si>
  <si>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</si>
  <si>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</si>
  <si>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</si>
  <si>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</si>
  <si>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</si>
  <si>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</si>
  <si>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</si>
  <si>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</si>
  <si>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</si>
  <si>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</si>
  <si>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</si>
  <si>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</si>
  <si>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</si>
  <si>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</si>
  <si>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</si>
  <si>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</si>
  <si>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</si>
  <si>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</si>
  <si>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</si>
  <si>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</si>
  <si>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</si>
  <si>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</si>
  <si>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</si>
  <si>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</si>
  <si>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</si>
  <si>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</si>
  <si>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</si>
  <si>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</si>
  <si>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</si>
  <si>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</si>
  <si>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</si>
  <si>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</si>
  <si>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</si>
  <si>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</si>
  <si>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</si>
  <si>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</si>
  <si>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</si>
  <si>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</si>
  <si>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</si>
  <si>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</si>
  <si>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</si>
  <si>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</si>
  <si>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</si>
  <si>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</si>
  <si>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</si>
  <si>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</si>
  <si>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</si>
  <si>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</si>
  <si>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</si>
  <si>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</si>
  <si>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</si>
  <si>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</si>
  <si>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</si>
  <si>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</si>
  <si>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</si>
  <si>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</si>
  <si>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</si>
  <si>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</si>
  <si>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</si>
  <si>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</si>
  <si>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</si>
  <si>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</si>
  <si>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</si>
  <si>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</si>
  <si>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</si>
  <si>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</si>
  <si>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</si>
  <si>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</si>
  <si>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</si>
  <si>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</si>
  <si>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</si>
  <si>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</si>
  <si>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</si>
  <si>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</si>
  <si>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</si>
  <si>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</si>
  <si>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</si>
  <si>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</si>
  <si>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</si>
  <si>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</si>
  <si>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</si>
  <si>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</si>
  <si>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</si>
  <si>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</si>
  <si>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</si>
  <si>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</si>
  <si>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</si>
  <si>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</si>
  <si>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</si>
  <si>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</si>
  <si>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</si>
  <si>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</si>
  <si>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</si>
  <si>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</si>
  <si>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</si>
  <si>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</si>
  <si>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</si>
  <si>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</si>
  <si>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</si>
  <si>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</si>
  <si>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</si>
  <si>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</si>
  <si>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</si>
  <si>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</si>
  <si>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</si>
  <si>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</si>
  <si>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</si>
  <si>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</si>
  <si>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</si>
  <si>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</si>
  <si>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</si>
  <si>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</si>
  <si>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</si>
  <si>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</si>
  <si>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</si>
  <si>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</si>
  <si>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</si>
  <si>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</si>
  <si>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</si>
  <si>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</si>
  <si>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</si>
  <si>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</si>
  <si>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</si>
  <si>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</si>
  <si>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</si>
  <si>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</si>
  <si>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</si>
  <si>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</si>
  <si>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</si>
  <si>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</si>
  <si>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</si>
  <si>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</si>
  <si>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</si>
  <si>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</si>
  <si>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73042</t>
  </si>
  <si>
    <t>LANAKEN</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</si>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</sst>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D42EDE7-F0CF-47FB-A503-B8217737156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232062.63442534444</c:v>
                </c:pt>
                <c:pt idx="1">
                  <c:v>73789.205497792384</c:v>
                </c:pt>
                <c:pt idx="2">
                  <c:v>1724.279</c:v>
                </c:pt>
                <c:pt idx="3">
                  <c:v>9480.8748784473137</c:v>
                </c:pt>
                <c:pt idx="4">
                  <c:v>194594.32956537549</c:v>
                </c:pt>
                <c:pt idx="5">
                  <c:v>150842.03198295389</c:v>
                </c:pt>
                <c:pt idx="6">
                  <c:v>2379.9350061632676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232062.63442534444</c:v>
                </c:pt>
                <c:pt idx="1">
                  <c:v>73789.205497792384</c:v>
                </c:pt>
                <c:pt idx="2">
                  <c:v>1724.279</c:v>
                </c:pt>
                <c:pt idx="3">
                  <c:v>9480.8748784473137</c:v>
                </c:pt>
                <c:pt idx="4">
                  <c:v>194594.32956537549</c:v>
                </c:pt>
                <c:pt idx="5">
                  <c:v>150842.03198295389</c:v>
                </c:pt>
                <c:pt idx="6">
                  <c:v>2379.9350061632676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45871.143514994925</c:v>
                </c:pt>
                <c:pt idx="2">
                  <c:v>14084.040082945803</c:v>
                </c:pt>
                <c:pt idx="3">
                  <c:v>300.61309206822614</c:v>
                </c:pt>
                <c:pt idx="4">
                  <c:v>2266.445431936605</c:v>
                </c:pt>
                <c:pt idx="5">
                  <c:v>38317.543908731648</c:v>
                </c:pt>
                <c:pt idx="6">
                  <c:v>37709.35721543766</c:v>
                </c:pt>
                <c:pt idx="7">
                  <c:v>598.98923365722158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45871.143514994925</c:v>
                </c:pt>
                <c:pt idx="2">
                  <c:v>14084.040082945803</c:v>
                </c:pt>
                <c:pt idx="3">
                  <c:v>300.61309206822614</c:v>
                </c:pt>
                <c:pt idx="4">
                  <c:v>2266.445431936605</c:v>
                </c:pt>
                <c:pt idx="5">
                  <c:v>38317.543908731648</c:v>
                </c:pt>
                <c:pt idx="6">
                  <c:v>37709.35721543766</c:v>
                </c:pt>
                <c:pt idx="7">
                  <c:v>598.98923365722158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73042</v>
      </c>
      <c r="B6" s="380"/>
      <c r="C6" s="381"/>
    </row>
    <row r="7" spans="1:7" s="378" customFormat="1" ht="15.75" customHeight="1">
      <c r="A7" s="382" t="str">
        <f>txtMunicipality</f>
        <v>LANAKEN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0.17434132879204939</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0.17434132879204939</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10900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1550.71</v>
      </c>
      <c r="C14" s="322"/>
      <c r="D14" s="322"/>
      <c r="E14" s="322"/>
      <c r="F14" s="322"/>
    </row>
    <row r="15" spans="1:6">
      <c r="A15" s="1248" t="s">
        <v>177</v>
      </c>
      <c r="B15" s="1249">
        <v>5</v>
      </c>
      <c r="C15" s="322"/>
      <c r="D15" s="322"/>
      <c r="E15" s="322"/>
      <c r="F15" s="322"/>
    </row>
    <row r="16" spans="1:6">
      <c r="A16" s="1248" t="s">
        <v>6</v>
      </c>
      <c r="B16" s="1249">
        <v>182</v>
      </c>
      <c r="C16" s="322"/>
      <c r="D16" s="322"/>
      <c r="E16" s="322"/>
      <c r="F16" s="322"/>
    </row>
    <row r="17" spans="1:6">
      <c r="A17" s="1248" t="s">
        <v>7</v>
      </c>
      <c r="B17" s="1249">
        <v>228</v>
      </c>
      <c r="C17" s="322"/>
      <c r="D17" s="322"/>
      <c r="E17" s="322"/>
      <c r="F17" s="322"/>
    </row>
    <row r="18" spans="1:6">
      <c r="A18" s="1248" t="s">
        <v>8</v>
      </c>
      <c r="B18" s="1249">
        <v>237</v>
      </c>
      <c r="C18" s="322"/>
      <c r="D18" s="322"/>
      <c r="E18" s="322"/>
      <c r="F18" s="322"/>
    </row>
    <row r="19" spans="1:6">
      <c r="A19" s="1248" t="s">
        <v>9</v>
      </c>
      <c r="B19" s="1249">
        <v>263</v>
      </c>
      <c r="C19" s="322"/>
      <c r="D19" s="322"/>
      <c r="E19" s="322"/>
      <c r="F19" s="322"/>
    </row>
    <row r="20" spans="1:6">
      <c r="A20" s="1248" t="s">
        <v>10</v>
      </c>
      <c r="B20" s="1249">
        <v>241</v>
      </c>
      <c r="C20" s="322"/>
      <c r="D20" s="322"/>
      <c r="E20" s="322"/>
      <c r="F20" s="322"/>
    </row>
    <row r="21" spans="1:6">
      <c r="A21" s="1248" t="s">
        <v>11</v>
      </c>
      <c r="B21" s="1249">
        <v>1428</v>
      </c>
      <c r="C21" s="322"/>
      <c r="D21" s="322"/>
      <c r="E21" s="322"/>
      <c r="F21" s="322"/>
    </row>
    <row r="22" spans="1:6">
      <c r="A22" s="1248" t="s">
        <v>12</v>
      </c>
      <c r="B22" s="1249">
        <v>2701</v>
      </c>
      <c r="C22" s="322"/>
      <c r="D22" s="322"/>
      <c r="E22" s="322"/>
      <c r="F22" s="322"/>
    </row>
    <row r="23" spans="1:6">
      <c r="A23" s="1248" t="s">
        <v>13</v>
      </c>
      <c r="B23" s="1249">
        <v>38</v>
      </c>
      <c r="C23" s="322"/>
      <c r="D23" s="322"/>
      <c r="E23" s="322"/>
      <c r="F23" s="322"/>
    </row>
    <row r="24" spans="1:6">
      <c r="A24" s="1248" t="s">
        <v>14</v>
      </c>
      <c r="B24" s="1249">
        <v>3</v>
      </c>
      <c r="C24" s="322"/>
      <c r="D24" s="322"/>
      <c r="E24" s="322"/>
      <c r="F24" s="322"/>
    </row>
    <row r="25" spans="1:6">
      <c r="A25" s="1248" t="s">
        <v>15</v>
      </c>
      <c r="B25" s="1249">
        <v>290</v>
      </c>
      <c r="C25" s="322"/>
      <c r="D25" s="322"/>
      <c r="E25" s="322"/>
      <c r="F25" s="322"/>
    </row>
    <row r="26" spans="1:6">
      <c r="A26" s="1248" t="s">
        <v>16</v>
      </c>
      <c r="B26" s="1249">
        <v>119</v>
      </c>
      <c r="C26" s="322"/>
      <c r="D26" s="322"/>
      <c r="E26" s="322"/>
      <c r="F26" s="322"/>
    </row>
    <row r="27" spans="1:6">
      <c r="A27" s="1248" t="s">
        <v>17</v>
      </c>
      <c r="B27" s="1249">
        <v>18</v>
      </c>
      <c r="C27" s="322"/>
      <c r="D27" s="322"/>
      <c r="E27" s="322"/>
      <c r="F27" s="322"/>
    </row>
    <row r="28" spans="1:6">
      <c r="A28" s="1248" t="s">
        <v>18</v>
      </c>
      <c r="B28" s="1250">
        <v>215542</v>
      </c>
      <c r="C28" s="322"/>
      <c r="D28" s="322"/>
      <c r="E28" s="322"/>
      <c r="F28" s="322"/>
    </row>
    <row r="29" spans="1:6">
      <c r="A29" s="1248" t="s">
        <v>691</v>
      </c>
      <c r="B29" s="1250">
        <v>211</v>
      </c>
      <c r="C29" s="322"/>
      <c r="D29" s="322"/>
      <c r="E29" s="322"/>
      <c r="F29" s="322"/>
    </row>
    <row r="30" spans="1:6">
      <c r="A30" s="1243" t="s">
        <v>692</v>
      </c>
      <c r="B30" s="1251">
        <v>27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11</v>
      </c>
      <c r="F36" s="1249">
        <v>20191</v>
      </c>
    </row>
    <row r="37" spans="1:6">
      <c r="A37" s="1248" t="s">
        <v>24</v>
      </c>
      <c r="B37" s="1248" t="s">
        <v>27</v>
      </c>
      <c r="C37" s="1249">
        <v>0</v>
      </c>
      <c r="D37" s="1249">
        <v>0</v>
      </c>
      <c r="E37" s="1249">
        <v>0</v>
      </c>
      <c r="F37" s="1249">
        <v>0</v>
      </c>
    </row>
    <row r="38" spans="1:6">
      <c r="A38" s="1248" t="s">
        <v>24</v>
      </c>
      <c r="B38" s="1248" t="s">
        <v>28</v>
      </c>
      <c r="C38" s="1249">
        <v>2</v>
      </c>
      <c r="D38" s="1249">
        <v>609363</v>
      </c>
      <c r="E38" s="1249">
        <v>1</v>
      </c>
      <c r="F38" s="1249">
        <v>12014</v>
      </c>
    </row>
    <row r="39" spans="1:6">
      <c r="A39" s="1248" t="s">
        <v>29</v>
      </c>
      <c r="B39" s="1248" t="s">
        <v>30</v>
      </c>
      <c r="C39" s="1249">
        <v>7258</v>
      </c>
      <c r="D39" s="1249">
        <v>123563388</v>
      </c>
      <c r="E39" s="1249">
        <v>11156</v>
      </c>
      <c r="F39" s="1249">
        <v>39878498.500000097</v>
      </c>
    </row>
    <row r="40" spans="1:6">
      <c r="A40" s="1248" t="s">
        <v>29</v>
      </c>
      <c r="B40" s="1248" t="s">
        <v>28</v>
      </c>
      <c r="C40" s="1249">
        <v>0</v>
      </c>
      <c r="D40" s="1249">
        <v>0</v>
      </c>
      <c r="E40" s="1249">
        <v>2</v>
      </c>
      <c r="F40" s="1249">
        <v>19687</v>
      </c>
    </row>
    <row r="41" spans="1:6">
      <c r="A41" s="1248" t="s">
        <v>31</v>
      </c>
      <c r="B41" s="1248" t="s">
        <v>32</v>
      </c>
      <c r="C41" s="1249">
        <v>74</v>
      </c>
      <c r="D41" s="1249">
        <v>3891869.7</v>
      </c>
      <c r="E41" s="1249">
        <v>163</v>
      </c>
      <c r="F41" s="1249">
        <v>5590858.7390000001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15</v>
      </c>
      <c r="D44" s="1249">
        <v>934490</v>
      </c>
      <c r="E44" s="1249">
        <v>35</v>
      </c>
      <c r="F44" s="1249">
        <v>428892.59700000001</v>
      </c>
    </row>
    <row r="45" spans="1:6">
      <c r="A45" s="1248" t="s">
        <v>31</v>
      </c>
      <c r="B45" s="1248" t="s">
        <v>36</v>
      </c>
      <c r="C45" s="1249">
        <v>9</v>
      </c>
      <c r="D45" s="1249">
        <v>124792755</v>
      </c>
      <c r="E45" s="1249">
        <v>13</v>
      </c>
      <c r="F45" s="1249">
        <v>11863125.115</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27641705</v>
      </c>
      <c r="E48" s="1249">
        <v>4</v>
      </c>
      <c r="F48" s="1249">
        <v>17475363</v>
      </c>
    </row>
    <row r="49" spans="1:6">
      <c r="A49" s="1248" t="s">
        <v>31</v>
      </c>
      <c r="B49" s="1248" t="s">
        <v>39</v>
      </c>
      <c r="C49" s="1249">
        <v>7</v>
      </c>
      <c r="D49" s="1249">
        <v>817083.06499999994</v>
      </c>
      <c r="E49" s="1249">
        <v>9</v>
      </c>
      <c r="F49" s="1249">
        <v>184921.58600000001</v>
      </c>
    </row>
    <row r="50" spans="1:6">
      <c r="A50" s="1248" t="s">
        <v>31</v>
      </c>
      <c r="B50" s="1248" t="s">
        <v>40</v>
      </c>
      <c r="C50" s="1249">
        <v>12</v>
      </c>
      <c r="D50" s="1249">
        <v>773376</v>
      </c>
      <c r="E50" s="1249">
        <v>18</v>
      </c>
      <c r="F50" s="1249">
        <v>762883.65</v>
      </c>
    </row>
    <row r="51" spans="1:6">
      <c r="A51" s="1248" t="s">
        <v>41</v>
      </c>
      <c r="B51" s="1248" t="s">
        <v>42</v>
      </c>
      <c r="C51" s="1249">
        <v>16</v>
      </c>
      <c r="D51" s="1249">
        <v>2835129.841</v>
      </c>
      <c r="E51" s="1249">
        <v>59</v>
      </c>
      <c r="F51" s="1249">
        <v>1388985.35</v>
      </c>
    </row>
    <row r="52" spans="1:6">
      <c r="A52" s="1248" t="s">
        <v>41</v>
      </c>
      <c r="B52" s="1248" t="s">
        <v>28</v>
      </c>
      <c r="C52" s="1249">
        <v>0</v>
      </c>
      <c r="D52" s="1249">
        <v>0</v>
      </c>
      <c r="E52" s="1249">
        <v>0</v>
      </c>
      <c r="F52" s="1249">
        <v>0</v>
      </c>
    </row>
    <row r="53" spans="1:6">
      <c r="A53" s="1248" t="s">
        <v>43</v>
      </c>
      <c r="B53" s="1248" t="s">
        <v>44</v>
      </c>
      <c r="C53" s="1249">
        <v>124</v>
      </c>
      <c r="D53" s="1249">
        <v>7408640.5480000004</v>
      </c>
      <c r="E53" s="1249">
        <v>318</v>
      </c>
      <c r="F53" s="1249">
        <v>1900194.976</v>
      </c>
    </row>
    <row r="54" spans="1:6">
      <c r="A54" s="1248" t="s">
        <v>45</v>
      </c>
      <c r="B54" s="1248" t="s">
        <v>46</v>
      </c>
      <c r="C54" s="1249">
        <v>0</v>
      </c>
      <c r="D54" s="1249">
        <v>0</v>
      </c>
      <c r="E54" s="1249">
        <v>3</v>
      </c>
      <c r="F54" s="1249">
        <v>1724279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58</v>
      </c>
      <c r="D57" s="1249">
        <v>2040614.6</v>
      </c>
      <c r="E57" s="1249">
        <v>115</v>
      </c>
      <c r="F57" s="1249">
        <v>3307061.4029999999</v>
      </c>
    </row>
    <row r="58" spans="1:6">
      <c r="A58" s="1248" t="s">
        <v>48</v>
      </c>
      <c r="B58" s="1248" t="s">
        <v>50</v>
      </c>
      <c r="C58" s="1249">
        <v>42</v>
      </c>
      <c r="D58" s="1249">
        <v>15310917.207</v>
      </c>
      <c r="E58" s="1249">
        <v>53</v>
      </c>
      <c r="F58" s="1249">
        <v>5844837.1370000001</v>
      </c>
    </row>
    <row r="59" spans="1:6">
      <c r="A59" s="1248" t="s">
        <v>48</v>
      </c>
      <c r="B59" s="1248" t="s">
        <v>51</v>
      </c>
      <c r="C59" s="1249">
        <v>156</v>
      </c>
      <c r="D59" s="1249">
        <v>6443608.5999999996</v>
      </c>
      <c r="E59" s="1249">
        <v>282</v>
      </c>
      <c r="F59" s="1249">
        <v>8734028.6679999996</v>
      </c>
    </row>
    <row r="60" spans="1:6">
      <c r="A60" s="1248" t="s">
        <v>48</v>
      </c>
      <c r="B60" s="1248" t="s">
        <v>52</v>
      </c>
      <c r="C60" s="1249">
        <v>89</v>
      </c>
      <c r="D60" s="1249">
        <v>7243364.9309999999</v>
      </c>
      <c r="E60" s="1249">
        <v>120</v>
      </c>
      <c r="F60" s="1249">
        <v>5516983.25</v>
      </c>
    </row>
    <row r="61" spans="1:6">
      <c r="A61" s="1248" t="s">
        <v>48</v>
      </c>
      <c r="B61" s="1248" t="s">
        <v>53</v>
      </c>
      <c r="C61" s="1249">
        <v>217</v>
      </c>
      <c r="D61" s="1249">
        <v>7301054.4500000002</v>
      </c>
      <c r="E61" s="1249">
        <v>441</v>
      </c>
      <c r="F61" s="1249">
        <v>6033758.3449999997</v>
      </c>
    </row>
    <row r="62" spans="1:6">
      <c r="A62" s="1248" t="s">
        <v>48</v>
      </c>
      <c r="B62" s="1248" t="s">
        <v>54</v>
      </c>
      <c r="C62" s="1249">
        <v>16</v>
      </c>
      <c r="D62" s="1249">
        <v>2189719</v>
      </c>
      <c r="E62" s="1249">
        <v>20</v>
      </c>
      <c r="F62" s="1249">
        <v>865155.32200000004</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24</v>
      </c>
      <c r="F66" s="1249">
        <v>427462.82699999999</v>
      </c>
    </row>
    <row r="67" spans="1:6">
      <c r="A67" s="1248" t="s">
        <v>55</v>
      </c>
      <c r="B67" s="1248" t="s">
        <v>58</v>
      </c>
      <c r="C67" s="1249">
        <v>0</v>
      </c>
      <c r="D67" s="1249">
        <v>0</v>
      </c>
      <c r="E67" s="1249">
        <v>0</v>
      </c>
      <c r="F67" s="1249">
        <v>0</v>
      </c>
    </row>
    <row r="68" spans="1:6">
      <c r="A68" s="1243" t="s">
        <v>55</v>
      </c>
      <c r="B68" s="1243" t="s">
        <v>59</v>
      </c>
      <c r="C68" s="1251">
        <v>9</v>
      </c>
      <c r="D68" s="1251">
        <v>878538.73300000001</v>
      </c>
      <c r="E68" s="1251">
        <v>24</v>
      </c>
      <c r="F68" s="1251">
        <v>801429.40599999996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145585184</v>
      </c>
      <c r="E73" s="439"/>
      <c r="F73" s="322"/>
    </row>
    <row r="74" spans="1:6">
      <c r="A74" s="1248" t="s">
        <v>63</v>
      </c>
      <c r="B74" s="1248" t="s">
        <v>617</v>
      </c>
      <c r="C74" s="1261" t="s">
        <v>619</v>
      </c>
      <c r="D74" s="1249">
        <v>8882948</v>
      </c>
      <c r="E74" s="439"/>
      <c r="F74" s="322"/>
    </row>
    <row r="75" spans="1:6">
      <c r="A75" s="1248" t="s">
        <v>64</v>
      </c>
      <c r="B75" s="1248" t="s">
        <v>616</v>
      </c>
      <c r="C75" s="1261" t="s">
        <v>620</v>
      </c>
      <c r="D75" s="1249">
        <v>38227285</v>
      </c>
      <c r="E75" s="439"/>
      <c r="F75" s="322"/>
    </row>
    <row r="76" spans="1:6">
      <c r="A76" s="1248" t="s">
        <v>64</v>
      </c>
      <c r="B76" s="1248" t="s">
        <v>617</v>
      </c>
      <c r="C76" s="1261" t="s">
        <v>621</v>
      </c>
      <c r="D76" s="1249">
        <v>506492</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647310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13779.58500203706</v>
      </c>
      <c r="C90" s="322"/>
      <c r="D90" s="322"/>
      <c r="E90" s="322"/>
      <c r="F90" s="322"/>
    </row>
    <row r="91" spans="1:6">
      <c r="A91" s="1248" t="s">
        <v>67</v>
      </c>
      <c r="B91" s="1249">
        <v>6790.848820372129</v>
      </c>
      <c r="C91" s="322"/>
      <c r="D91" s="322"/>
      <c r="E91" s="322"/>
      <c r="F91" s="322"/>
    </row>
    <row r="92" spans="1:6">
      <c r="A92" s="1243" t="s">
        <v>68</v>
      </c>
      <c r="B92" s="1244">
        <v>4440.3002617351913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3561</v>
      </c>
      <c r="C97" s="322"/>
      <c r="D97" s="322"/>
      <c r="E97" s="322"/>
      <c r="F97" s="322"/>
    </row>
    <row r="98" spans="1:6">
      <c r="A98" s="1248" t="s">
        <v>71</v>
      </c>
      <c r="B98" s="1249">
        <v>4</v>
      </c>
      <c r="C98" s="322"/>
      <c r="D98" s="322"/>
      <c r="E98" s="322"/>
      <c r="F98" s="322"/>
    </row>
    <row r="99" spans="1:6">
      <c r="A99" s="1248" t="s">
        <v>72</v>
      </c>
      <c r="B99" s="1249">
        <v>44</v>
      </c>
      <c r="C99" s="322"/>
      <c r="D99" s="322"/>
      <c r="E99" s="322"/>
      <c r="F99" s="322"/>
    </row>
    <row r="100" spans="1:6">
      <c r="A100" s="1248" t="s">
        <v>73</v>
      </c>
      <c r="B100" s="1249">
        <v>445</v>
      </c>
      <c r="C100" s="322"/>
      <c r="D100" s="322"/>
      <c r="E100" s="322"/>
      <c r="F100" s="322"/>
    </row>
    <row r="101" spans="1:6">
      <c r="A101" s="1248" t="s">
        <v>74</v>
      </c>
      <c r="B101" s="1249">
        <v>43</v>
      </c>
      <c r="C101" s="322"/>
      <c r="D101" s="322"/>
      <c r="E101" s="322"/>
      <c r="F101" s="322"/>
    </row>
    <row r="102" spans="1:6">
      <c r="A102" s="1248" t="s">
        <v>75</v>
      </c>
      <c r="B102" s="1249">
        <v>124</v>
      </c>
      <c r="C102" s="322"/>
      <c r="D102" s="322"/>
      <c r="E102" s="322"/>
      <c r="F102" s="322"/>
    </row>
    <row r="103" spans="1:6">
      <c r="A103" s="1248" t="s">
        <v>76</v>
      </c>
      <c r="B103" s="1249">
        <v>173</v>
      </c>
      <c r="C103" s="322"/>
      <c r="D103" s="322"/>
      <c r="E103" s="322"/>
      <c r="F103" s="322"/>
    </row>
    <row r="104" spans="1:6">
      <c r="A104" s="1248" t="s">
        <v>77</v>
      </c>
      <c r="B104" s="1249">
        <v>4601</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19</v>
      </c>
      <c r="C123" s="1249">
        <v>19</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232</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118455.15688299826</v>
      </c>
      <c r="C3" s="43" t="s">
        <v>163</v>
      </c>
      <c r="D3" s="43"/>
      <c r="E3" s="153"/>
      <c r="F3" s="43"/>
      <c r="G3" s="43"/>
      <c r="H3" s="43"/>
      <c r="I3" s="43"/>
      <c r="J3" s="43"/>
      <c r="K3" s="96"/>
    </row>
    <row r="4" spans="1:11">
      <c r="A4" s="348" t="s">
        <v>164</v>
      </c>
      <c r="B4" s="49">
        <f>IF(ISERROR('SEAP template'!B78+'SEAP template'!C78),0,'SEAP template'!B78+'SEAP template'!C78)</f>
        <v>25035.48408414438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5.8817647058823539</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0.17434132879204939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35.357142857142861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1724.279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1724.279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0.17434132879204939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300.61309206822614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39898.185500000094</v>
      </c>
      <c r="C5" s="17">
        <f>IF(ISERROR('Eigen informatie GS &amp; warmtenet'!B57),0,'Eigen informatie GS &amp; warmtenet'!B57)</f>
        <v>0</v>
      </c>
      <c r="D5" s="30">
        <f>(SUM(HH_hh_gas_kWh,HH_rest_gas_kWh)/1000)*0.902</f>
        <v>111454.17597600001</v>
      </c>
      <c r="E5" s="17">
        <f>B32*B41</f>
        <v>2356.3831119198426</v>
      </c>
      <c r="F5" s="17">
        <f>B36*B45</f>
        <v>54619.127230065744</v>
      </c>
      <c r="G5" s="18"/>
      <c r="H5" s="17"/>
      <c r="I5" s="17"/>
      <c r="J5" s="17">
        <f>B35*B44+C35*C44</f>
        <v>280.69420219850122</v>
      </c>
      <c r="K5" s="17"/>
      <c r="L5" s="17"/>
      <c r="M5" s="17"/>
      <c r="N5" s="17">
        <f>B34*B43+C34*C43</f>
        <v>15296.859584788152</v>
      </c>
      <c r="O5" s="17">
        <f>B52*B53*B54</f>
        <v>393.96000000000004</v>
      </c>
      <c r="P5" s="17">
        <f>B60*B61*B62/1000-B60*B61*B62/1000/B63</f>
        <v>972.4</v>
      </c>
    </row>
    <row r="6" spans="1:16">
      <c r="A6" s="16" t="s">
        <v>582</v>
      </c>
      <c r="B6" s="716">
        <f>kWh_PV_kleiner_dan_10kW</f>
        <v>6790.848820372129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46689.034320372222</v>
      </c>
      <c r="C8" s="21">
        <f>C5</f>
        <v>0</v>
      </c>
      <c r="D8" s="21">
        <f>D5</f>
        <v>111454.17597600001</v>
      </c>
      <c r="E8" s="21">
        <f>E5</f>
        <v>2356.3831119198426</v>
      </c>
      <c r="F8" s="21">
        <f>F5</f>
        <v>54619.127230065744</v>
      </c>
      <c r="G8" s="21"/>
      <c r="H8" s="21"/>
      <c r="I8" s="21"/>
      <c r="J8" s="21">
        <f>J5</f>
        <v>280.69420219850122</v>
      </c>
      <c r="K8" s="21"/>
      <c r="L8" s="21">
        <f>L5</f>
        <v>0</v>
      </c>
      <c r="M8" s="21">
        <f>M5</f>
        <v>0</v>
      </c>
      <c r="N8" s="21">
        <f>N5</f>
        <v>15296.859584788152</v>
      </c>
      <c r="O8" s="21">
        <f>O5</f>
        <v>393.96000000000004</v>
      </c>
      <c r="P8" s="21">
        <f>P5</f>
        <v>972.4</v>
      </c>
    </row>
    <row r="9" spans="1:16">
      <c r="B9" s="19"/>
      <c r="C9" s="19"/>
      <c r="D9" s="253"/>
      <c r="E9" s="19"/>
      <c r="F9" s="19"/>
      <c r="G9" s="19"/>
      <c r="H9" s="19"/>
      <c r="I9" s="19"/>
      <c r="J9" s="19"/>
      <c r="K9" s="19"/>
      <c r="L9" s="19"/>
      <c r="M9" s="19"/>
      <c r="N9" s="19"/>
      <c r="O9" s="19"/>
      <c r="P9" s="19"/>
    </row>
    <row r="10" spans="1:16">
      <c r="A10" s="24" t="s">
        <v>207</v>
      </c>
      <c r="B10" s="25">
        <f ca="1">'EF ele_warmte'!B12</f>
        <v>0.17434132879204939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8139.8282834312913</v>
      </c>
      <c r="C12" s="23">
        <f ca="1">C10*C8</f>
        <v>0</v>
      </c>
      <c r="D12" s="23">
        <f>D8*D10</f>
        <v>22513.743547152004</v>
      </c>
      <c r="E12" s="23">
        <f>E10*E8</f>
        <v>534.89896640580423</v>
      </c>
      <c r="F12" s="23">
        <f>F10*F8</f>
        <v>14583.306970427555</v>
      </c>
      <c r="G12" s="23"/>
      <c r="H12" s="23"/>
      <c r="I12" s="23"/>
      <c r="J12" s="23">
        <f>J10*J8</f>
        <v>99.365747578269421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10900</v>
      </c>
      <c r="C26" s="36"/>
      <c r="D26" s="224"/>
    </row>
    <row r="27" spans="1:5" s="15" customFormat="1">
      <c r="A27" s="226" t="s">
        <v>736</v>
      </c>
      <c r="B27" s="37">
        <f>SUM(HH_hh_gas_aantal,HH_rest_gas_aantal)</f>
        <v>7258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6895.1</v>
      </c>
      <c r="C31" s="34" t="s">
        <v>104</v>
      </c>
      <c r="D31" s="170"/>
    </row>
    <row r="32" spans="1:5">
      <c r="A32" s="167" t="s">
        <v>72</v>
      </c>
      <c r="B32" s="33">
        <f>IF((B21*($B$26-($B$27-0.05*$B$27)-$B$60))&lt;0,0,B21*($B$26-($B$27-0.05*$B$27)-$B$60))</f>
        <v>43.543640570900834</v>
      </c>
      <c r="C32" s="34" t="s">
        <v>104</v>
      </c>
      <c r="D32" s="170"/>
    </row>
    <row r="33" spans="1:6">
      <c r="A33" s="167" t="s">
        <v>73</v>
      </c>
      <c r="B33" s="33">
        <f>IF((B22*($B$26-($B$27-0.05*$B$27)-$B$60))&lt;0,0,B22*($B$26-($B$27-0.05*$B$27)-$B$60))</f>
        <v>905.30885408086738</v>
      </c>
      <c r="C33" s="34" t="s">
        <v>104</v>
      </c>
      <c r="D33" s="170"/>
    </row>
    <row r="34" spans="1:6">
      <c r="A34" s="167" t="s">
        <v>74</v>
      </c>
      <c r="B34" s="33">
        <f>IF((B24*($B$26-($B$27-0.05*$B$27)-$B$60))&lt;0,0,B24*($B$26-($B$27-0.05*$B$27)-$B$60))</f>
        <v>353.33894212845468</v>
      </c>
      <c r="C34" s="33">
        <f>B26*C24</f>
        <v>1930.6585624529885</v>
      </c>
      <c r="D34" s="229"/>
    </row>
    <row r="35" spans="1:6">
      <c r="A35" s="167" t="s">
        <v>76</v>
      </c>
      <c r="B35" s="33">
        <f>IF((B19*($B$26-($B$27-0.05*$B$27)-$B$60))&lt;0,0,B19*($B$26-($B$27-0.05*$B$27)-$B$60))</f>
        <v>32.957840571908982</v>
      </c>
      <c r="C35" s="33">
        <f>B35/2</f>
        <v>16.478920285954491</v>
      </c>
      <c r="D35" s="229"/>
    </row>
    <row r="36" spans="1:6">
      <c r="A36" s="167" t="s">
        <v>77</v>
      </c>
      <c r="B36" s="33">
        <f>IF((B18*($B$26-($B$27-0.05*$B$27)-$B$60))&lt;0,0,B18*($B$26-($B$27-0.05*$B$27)-$B$60))</f>
        <v>2618.7507226478679</v>
      </c>
      <c r="C36" s="34" t="s">
        <v>104</v>
      </c>
      <c r="D36" s="170"/>
    </row>
    <row r="37" spans="1:6">
      <c r="A37" s="167" t="s">
        <v>78</v>
      </c>
      <c r="B37" s="33">
        <f>B60</f>
        <v>51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252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30301.824124999999</v>
      </c>
      <c r="C5" s="17">
        <f>IF(ISERROR('Eigen informatie GS &amp; warmtenet'!B58),0,'Eigen informatie GS &amp; warmtenet'!B58)</f>
        <v>0</v>
      </c>
      <c r="D5" s="30">
        <f>SUM(D6:D12)</f>
        <v>36557.409466776</v>
      </c>
      <c r="E5" s="17">
        <f>SUM(E6:E12)</f>
        <v>390.77378484953994</v>
      </c>
      <c r="F5" s="17">
        <f>SUM(F6:F12)</f>
        <v>4979.1438333573697</v>
      </c>
      <c r="G5" s="18"/>
      <c r="H5" s="17"/>
      <c r="I5" s="17"/>
      <c r="J5" s="17">
        <f>SUM(J6:J12)</f>
        <v>3.6305176792417258E-2</v>
      </c>
      <c r="K5" s="17"/>
      <c r="L5" s="17"/>
      <c r="M5" s="17"/>
      <c r="N5" s="17">
        <f>SUM(N6:N12)</f>
        <v>1567.4984588231409</v>
      </c>
      <c r="O5" s="17">
        <f>B38*B39*B40</f>
        <v>3.1266666666666669</v>
      </c>
      <c r="P5" s="17">
        <f>B46*B47*B48/1000-B46*B47*B48/1000/B49</f>
        <v>0</v>
      </c>
      <c r="R5" s="32"/>
    </row>
    <row r="6" spans="1:18">
      <c r="A6" s="32" t="s">
        <v>53</v>
      </c>
      <c r="B6" s="37">
        <f>B26</f>
        <v>6033.7583450000002</v>
      </c>
      <c r="C6" s="33"/>
      <c r="D6" s="37">
        <f>IF(ISERROR(TER_kantoor_gas_kWh/1000),0,TER_kantoor_gas_kWh/1000)*0.902</f>
        <v>6585.5511139000009</v>
      </c>
      <c r="E6" s="33">
        <f>$C$26*'E Balans VL '!I12/100/3.6*1000000</f>
        <v>-4.9545009919932772E-4</v>
      </c>
      <c r="F6" s="33">
        <f>$C$26*('E Balans VL '!L12+'E Balans VL '!N12)/100/3.6*1000000</f>
        <v>764.66652474389105</v>
      </c>
      <c r="G6" s="34"/>
      <c r="H6" s="33"/>
      <c r="I6" s="33"/>
      <c r="J6" s="33">
        <f>$C$26*('E Balans VL '!D12+'E Balans VL '!E12)/100/3.6*1000000</f>
        <v>0</v>
      </c>
      <c r="K6" s="33"/>
      <c r="L6" s="33"/>
      <c r="M6" s="33"/>
      <c r="N6" s="33">
        <f>$C$26*'E Balans VL '!Y12/100/3.6*1000000</f>
        <v>7.4007615023713624</v>
      </c>
      <c r="O6" s="33"/>
      <c r="P6" s="33"/>
      <c r="R6" s="32"/>
    </row>
    <row r="7" spans="1:18">
      <c r="A7" s="32" t="s">
        <v>52</v>
      </c>
      <c r="B7" s="37">
        <f t="shared" ref="B7:B12" si="0">B27</f>
        <v>5516.9832500000002</v>
      </c>
      <c r="C7" s="33"/>
      <c r="D7" s="37">
        <f>IF(ISERROR(TER_horeca_gas_kWh/1000),0,TER_horeca_gas_kWh/1000)*0.902</f>
        <v>6533.5151677620006</v>
      </c>
      <c r="E7" s="33">
        <f>$C$27*'E Balans VL '!I9/100/3.6*1000000</f>
        <v>63.50317908442473</v>
      </c>
      <c r="F7" s="33">
        <f>$C$27*('E Balans VL '!L9+'E Balans VL '!N9)/100/3.6*1000000</f>
        <v>711.3258180275144</v>
      </c>
      <c r="G7" s="34"/>
      <c r="H7" s="33"/>
      <c r="I7" s="33"/>
      <c r="J7" s="33">
        <f>$C$27*('E Balans VL '!D9+'E Balans VL '!E9)/100/3.6*1000000</f>
        <v>0</v>
      </c>
      <c r="K7" s="33"/>
      <c r="L7" s="33"/>
      <c r="M7" s="33"/>
      <c r="N7" s="33">
        <f>$C$27*'E Balans VL '!Y9/100/3.6*1000000</f>
        <v>58.230493929019545</v>
      </c>
      <c r="O7" s="33"/>
      <c r="P7" s="33"/>
      <c r="R7" s="32"/>
    </row>
    <row r="8" spans="1:18">
      <c r="A8" s="6" t="s">
        <v>51</v>
      </c>
      <c r="B8" s="37">
        <f t="shared" si="0"/>
        <v>8734.028667999999</v>
      </c>
      <c r="C8" s="33"/>
      <c r="D8" s="37">
        <f>IF(ISERROR(TER_handel_gas_kWh/1000),0,TER_handel_gas_kWh/1000)*0.902</f>
        <v>5812.1349571999999</v>
      </c>
      <c r="E8" s="33">
        <f>$C$28*'E Balans VL '!I13/100/3.6*1000000</f>
        <v>246.42542200402772</v>
      </c>
      <c r="F8" s="33">
        <f>$C$28*('E Balans VL '!L13+'E Balans VL '!N13)/100/3.6*1000000</f>
        <v>878.45603689133543</v>
      </c>
      <c r="G8" s="34"/>
      <c r="H8" s="33"/>
      <c r="I8" s="33"/>
      <c r="J8" s="33">
        <f>$C$28*('E Balans VL '!D13+'E Balans VL '!E13)/100/3.6*1000000</f>
        <v>0</v>
      </c>
      <c r="K8" s="33"/>
      <c r="L8" s="33"/>
      <c r="M8" s="33"/>
      <c r="N8" s="33">
        <f>$C$28*'E Balans VL '!Y13/100/3.6*1000000</f>
        <v>12.056348266295061</v>
      </c>
      <c r="O8" s="33"/>
      <c r="P8" s="33"/>
      <c r="R8" s="32"/>
    </row>
    <row r="9" spans="1:18">
      <c r="A9" s="32" t="s">
        <v>50</v>
      </c>
      <c r="B9" s="37">
        <f t="shared" si="0"/>
        <v>5844.8371370000004</v>
      </c>
      <c r="C9" s="33"/>
      <c r="D9" s="37">
        <f>IF(ISERROR(TER_gezond_gas_kWh/1000),0,TER_gezond_gas_kWh/1000)*0.902</f>
        <v>13810.447320714</v>
      </c>
      <c r="E9" s="33">
        <f>$C$29*'E Balans VL '!I10/100/3.6*1000000</f>
        <v>11.676185172497899</v>
      </c>
      <c r="F9" s="33">
        <f>$C$29*('E Balans VL '!L10+'E Balans VL '!N10)/100/3.6*1000000</f>
        <v>512.12497493437525</v>
      </c>
      <c r="G9" s="34"/>
      <c r="H9" s="33"/>
      <c r="I9" s="33"/>
      <c r="J9" s="33">
        <f>$C$29*('E Balans VL '!D10+'E Balans VL '!E10)/100/3.6*1000000</f>
        <v>0</v>
      </c>
      <c r="K9" s="33"/>
      <c r="L9" s="33"/>
      <c r="M9" s="33"/>
      <c r="N9" s="33">
        <f>$C$29*'E Balans VL '!Y10/100/3.6*1000000</f>
        <v>88.411563197682455</v>
      </c>
      <c r="O9" s="33"/>
      <c r="P9" s="33"/>
      <c r="R9" s="32"/>
    </row>
    <row r="10" spans="1:18">
      <c r="A10" s="32" t="s">
        <v>49</v>
      </c>
      <c r="B10" s="37">
        <f t="shared" si="0"/>
        <v>3307.0614030000002</v>
      </c>
      <c r="C10" s="33"/>
      <c r="D10" s="37">
        <f>IF(ISERROR(TER_ander_gas_kWh/1000),0,TER_ander_gas_kWh/1000)*0.902</f>
        <v>1840.6343692</v>
      </c>
      <c r="E10" s="33">
        <f>$C$30*'E Balans VL '!I14/100/3.6*1000000</f>
        <v>46.588514881915842</v>
      </c>
      <c r="F10" s="33">
        <f>$C$30*('E Balans VL '!L14+'E Balans VL '!N14)/100/3.6*1000000</f>
        <v>2006.1058464298769</v>
      </c>
      <c r="G10" s="34"/>
      <c r="H10" s="33"/>
      <c r="I10" s="33"/>
      <c r="J10" s="33">
        <f>$C$30*('E Balans VL '!D14+'E Balans VL '!E14)/100/3.6*1000000</f>
        <v>3.6305176792417258E-2</v>
      </c>
      <c r="K10" s="33"/>
      <c r="L10" s="33"/>
      <c r="M10" s="33"/>
      <c r="N10" s="33">
        <f>$C$30*'E Balans VL '!Y14/100/3.6*1000000</f>
        <v>1398.6596002667218</v>
      </c>
      <c r="O10" s="33"/>
      <c r="P10" s="33"/>
      <c r="R10" s="32"/>
    </row>
    <row r="11" spans="1:18">
      <c r="A11" s="32" t="s">
        <v>54</v>
      </c>
      <c r="B11" s="37">
        <f t="shared" si="0"/>
        <v>865.15532200000007</v>
      </c>
      <c r="C11" s="33"/>
      <c r="D11" s="37">
        <f>IF(ISERROR(TER_onderwijs_gas_kWh/1000),0,TER_onderwijs_gas_kWh/1000)*0.902</f>
        <v>1975.1265380000002</v>
      </c>
      <c r="E11" s="33">
        <f>$C$31*'E Balans VL '!I11/100/3.6*1000000</f>
        <v>22.580979156772923</v>
      </c>
      <c r="F11" s="33">
        <f>$C$31*('E Balans VL '!L11+'E Balans VL '!N11)/100/3.6*1000000</f>
        <v>106.46463233037693</v>
      </c>
      <c r="G11" s="34"/>
      <c r="H11" s="33"/>
      <c r="I11" s="33"/>
      <c r="J11" s="33">
        <f>$C$31*('E Balans VL '!D11+'E Balans VL '!E11)/100/3.6*1000000</f>
        <v>0</v>
      </c>
      <c r="K11" s="33"/>
      <c r="L11" s="33"/>
      <c r="M11" s="33"/>
      <c r="N11" s="33">
        <f>$C$31*'E Balans VL '!Y11/100/3.6*1000000</f>
        <v>2.7396916610508257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24.75</v>
      </c>
      <c r="C13" s="242">
        <f ca="1">'lokale energieproductie'!O38+'lokale energieproductie'!O31</f>
        <v>35.357142857142861</v>
      </c>
      <c r="D13" s="300">
        <f ca="1">('lokale energieproductie'!P31+'lokale energieproductie'!P38)*(-1)</f>
        <v>-70.714285714285722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30326.574124999999</v>
      </c>
      <c r="C16" s="21">
        <f t="shared" ca="1" si="1"/>
        <v>35.357142857142861</v>
      </c>
      <c r="D16" s="21">
        <f t="shared" ca="1" si="1"/>
        <v>36486.695181061717</v>
      </c>
      <c r="E16" s="21">
        <f t="shared" si="1"/>
        <v>390.77378484953994</v>
      </c>
      <c r="F16" s="21">
        <f t="shared" ca="1" si="1"/>
        <v>4979.1438333573697</v>
      </c>
      <c r="G16" s="21">
        <f t="shared" si="1"/>
        <v>0</v>
      </c>
      <c r="H16" s="21">
        <f t="shared" si="1"/>
        <v>0</v>
      </c>
      <c r="I16" s="21">
        <f t="shared" si="1"/>
        <v>0</v>
      </c>
      <c r="J16" s="21">
        <f t="shared" si="1"/>
        <v>3.6305176792417258E-2</v>
      </c>
      <c r="K16" s="21">
        <f t="shared" si="1"/>
        <v>0</v>
      </c>
      <c r="L16" s="21">
        <f t="shared" ca="1" si="1"/>
        <v>0</v>
      </c>
      <c r="M16" s="21">
        <f t="shared" si="1"/>
        <v>0</v>
      </c>
      <c r="N16" s="21">
        <f t="shared" ca="1" si="1"/>
        <v>1567.4984588231409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0.17434132879204939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5287.1752306630824</v>
      </c>
      <c r="C20" s="23">
        <f t="shared" ref="C20:P20" ca="1" si="2">C16*C18</f>
        <v>8.4025210084033635</v>
      </c>
      <c r="D20" s="23">
        <f t="shared" ca="1" si="2"/>
        <v>7370.3124265744673</v>
      </c>
      <c r="E20" s="23">
        <f t="shared" si="2"/>
        <v>88.705649160845567</v>
      </c>
      <c r="F20" s="23">
        <f t="shared" ca="1" si="2"/>
        <v>1329.4314035064178</v>
      </c>
      <c r="G20" s="23">
        <f t="shared" si="2"/>
        <v>0</v>
      </c>
      <c r="H20" s="23">
        <f t="shared" si="2"/>
        <v>0</v>
      </c>
      <c r="I20" s="23">
        <f t="shared" si="2"/>
        <v>0</v>
      </c>
      <c r="J20" s="23">
        <f t="shared" si="2"/>
        <v>1.2852032584515709E-2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6033.7583450000002</v>
      </c>
      <c r="C26" s="39">
        <f>IF(ISERROR(B26*3.6/1000000/'E Balans VL '!Z12*100),0,B26*3.6/1000000/'E Balans VL '!Z12*100)</f>
        <v>0.16358037413388823</v>
      </c>
      <c r="D26" s="232" t="s">
        <v>700</v>
      </c>
      <c r="F26" s="6"/>
    </row>
    <row r="27" spans="1:18">
      <c r="A27" s="227" t="s">
        <v>52</v>
      </c>
      <c r="B27" s="33">
        <f>IF(ISERROR(TER_horeca_ele_kWh/1000),0,TER_horeca_ele_kWh/1000)</f>
        <v>5516.9832500000002</v>
      </c>
      <c r="C27" s="39">
        <f>IF(ISERROR(B27*3.6/1000000/'E Balans VL '!Z9*100),0,B27*3.6/1000000/'E Balans VL '!Z9*100)</f>
        <v>0.42674444159500108</v>
      </c>
      <c r="D27" s="232" t="s">
        <v>700</v>
      </c>
      <c r="F27" s="6"/>
    </row>
    <row r="28" spans="1:18">
      <c r="A28" s="167" t="s">
        <v>51</v>
      </c>
      <c r="B28" s="33">
        <f>IF(ISERROR(TER_handel_ele_kWh/1000),0,TER_handel_ele_kWh/1000)</f>
        <v>8734.028667999999</v>
      </c>
      <c r="C28" s="39">
        <f>IF(ISERROR(B28*3.6/1000000/'E Balans VL '!Z13*100),0,B28*3.6/1000000/'E Balans VL '!Z13*100)</f>
        <v>0.2526106979524147</v>
      </c>
      <c r="D28" s="232" t="s">
        <v>700</v>
      </c>
      <c r="F28" s="6"/>
    </row>
    <row r="29" spans="1:18">
      <c r="A29" s="227" t="s">
        <v>50</v>
      </c>
      <c r="B29" s="33">
        <f>IF(ISERROR(TER_gezond_ele_kWh/1000),0,TER_gezond_ele_kWh/1000)</f>
        <v>5844.8371370000004</v>
      </c>
      <c r="C29" s="39">
        <f>IF(ISERROR(B29*3.6/1000000/'E Balans VL '!Z10*100),0,B29*3.6/1000000/'E Balans VL '!Z10*100)</f>
        <v>0.60196090487730491</v>
      </c>
      <c r="D29" s="232" t="s">
        <v>700</v>
      </c>
      <c r="F29" s="6"/>
    </row>
    <row r="30" spans="1:18">
      <c r="A30" s="227" t="s">
        <v>49</v>
      </c>
      <c r="B30" s="33">
        <f>IF(ISERROR(TER_ander_ele_kWh/1000),0,TER_ander_ele_kWh/1000)</f>
        <v>3307.0614030000002</v>
      </c>
      <c r="C30" s="39">
        <f>IF(ISERROR(B30*3.6/1000000/'E Balans VL '!Z14*100),0,B30*3.6/1000000/'E Balans VL '!Z14*100)</f>
        <v>0.14869014385972937</v>
      </c>
      <c r="D30" s="232" t="s">
        <v>700</v>
      </c>
      <c r="F30" s="6"/>
    </row>
    <row r="31" spans="1:18">
      <c r="A31" s="227" t="s">
        <v>54</v>
      </c>
      <c r="B31" s="33">
        <f>IF(ISERROR(TER_onderwijs_ele_kWh/1000),0,TER_onderwijs_ele_kWh/1000)</f>
        <v>865.15532200000007</v>
      </c>
      <c r="C31" s="39">
        <f>IF(ISERROR(B31*3.6/1000000/'E Balans VL '!Z11*100),0,B31*3.6/1000000/'E Balans VL '!Z11*100)</f>
        <v>0.24178230034248926</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36306.044687000001</v>
      </c>
      <c r="C5" s="17">
        <f>IF(ISERROR('Eigen informatie GS &amp; warmtenet'!B59),0,'Eigen informatie GS &amp; warmtenet'!B59)</f>
        <v>0</v>
      </c>
      <c r="D5" s="30">
        <f>SUM(D6:D15)</f>
        <v>143283.85344603</v>
      </c>
      <c r="E5" s="17">
        <f>SUM(E6:E15)</f>
        <v>1273.0925990779092</v>
      </c>
      <c r="F5" s="17">
        <f>SUM(F6:F15)</f>
        <v>10212.00039218165</v>
      </c>
      <c r="G5" s="18"/>
      <c r="H5" s="17"/>
      <c r="I5" s="17"/>
      <c r="J5" s="17">
        <f>SUM(J6:J15)</f>
        <v>81.82292094715821</v>
      </c>
      <c r="K5" s="17"/>
      <c r="L5" s="17"/>
      <c r="M5" s="17"/>
      <c r="N5" s="17">
        <f>SUM(N6:N15)</f>
        <v>3437.515520138772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428.89259700000002</v>
      </c>
      <c r="C8" s="33"/>
      <c r="D8" s="37">
        <f>IF( ISERROR(IND_metaal_Gas_kWH/1000),0,IND_metaal_Gas_kWH/1000)*0.902</f>
        <v>842.90998000000002</v>
      </c>
      <c r="E8" s="33">
        <f>C30*'E Balans VL '!I18/100/3.6*1000000</f>
        <v>3.8923317233444741</v>
      </c>
      <c r="F8" s="33">
        <f>C30*'E Balans VL '!L18/100/3.6*1000000+C30*'E Balans VL '!N18/100/3.6*1000000</f>
        <v>39.476168315875505</v>
      </c>
      <c r="G8" s="34"/>
      <c r="H8" s="33"/>
      <c r="I8" s="33"/>
      <c r="J8" s="40">
        <f>C30*'E Balans VL '!D18/100/3.6*1000000+C30*'E Balans VL '!E18/100/3.6*1000000</f>
        <v>0</v>
      </c>
      <c r="K8" s="33"/>
      <c r="L8" s="33"/>
      <c r="M8" s="33"/>
      <c r="N8" s="33">
        <f>C30*'E Balans VL '!Y18/100/3.6*1000000</f>
        <v>6.2614941688141386</v>
      </c>
      <c r="O8" s="33"/>
      <c r="P8" s="33"/>
      <c r="R8" s="32"/>
    </row>
    <row r="9" spans="1:18">
      <c r="A9" s="6" t="s">
        <v>32</v>
      </c>
      <c r="B9" s="37">
        <f t="shared" si="0"/>
        <v>5590.8587390000002</v>
      </c>
      <c r="C9" s="33"/>
      <c r="D9" s="37">
        <f>IF( ISERROR(IND_andere_gas_kWh/1000),0,IND_andere_gas_kWh/1000)*0.902</f>
        <v>3510.4664694000003</v>
      </c>
      <c r="E9" s="33">
        <f>C31*'E Balans VL '!I19/100/3.6*1000000</f>
        <v>32.450607634447209</v>
      </c>
      <c r="F9" s="33">
        <f>C31*'E Balans VL '!L19/100/3.6*1000000+C31*'E Balans VL '!N19/100/3.6*1000000</f>
        <v>3687.1085600441102</v>
      </c>
      <c r="G9" s="34"/>
      <c r="H9" s="33"/>
      <c r="I9" s="33"/>
      <c r="J9" s="40">
        <f>C31*'E Balans VL '!D19/100/3.6*1000000+C31*'E Balans VL '!E19/100/3.6*1000000</f>
        <v>0</v>
      </c>
      <c r="K9" s="33"/>
      <c r="L9" s="33"/>
      <c r="M9" s="33"/>
      <c r="N9" s="33">
        <f>C31*'E Balans VL '!Y19/100/3.6*1000000</f>
        <v>258.91752810564861</v>
      </c>
      <c r="O9" s="33"/>
      <c r="P9" s="33"/>
      <c r="R9" s="32"/>
    </row>
    <row r="10" spans="1:18">
      <c r="A10" s="6" t="s">
        <v>40</v>
      </c>
      <c r="B10" s="37">
        <f t="shared" si="0"/>
        <v>762.88364999999999</v>
      </c>
      <c r="C10" s="33"/>
      <c r="D10" s="37">
        <f>IF( ISERROR(IND_voed_gas_kWh/1000),0,IND_voed_gas_kWh/1000)*0.902</f>
        <v>697.58515199999999</v>
      </c>
      <c r="E10" s="33">
        <f>C32*'E Balans VL '!I20/100/3.6*1000000</f>
        <v>1.616728402413611</v>
      </c>
      <c r="F10" s="33">
        <f>C32*'E Balans VL '!L20/100/3.6*1000000+C32*'E Balans VL '!N20/100/3.6*1000000</f>
        <v>48.484407305243096</v>
      </c>
      <c r="G10" s="34"/>
      <c r="H10" s="33"/>
      <c r="I10" s="33"/>
      <c r="J10" s="40">
        <f>C32*'E Balans VL '!D20/100/3.6*1000000+C32*'E Balans VL '!E20/100/3.6*1000000</f>
        <v>0</v>
      </c>
      <c r="K10" s="33"/>
      <c r="L10" s="33"/>
      <c r="M10" s="33"/>
      <c r="N10" s="33">
        <f>C32*'E Balans VL '!Y20/100/3.6*1000000</f>
        <v>22.115152053217177</v>
      </c>
      <c r="O10" s="33"/>
      <c r="P10" s="33"/>
      <c r="R10" s="32"/>
    </row>
    <row r="11" spans="1:18">
      <c r="A11" s="6" t="s">
        <v>39</v>
      </c>
      <c r="B11" s="37">
        <f t="shared" si="0"/>
        <v>184.92158600000002</v>
      </c>
      <c r="C11" s="33"/>
      <c r="D11" s="37">
        <f>IF( ISERROR(IND_textiel_gas_kWh/1000),0,IND_textiel_gas_kWh/1000)*0.902</f>
        <v>737.00892462999991</v>
      </c>
      <c r="E11" s="33">
        <f>C33*'E Balans VL '!I21/100/3.6*1000000</f>
        <v>0.57888066876180022</v>
      </c>
      <c r="F11" s="33">
        <f>C33*'E Balans VL '!L21/100/3.6*1000000+C33*'E Balans VL '!N21/100/3.6*1000000</f>
        <v>18.902031494636987</v>
      </c>
      <c r="G11" s="34"/>
      <c r="H11" s="33"/>
      <c r="I11" s="33"/>
      <c r="J11" s="40">
        <f>C33*'E Balans VL '!D21/100/3.6*1000000+C33*'E Balans VL '!E21/100/3.6*1000000</f>
        <v>0</v>
      </c>
      <c r="K11" s="33"/>
      <c r="L11" s="33"/>
      <c r="M11" s="33"/>
      <c r="N11" s="33">
        <f>C33*'E Balans VL '!Y21/100/3.6*1000000</f>
        <v>2.5530614883403704E-2</v>
      </c>
      <c r="O11" s="33"/>
      <c r="P11" s="33"/>
      <c r="R11" s="32"/>
    </row>
    <row r="12" spans="1:18">
      <c r="A12" s="6" t="s">
        <v>36</v>
      </c>
      <c r="B12" s="37">
        <f t="shared" si="0"/>
        <v>11863.125115000001</v>
      </c>
      <c r="C12" s="33"/>
      <c r="D12" s="37">
        <f>IF( ISERROR(IND_min_gas_kWh/1000),0,IND_min_gas_kWh/1000)*0.902</f>
        <v>112563.06501000001</v>
      </c>
      <c r="E12" s="33">
        <f>C34*'E Balans VL '!I22/100/3.6*1000000</f>
        <v>289.14009828897559</v>
      </c>
      <c r="F12" s="33">
        <f>C34*'E Balans VL '!L22/100/3.6*1000000+C34*'E Balans VL '!N22/100/3.6*1000000</f>
        <v>3346.4777558068836</v>
      </c>
      <c r="G12" s="34"/>
      <c r="H12" s="33"/>
      <c r="I12" s="33"/>
      <c r="J12" s="40">
        <f>C34*'E Balans VL '!D22/100/3.6*1000000+C34*'E Balans VL '!E22/100/3.6*1000000</f>
        <v>20.281924081595978</v>
      </c>
      <c r="K12" s="33"/>
      <c r="L12" s="33"/>
      <c r="M12" s="33"/>
      <c r="N12" s="33">
        <f>C34*'E Balans VL '!Y22/100/3.6*1000000</f>
        <v>2701.9064350994272</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17475.363000000001</v>
      </c>
      <c r="C15" s="33"/>
      <c r="D15" s="37">
        <f>IF( ISERROR(IND_rest_gas_kWh/1000),0,IND_rest_gas_kWh/1000)*0.902</f>
        <v>24932.817910000002</v>
      </c>
      <c r="E15" s="33">
        <f>C37*'E Balans VL '!I15/100/3.6*1000000</f>
        <v>945.41395235996663</v>
      </c>
      <c r="F15" s="33">
        <f>C37*'E Balans VL '!L15/100/3.6*1000000+C37*'E Balans VL '!N15/100/3.6*1000000</f>
        <v>3071.5514692149013</v>
      </c>
      <c r="G15" s="34"/>
      <c r="H15" s="33"/>
      <c r="I15" s="33"/>
      <c r="J15" s="40">
        <f>C37*'E Balans VL '!D15/100/3.6*1000000+C37*'E Balans VL '!E15/100/3.6*1000000</f>
        <v>61.540996865562228</v>
      </c>
      <c r="K15" s="33"/>
      <c r="L15" s="33"/>
      <c r="M15" s="33"/>
      <c r="N15" s="33">
        <f>C37*'E Balans VL '!Y15/100/3.6*1000000</f>
        <v>448.28938009678131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36306.044687000001</v>
      </c>
      <c r="C18" s="21">
        <f>C5+C16</f>
        <v>0</v>
      </c>
      <c r="D18" s="21">
        <f>MAX((D5+D16),0)</f>
        <v>143283.85344603</v>
      </c>
      <c r="E18" s="21">
        <f>MAX((E5+E16),0)</f>
        <v>1273.0925990779092</v>
      </c>
      <c r="F18" s="21">
        <f>MAX((F5+F16),0)</f>
        <v>10212.00039218165</v>
      </c>
      <c r="G18" s="21"/>
      <c r="H18" s="21"/>
      <c r="I18" s="21"/>
      <c r="J18" s="21">
        <f>MAX((J5+J16),0)</f>
        <v>81.82292094715821</v>
      </c>
      <c r="K18" s="21"/>
      <c r="L18" s="21">
        <f>MAX((L5+L16),0)</f>
        <v>0</v>
      </c>
      <c r="M18" s="21"/>
      <c r="N18" s="21">
        <f>MAX((N5+N16),0)</f>
        <v>3437.515520138772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0.17434132879204939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6329.6440739151049</v>
      </c>
      <c r="C22" s="23">
        <f ca="1">C18*C20</f>
        <v>0</v>
      </c>
      <c r="D22" s="23">
        <f>D18*D20</f>
        <v>28943.338396098061</v>
      </c>
      <c r="E22" s="23">
        <f>E18*E20</f>
        <v>288.99201999068538</v>
      </c>
      <c r="F22" s="23">
        <f>F18*F20</f>
        <v>2726.6041047125004</v>
      </c>
      <c r="G22" s="23"/>
      <c r="H22" s="23"/>
      <c r="I22" s="23"/>
      <c r="J22" s="23">
        <f>J18*J20</f>
        <v>28.965314015294005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428.89259700000002</v>
      </c>
      <c r="C30" s="39">
        <f>IF(ISERROR(B30*3.6/1000000/'E Balans VL '!Z18*100),0,B30*3.6/1000000/'E Balans VL '!Z18*100)</f>
        <v>2.4873033694267434E-2</v>
      </c>
      <c r="D30" s="232" t="s">
        <v>700</v>
      </c>
    </row>
    <row r="31" spans="1:18">
      <c r="A31" s="6" t="s">
        <v>32</v>
      </c>
      <c r="B31" s="37">
        <f>IF( ISERROR(IND_ander_ele_kWh/1000),0,IND_ander_ele_kWh/1000)</f>
        <v>5590.8587390000002</v>
      </c>
      <c r="C31" s="39">
        <f>IF(ISERROR(B31*3.6/1000000/'E Balans VL '!Z19*100),0,B31*3.6/1000000/'E Balans VL '!Z19*100)</f>
        <v>0.23349529980436565</v>
      </c>
      <c r="D31" s="232" t="s">
        <v>700</v>
      </c>
    </row>
    <row r="32" spans="1:18">
      <c r="A32" s="167" t="s">
        <v>40</v>
      </c>
      <c r="B32" s="37">
        <f>IF( ISERROR(IND_voed_ele_kWh/1000),0,IND_voed_ele_kWh/1000)</f>
        <v>762.88364999999999</v>
      </c>
      <c r="C32" s="39">
        <f>IF(ISERROR(B32*3.6/1000000/'E Balans VL '!Z20*100),0,B32*3.6/1000000/'E Balans VL '!Z20*100)</f>
        <v>2.3661644976759662E-2</v>
      </c>
      <c r="D32" s="232" t="s">
        <v>700</v>
      </c>
    </row>
    <row r="33" spans="1:5">
      <c r="A33" s="167" t="s">
        <v>39</v>
      </c>
      <c r="B33" s="37">
        <f>IF( ISERROR(IND_textiel_ele_kWh/1000),0,IND_textiel_ele_kWh/1000)</f>
        <v>184.92158600000002</v>
      </c>
      <c r="C33" s="39">
        <f>IF(ISERROR(B33*3.6/1000000/'E Balans VL '!Z21*100),0,B33*3.6/1000000/'E Balans VL '!Z21*100)</f>
        <v>2.563028822650678E-2</v>
      </c>
      <c r="D33" s="232" t="s">
        <v>700</v>
      </c>
    </row>
    <row r="34" spans="1:5">
      <c r="A34" s="167" t="s">
        <v>36</v>
      </c>
      <c r="B34" s="37">
        <f>IF( ISERROR(IND_min_ele_kWh/1000),0,IND_min_ele_kWh/1000)</f>
        <v>11863.125115000001</v>
      </c>
      <c r="C34" s="39">
        <f>IF(ISERROR(B34*3.6/1000000/'E Balans VL '!Z22*100),0,B34*3.6/1000000/'E Balans VL '!Z22*100)</f>
        <v>2.2199734476663369</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17475.363000000001</v>
      </c>
      <c r="C37" s="39">
        <f>IF(ISERROR(B37*3.6/1000000/'E Balans VL '!Z15*100),0,B37*3.6/1000000/'E Balans VL '!Z15*100)</f>
        <v>0.13625434934460823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1388.9853500000002</v>
      </c>
      <c r="C5" s="17">
        <f>'Eigen informatie GS &amp; warmtenet'!B60</f>
        <v>0</v>
      </c>
      <c r="D5" s="30">
        <f>IF(ISERROR(SUM(LB_lb_gas_kWh,LB_rest_gas_kWh)/1000),0,SUM(LB_lb_gas_kWh,LB_rest_gas_kWh)/1000)*0.902</f>
        <v>2557.2871165820002</v>
      </c>
      <c r="E5" s="17">
        <f>B17*'E Balans VL '!I25/3.6*1000000/100</f>
        <v>45.077140569637841</v>
      </c>
      <c r="F5" s="17">
        <f>B17*('E Balans VL '!L25/3.6*1000000+'E Balans VL '!N25/3.6*1000000)/100</f>
        <v>5124.2364845129368</v>
      </c>
      <c r="G5" s="18"/>
      <c r="H5" s="17"/>
      <c r="I5" s="17"/>
      <c r="J5" s="17">
        <f>('E Balans VL '!D25+'E Balans VL '!E25)/3.6*1000000*landbouw!B17/100</f>
        <v>365.28878678273691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1388.9853500000002</v>
      </c>
      <c r="C8" s="21">
        <f>C5+C6</f>
        <v>0</v>
      </c>
      <c r="D8" s="21">
        <f>MAX((D5+D6),0)</f>
        <v>2557.2871165820002</v>
      </c>
      <c r="E8" s="21">
        <f>MAX((E5+E6),0)</f>
        <v>45.077140569637841</v>
      </c>
      <c r="F8" s="21">
        <f>MAX((F5+F6),0)</f>
        <v>5124.2364845129368</v>
      </c>
      <c r="G8" s="21"/>
      <c r="H8" s="21"/>
      <c r="I8" s="21"/>
      <c r="J8" s="21">
        <f>MAX((J5+J6),0)</f>
        <v>365.28878678273691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0.17434132879204939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242.15755159168981</v>
      </c>
      <c r="C12" s="23">
        <f ca="1">C8*C10</f>
        <v>0</v>
      </c>
      <c r="D12" s="23">
        <f>D8*D10</f>
        <v>516.57199754956412</v>
      </c>
      <c r="E12" s="23">
        <f>E8*E10</f>
        <v>10.23251090930779</v>
      </c>
      <c r="F12" s="23">
        <f>F8*F10</f>
        <v>1368.1711413649541</v>
      </c>
      <c r="G12" s="23"/>
      <c r="H12" s="23"/>
      <c r="I12" s="23"/>
      <c r="J12" s="23">
        <f>J8*J10</f>
        <v>129.31223052108885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0.19710137897363603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81.1224501024668</v>
      </c>
      <c r="C26" s="242">
        <f>B26*'GWP N2O_CH4'!B5</f>
        <v>1703.5714521518028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33.294041587057158</v>
      </c>
      <c r="C27" s="242">
        <f>B27*'GWP N2O_CH4'!B5</f>
        <v>699.17487332820031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1.399952263969338</v>
      </c>
      <c r="C28" s="242">
        <f>B28*'GWP N2O_CH4'!B4</f>
        <v>433.98520183049482</v>
      </c>
      <c r="D28" s="50"/>
    </row>
    <row r="29" spans="1:4">
      <c r="A29" s="41" t="s">
        <v>265</v>
      </c>
      <c r="B29" s="242">
        <f>B34*'ha_N2O bodem landbouw'!B4</f>
        <v>10.089292027453203</v>
      </c>
      <c r="C29" s="242">
        <f>B29*'GWP N2O_CH4'!B4</f>
        <v>3127.6805285104929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2.3023416714177121E-3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3.4678092653314544E-4</v>
      </c>
      <c r="C5" s="427" t="s">
        <v>204</v>
      </c>
      <c r="D5" s="412">
        <f>SUM(D6:D11)</f>
        <v>6.2329909172048094E-4</v>
      </c>
      <c r="E5" s="412">
        <f>SUM(E6:E11)</f>
        <v>1.0683632752884387E-3</v>
      </c>
      <c r="F5" s="425" t="s">
        <v>204</v>
      </c>
      <c r="G5" s="412">
        <f>SUM(G6:G11)</f>
        <v>0.40676578190195367</v>
      </c>
      <c r="H5" s="412">
        <f>SUM(H6:H11)</f>
        <v>0.10730256658716623</v>
      </c>
      <c r="I5" s="427" t="s">
        <v>204</v>
      </c>
      <c r="J5" s="427" t="s">
        <v>204</v>
      </c>
      <c r="K5" s="427" t="s">
        <v>204</v>
      </c>
      <c r="L5" s="427" t="s">
        <v>204</v>
      </c>
      <c r="M5" s="412">
        <f>SUM(M6:M11)</f>
        <v>2.6924523355971963E-2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2.5536301629560808E-4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4.3147706297041246E-4</v>
      </c>
      <c r="E6" s="818">
        <f>vkm_GW_PW*SUMIFS(TableVerdeelsleutelVkm[LPG],TableVerdeelsleutelVkm[Voertuigtype],"Lichte voertuigen")*SUMIFS(TableECFTransport[EnergieConsumptieFactor (PJ per km)],TableECFTransport[Index],CONCATENATE($A6,"_LPG_LPG"))</f>
        <v>7.5003681190199544E-4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0.22716625861451542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7.4810016436513568E-2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1.5474762762702734E-2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2.598132838663827E-6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8.3452652318732931E-2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1.6649568901016139E-6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4.8757755311560754E-3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8.8671635869989169E-5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1.9182202875006845E-4</v>
      </c>
      <c r="E8" s="415">
        <f>vkm_NGW_PW*SUMIFS(TableVerdeelsleutelVkm[LPG],TableVerdeelsleutelVkm[Voertuigtype],"Lichte voertuigen")*SUMIFS(TableECFTransport[EnergieConsumptieFactor (PJ per km)],TableECFTransport[Index],CONCATENATE($A8,"_LPG_LPG"))</f>
        <v>3.1832646338644316E-4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9.0041603696498496E-2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3.2490770606878598E-2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6.2172810603444992E-3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1.4814152888438825E-7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6.1052672722068154E-3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1.1458688397180812E-7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3.5670400176865511E-4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96.32803514809595</v>
      </c>
      <c r="C14" s="21"/>
      <c r="D14" s="21">
        <f t="shared" ref="D14:M14" si="0">((D5)*10^9/3600)+D12</f>
        <v>173.1386365890225</v>
      </c>
      <c r="E14" s="21">
        <f t="shared" si="0"/>
        <v>296.76757646901075</v>
      </c>
      <c r="F14" s="21"/>
      <c r="G14" s="21">
        <f t="shared" si="0"/>
        <v>112990.49497276492</v>
      </c>
      <c r="H14" s="21">
        <f t="shared" si="0"/>
        <v>29806.268496435066</v>
      </c>
      <c r="I14" s="21"/>
      <c r="J14" s="21"/>
      <c r="K14" s="21"/>
      <c r="L14" s="21"/>
      <c r="M14" s="21">
        <f t="shared" si="0"/>
        <v>7479.0342655477671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0.17434132879204939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16.793957647646288</v>
      </c>
      <c r="C18" s="23"/>
      <c r="D18" s="23">
        <f t="shared" ref="D18:M18" si="1">D14*D16</f>
        <v>34.974004590982545</v>
      </c>
      <c r="E18" s="23">
        <f t="shared" si="1"/>
        <v>67.366239858465448</v>
      </c>
      <c r="F18" s="23"/>
      <c r="G18" s="23">
        <f t="shared" si="1"/>
        <v>30168.462157728234</v>
      </c>
      <c r="H18" s="23">
        <f t="shared" si="1"/>
        <v>7421.7608556123314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8.5379002120541966E-5</v>
      </c>
      <c r="C50" s="311">
        <f t="shared" ref="C50:P50" si="2">SUM(C51:C52)</f>
        <v>0</v>
      </c>
      <c r="D50" s="311">
        <f t="shared" si="2"/>
        <v>0</v>
      </c>
      <c r="E50" s="311">
        <f t="shared" si="2"/>
        <v>0</v>
      </c>
      <c r="F50" s="311">
        <f t="shared" si="2"/>
        <v>0</v>
      </c>
      <c r="G50" s="311">
        <f t="shared" si="2"/>
        <v>8.0205099344021081E-3</v>
      </c>
      <c r="H50" s="311">
        <f t="shared" si="2"/>
        <v>0</v>
      </c>
      <c r="I50" s="311">
        <f t="shared" si="2"/>
        <v>0</v>
      </c>
      <c r="J50" s="311">
        <f t="shared" si="2"/>
        <v>0</v>
      </c>
      <c r="K50" s="311">
        <f t="shared" si="2"/>
        <v>0</v>
      </c>
      <c r="L50" s="311">
        <f t="shared" si="2"/>
        <v>0</v>
      </c>
      <c r="M50" s="311">
        <f t="shared" si="2"/>
        <v>4.6187708566511267E-4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8.5379002120541966E-5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8.0205099344021081E-3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4.6187708566511267E-4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23.716389477928324</v>
      </c>
      <c r="C54" s="21">
        <f t="shared" ref="C54:P54" si="3">(C50)*10^9/3600</f>
        <v>0</v>
      </c>
      <c r="D54" s="21">
        <f t="shared" si="3"/>
        <v>0</v>
      </c>
      <c r="E54" s="21">
        <f t="shared" si="3"/>
        <v>0</v>
      </c>
      <c r="F54" s="21">
        <f t="shared" si="3"/>
        <v>0</v>
      </c>
      <c r="G54" s="21">
        <f t="shared" si="3"/>
        <v>2227.9194262228079</v>
      </c>
      <c r="H54" s="21">
        <f t="shared" si="3"/>
        <v>0</v>
      </c>
      <c r="I54" s="21">
        <f t="shared" si="3"/>
        <v>0</v>
      </c>
      <c r="J54" s="21">
        <f t="shared" si="3"/>
        <v>0</v>
      </c>
      <c r="K54" s="21">
        <f t="shared" si="3"/>
        <v>0</v>
      </c>
      <c r="L54" s="21">
        <f t="shared" si="3"/>
        <v>0</v>
      </c>
      <c r="M54" s="21">
        <f t="shared" si="3"/>
        <v>128.2991904625313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0.17434132879204939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4.1347468557318026</v>
      </c>
      <c r="C58" s="23">
        <f t="shared" ref="C58:P58" ca="1" si="4">C54*C56</f>
        <v>0</v>
      </c>
      <c r="D58" s="23">
        <f t="shared" si="4"/>
        <v>0</v>
      </c>
      <c r="E58" s="23">
        <f t="shared" si="4"/>
        <v>0</v>
      </c>
      <c r="F58" s="23">
        <f t="shared" si="4"/>
        <v>0</v>
      </c>
      <c r="G58" s="23">
        <f t="shared" si="4"/>
        <v>594.85448680148977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13779.58500203706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11231.14908210732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24.75</v>
      </c>
      <c r="C8" s="534">
        <f>B48</f>
        <v>29.117647058823533</v>
      </c>
      <c r="D8" s="962"/>
      <c r="E8" s="962">
        <f>E48</f>
        <v>0</v>
      </c>
      <c r="F8" s="963"/>
      <c r="G8" s="535"/>
      <c r="H8" s="962">
        <f>I48</f>
        <v>0</v>
      </c>
      <c r="I8" s="962">
        <f>G48+F48</f>
        <v>0</v>
      </c>
      <c r="J8" s="962">
        <f>H48+D48+C48</f>
        <v>0</v>
      </c>
      <c r="K8" s="962"/>
      <c r="L8" s="962"/>
      <c r="M8" s="962"/>
      <c r="N8" s="536"/>
      <c r="O8" s="537">
        <f>C8*$C$12+D8*$D$12+E8*$E$12+F8*$F$12+G8*$G$12+H8*$H$12+I8*$I$12+J8*$J$12</f>
        <v>5.8817647058823539</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25035.48408414438</v>
      </c>
      <c r="C10" s="547">
        <f t="shared" ref="C10:L10" si="0">SUM(C8:C9)</f>
        <v>29.117647058823533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5.8817647058823539</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35.357142857142861</v>
      </c>
      <c r="C17" s="559">
        <f>B49</f>
        <v>41.596638655462193</v>
      </c>
      <c r="D17" s="560"/>
      <c r="E17" s="560">
        <f>E49</f>
        <v>0</v>
      </c>
      <c r="F17" s="968"/>
      <c r="G17" s="561"/>
      <c r="H17" s="559">
        <f>I49</f>
        <v>0</v>
      </c>
      <c r="I17" s="560">
        <f>G49+F49</f>
        <v>0</v>
      </c>
      <c r="J17" s="560">
        <f>H49+D49+C49</f>
        <v>0</v>
      </c>
      <c r="K17" s="560"/>
      <c r="L17" s="560"/>
      <c r="M17" s="560"/>
      <c r="N17" s="969"/>
      <c r="O17" s="562">
        <f>C17*$C$22+E17*$E$22+H17*$H$22+I17*$I$22+J17*$J$22+D17*$D$22+F17*$F$22+G17*$G$22+K17*$K$22+L17*$L$22</f>
        <v>8.4025210084033635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35.357142857142861</v>
      </c>
      <c r="C20" s="546">
        <f>SUM(C17:C19)</f>
        <v>41.596638655462193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8.4025210084033635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73042</v>
      </c>
      <c r="C28" s="724">
        <v>3620</v>
      </c>
      <c r="D28" s="617"/>
      <c r="E28" s="616"/>
      <c r="F28" s="616"/>
      <c r="G28" s="616" t="s">
        <v>878</v>
      </c>
      <c r="H28" s="616" t="s">
        <v>879</v>
      </c>
      <c r="I28" s="616"/>
      <c r="J28" s="723"/>
      <c r="K28" s="723"/>
      <c r="L28" s="616" t="s">
        <v>880</v>
      </c>
      <c r="M28" s="616">
        <v>5.5</v>
      </c>
      <c r="N28" s="616">
        <v>24.75</v>
      </c>
      <c r="O28" s="616">
        <v>35.357142857142861</v>
      </c>
      <c r="P28" s="616">
        <v>70.714285714285722</v>
      </c>
      <c r="Q28" s="616">
        <v>0</v>
      </c>
      <c r="R28" s="616">
        <v>0</v>
      </c>
      <c r="S28" s="616">
        <v>0</v>
      </c>
      <c r="T28" s="616">
        <v>0</v>
      </c>
      <c r="U28" s="616">
        <v>0</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5.5</v>
      </c>
      <c r="N29" s="574">
        <f>SUM(N28:N28)</f>
        <v>24.75</v>
      </c>
      <c r="O29" s="574">
        <f>SUM(O28:O28)</f>
        <v>35.357142857142861</v>
      </c>
      <c r="P29" s="574">
        <f>SUM(P28:P28)</f>
        <v>70.714285714285722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5.5</v>
      </c>
      <c r="N31" s="574">
        <f ca="1">SUMIF($AA$28:AE28,"tertiair",N28:N28)</f>
        <v>24.75</v>
      </c>
      <c r="O31" s="574">
        <f ca="1">SUMIF($AA$28:AF28,"tertiair",O28:O28)</f>
        <v>35.357142857142861</v>
      </c>
      <c r="P31" s="574">
        <f ca="1">SUMIF($AA$28:AG28,"tertiair",P28:P28)</f>
        <v>70.714285714285722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29.117647058823533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41.596638655462193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32050.853124999998</v>
      </c>
      <c r="D10" s="931">
        <f ca="1">tertiair!C16</f>
        <v>35.357142857142861</v>
      </c>
      <c r="E10" s="931">
        <f ca="1">tertiair!D16</f>
        <v>36486.695181061717</v>
      </c>
      <c r="F10" s="931">
        <f>tertiair!E16</f>
        <v>390.77378484953994</v>
      </c>
      <c r="G10" s="931">
        <f ca="1">tertiair!F16</f>
        <v>4979.1438333573697</v>
      </c>
      <c r="H10" s="931">
        <f>tertiair!G16</f>
        <v>0</v>
      </c>
      <c r="I10" s="931">
        <f>tertiair!H16</f>
        <v>0</v>
      </c>
      <c r="J10" s="931">
        <f>tertiair!I16</f>
        <v>0</v>
      </c>
      <c r="K10" s="931">
        <f>tertiair!J16</f>
        <v>3.6305176792417258E-2</v>
      </c>
      <c r="L10" s="931">
        <f>tertiair!K16</f>
        <v>0</v>
      </c>
      <c r="M10" s="931">
        <f ca="1">tertiair!L16</f>
        <v>0</v>
      </c>
      <c r="N10" s="931">
        <f>tertiair!M16</f>
        <v>0</v>
      </c>
      <c r="O10" s="931">
        <f ca="1">tertiair!N16</f>
        <v>1567.4984588231409</v>
      </c>
      <c r="P10" s="931">
        <f>tertiair!O16</f>
        <v>3.1266666666666669</v>
      </c>
      <c r="Q10" s="932">
        <f>tertiair!P16</f>
        <v>0</v>
      </c>
      <c r="R10" s="628">
        <f ca="1">SUM(C10:Q10)</f>
        <v>75513.484497792379</v>
      </c>
      <c r="S10" s="67"/>
    </row>
    <row r="11" spans="1:19" s="437" customFormat="1">
      <c r="A11" s="736" t="s">
        <v>213</v>
      </c>
      <c r="B11" s="741"/>
      <c r="C11" s="931">
        <f>huishoudens!B8</f>
        <v>46689.034320372222</v>
      </c>
      <c r="D11" s="931">
        <f>huishoudens!C8</f>
        <v>0</v>
      </c>
      <c r="E11" s="931">
        <f>huishoudens!D8</f>
        <v>111454.17597600001</v>
      </c>
      <c r="F11" s="931">
        <f>huishoudens!E8</f>
        <v>2356.3831119198426</v>
      </c>
      <c r="G11" s="931">
        <f>huishoudens!F8</f>
        <v>54619.127230065744</v>
      </c>
      <c r="H11" s="931">
        <f>huishoudens!G8</f>
        <v>0</v>
      </c>
      <c r="I11" s="931">
        <f>huishoudens!H8</f>
        <v>0</v>
      </c>
      <c r="J11" s="931">
        <f>huishoudens!I8</f>
        <v>0</v>
      </c>
      <c r="K11" s="931">
        <f>huishoudens!J8</f>
        <v>280.69420219850122</v>
      </c>
      <c r="L11" s="931">
        <f>huishoudens!K8</f>
        <v>0</v>
      </c>
      <c r="M11" s="931">
        <f>huishoudens!L8</f>
        <v>0</v>
      </c>
      <c r="N11" s="931">
        <f>huishoudens!M8</f>
        <v>0</v>
      </c>
      <c r="O11" s="931">
        <f>huishoudens!N8</f>
        <v>15296.859584788152</v>
      </c>
      <c r="P11" s="931">
        <f>huishoudens!O8</f>
        <v>393.96000000000004</v>
      </c>
      <c r="Q11" s="932">
        <f>huishoudens!P8</f>
        <v>972.4</v>
      </c>
      <c r="R11" s="628">
        <f>SUM(C11:Q11)</f>
        <v>232062.63442534444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36306.044687000001</v>
      </c>
      <c r="D13" s="931">
        <f>industrie!C18</f>
        <v>0</v>
      </c>
      <c r="E13" s="931">
        <f>industrie!D18</f>
        <v>143283.85344603</v>
      </c>
      <c r="F13" s="931">
        <f>industrie!E18</f>
        <v>1273.0925990779092</v>
      </c>
      <c r="G13" s="931">
        <f>industrie!F18</f>
        <v>10212.00039218165</v>
      </c>
      <c r="H13" s="931">
        <f>industrie!G18</f>
        <v>0</v>
      </c>
      <c r="I13" s="931">
        <f>industrie!H18</f>
        <v>0</v>
      </c>
      <c r="J13" s="931">
        <f>industrie!I18</f>
        <v>0</v>
      </c>
      <c r="K13" s="931">
        <f>industrie!J18</f>
        <v>81.82292094715821</v>
      </c>
      <c r="L13" s="931">
        <f>industrie!K18</f>
        <v>0</v>
      </c>
      <c r="M13" s="931">
        <f>industrie!L18</f>
        <v>0</v>
      </c>
      <c r="N13" s="931">
        <f>industrie!M18</f>
        <v>0</v>
      </c>
      <c r="O13" s="931">
        <f>industrie!N18</f>
        <v>3437.515520138772</v>
      </c>
      <c r="P13" s="931">
        <f>industrie!O18</f>
        <v>0</v>
      </c>
      <c r="Q13" s="932">
        <f>industrie!P18</f>
        <v>0</v>
      </c>
      <c r="R13" s="628">
        <f>SUM(C13:Q13)</f>
        <v>194594.32956537549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115045.93213237223</v>
      </c>
      <c r="D16" s="660">
        <f t="shared" ref="D16:R16" ca="1" si="0">SUM(D9:D15)</f>
        <v>35.357142857142861</v>
      </c>
      <c r="E16" s="660">
        <f t="shared" ca="1" si="0"/>
        <v>291224.72460309172</v>
      </c>
      <c r="F16" s="660">
        <f t="shared" si="0"/>
        <v>4020.2494958472917</v>
      </c>
      <c r="G16" s="660">
        <f t="shared" ca="1" si="0"/>
        <v>69810.271455604758</v>
      </c>
      <c r="H16" s="660">
        <f t="shared" si="0"/>
        <v>0</v>
      </c>
      <c r="I16" s="660">
        <f t="shared" si="0"/>
        <v>0</v>
      </c>
      <c r="J16" s="660">
        <f t="shared" si="0"/>
        <v>0</v>
      </c>
      <c r="K16" s="660">
        <f t="shared" si="0"/>
        <v>362.55342832245185</v>
      </c>
      <c r="L16" s="660">
        <f t="shared" si="0"/>
        <v>0</v>
      </c>
      <c r="M16" s="660">
        <f t="shared" ca="1" si="0"/>
        <v>0</v>
      </c>
      <c r="N16" s="660">
        <f t="shared" si="0"/>
        <v>0</v>
      </c>
      <c r="O16" s="660">
        <f t="shared" ca="1" si="0"/>
        <v>20301.873563750065</v>
      </c>
      <c r="P16" s="660">
        <f t="shared" si="0"/>
        <v>397.0866666666667</v>
      </c>
      <c r="Q16" s="660">
        <f t="shared" si="0"/>
        <v>972.4</v>
      </c>
      <c r="R16" s="660">
        <f t="shared" ca="1" si="0"/>
        <v>502170.44848851231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23.716389477928324</v>
      </c>
      <c r="D19" s="931">
        <f>transport!C54</f>
        <v>0</v>
      </c>
      <c r="E19" s="931">
        <f>transport!D54</f>
        <v>0</v>
      </c>
      <c r="F19" s="931">
        <f>transport!E54</f>
        <v>0</v>
      </c>
      <c r="G19" s="931">
        <f>transport!F54</f>
        <v>0</v>
      </c>
      <c r="H19" s="931">
        <f>transport!G54</f>
        <v>2227.9194262228079</v>
      </c>
      <c r="I19" s="931">
        <f>transport!H54</f>
        <v>0</v>
      </c>
      <c r="J19" s="931">
        <f>transport!I54</f>
        <v>0</v>
      </c>
      <c r="K19" s="931">
        <f>transport!J54</f>
        <v>0</v>
      </c>
      <c r="L19" s="931">
        <f>transport!K54</f>
        <v>0</v>
      </c>
      <c r="M19" s="931">
        <f>transport!L54</f>
        <v>0</v>
      </c>
      <c r="N19" s="931">
        <f>transport!M54</f>
        <v>128.2991904625313</v>
      </c>
      <c r="O19" s="931">
        <f>transport!N54</f>
        <v>0</v>
      </c>
      <c r="P19" s="931">
        <f>transport!O54</f>
        <v>0</v>
      </c>
      <c r="Q19" s="932">
        <f>transport!P54</f>
        <v>0</v>
      </c>
      <c r="R19" s="628">
        <f>SUM(C19:Q19)</f>
        <v>2379.9350061632676</v>
      </c>
      <c r="S19" s="67"/>
    </row>
    <row r="20" spans="1:19" s="437" customFormat="1">
      <c r="A20" s="736" t="s">
        <v>295</v>
      </c>
      <c r="B20" s="741"/>
      <c r="C20" s="931">
        <f>transport!B14</f>
        <v>96.32803514809595</v>
      </c>
      <c r="D20" s="931">
        <f>transport!C14</f>
        <v>0</v>
      </c>
      <c r="E20" s="931">
        <f>transport!D14</f>
        <v>173.1386365890225</v>
      </c>
      <c r="F20" s="931">
        <f>transport!E14</f>
        <v>296.76757646901075</v>
      </c>
      <c r="G20" s="931">
        <f>transport!F14</f>
        <v>0</v>
      </c>
      <c r="H20" s="931">
        <f>transport!G14</f>
        <v>112990.49497276492</v>
      </c>
      <c r="I20" s="931">
        <f>transport!H14</f>
        <v>29806.268496435066</v>
      </c>
      <c r="J20" s="931">
        <f>transport!I14</f>
        <v>0</v>
      </c>
      <c r="K20" s="931">
        <f>transport!J14</f>
        <v>0</v>
      </c>
      <c r="L20" s="931">
        <f>transport!K14</f>
        <v>0</v>
      </c>
      <c r="M20" s="931">
        <f>transport!L14</f>
        <v>0</v>
      </c>
      <c r="N20" s="931">
        <f>transport!M14</f>
        <v>7479.0342655477671</v>
      </c>
      <c r="O20" s="931">
        <f>transport!N14</f>
        <v>0</v>
      </c>
      <c r="P20" s="931">
        <f>transport!O14</f>
        <v>0</v>
      </c>
      <c r="Q20" s="932">
        <f>transport!P14</f>
        <v>0</v>
      </c>
      <c r="R20" s="628">
        <f>SUM(C20:Q20)</f>
        <v>150842.03198295389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120.04442462602427</v>
      </c>
      <c r="D22" s="739">
        <f t="shared" ref="D22:R22" si="1">SUM(D18:D21)</f>
        <v>0</v>
      </c>
      <c r="E22" s="739">
        <f t="shared" si="1"/>
        <v>173.1386365890225</v>
      </c>
      <c r="F22" s="739">
        <f t="shared" si="1"/>
        <v>296.76757646901075</v>
      </c>
      <c r="G22" s="739">
        <f t="shared" si="1"/>
        <v>0</v>
      </c>
      <c r="H22" s="739">
        <f t="shared" si="1"/>
        <v>115218.41439898773</v>
      </c>
      <c r="I22" s="739">
        <f t="shared" si="1"/>
        <v>29806.268496435066</v>
      </c>
      <c r="J22" s="739">
        <f t="shared" si="1"/>
        <v>0</v>
      </c>
      <c r="K22" s="739">
        <f t="shared" si="1"/>
        <v>0</v>
      </c>
      <c r="L22" s="739">
        <f t="shared" si="1"/>
        <v>0</v>
      </c>
      <c r="M22" s="739">
        <f t="shared" si="1"/>
        <v>0</v>
      </c>
      <c r="N22" s="739">
        <f t="shared" si="1"/>
        <v>7607.3334560102985</v>
      </c>
      <c r="O22" s="739">
        <f t="shared" si="1"/>
        <v>0</v>
      </c>
      <c r="P22" s="739">
        <f t="shared" si="1"/>
        <v>0</v>
      </c>
      <c r="Q22" s="739">
        <f t="shared" si="1"/>
        <v>0</v>
      </c>
      <c r="R22" s="739">
        <f t="shared" si="1"/>
        <v>153221.96698911715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1388.9853500000002</v>
      </c>
      <c r="D24" s="931">
        <f>+landbouw!C8</f>
        <v>0</v>
      </c>
      <c r="E24" s="931">
        <f>+landbouw!D8</f>
        <v>2557.2871165820002</v>
      </c>
      <c r="F24" s="931">
        <f>+landbouw!E8</f>
        <v>45.077140569637841</v>
      </c>
      <c r="G24" s="931">
        <f>+landbouw!F8</f>
        <v>5124.2364845129368</v>
      </c>
      <c r="H24" s="931">
        <f>+landbouw!G8</f>
        <v>0</v>
      </c>
      <c r="I24" s="931">
        <f>+landbouw!H8</f>
        <v>0</v>
      </c>
      <c r="J24" s="931">
        <f>+landbouw!I8</f>
        <v>0</v>
      </c>
      <c r="K24" s="931">
        <f>+landbouw!J8</f>
        <v>365.28878678273691</v>
      </c>
      <c r="L24" s="931">
        <f>+landbouw!K8</f>
        <v>0</v>
      </c>
      <c r="M24" s="931">
        <f>+landbouw!L8</f>
        <v>0</v>
      </c>
      <c r="N24" s="931">
        <f>+landbouw!M8</f>
        <v>0</v>
      </c>
      <c r="O24" s="931">
        <f>+landbouw!N8</f>
        <v>0</v>
      </c>
      <c r="P24" s="931">
        <f>+landbouw!O8</f>
        <v>0</v>
      </c>
      <c r="Q24" s="932">
        <f>+landbouw!P8</f>
        <v>0</v>
      </c>
      <c r="R24" s="628">
        <f>SUM(C24:Q24)</f>
        <v>9480.8748784473137</v>
      </c>
      <c r="S24" s="67"/>
    </row>
    <row r="25" spans="1:19" s="437" customFormat="1" ht="15" thickBot="1">
      <c r="A25" s="758" t="s">
        <v>775</v>
      </c>
      <c r="B25" s="934"/>
      <c r="C25" s="935">
        <f>IF(Onbekend_ele_kWh="---",0,Onbekend_ele_kWh)/1000+IF(REST_rest_ele_kWh="---",0,REST_rest_ele_kWh)/1000</f>
        <v>1900.194976</v>
      </c>
      <c r="D25" s="935"/>
      <c r="E25" s="935">
        <f>IF(onbekend_gas_kWh="---",0,onbekend_gas_kWh)/1000+IF(REST_rest_gas_kWh="---",0,REST_rest_gas_kWh)/1000</f>
        <v>7408.6405480000003</v>
      </c>
      <c r="F25" s="935"/>
      <c r="G25" s="935"/>
      <c r="H25" s="935"/>
      <c r="I25" s="935"/>
      <c r="J25" s="935"/>
      <c r="K25" s="935"/>
      <c r="L25" s="935"/>
      <c r="M25" s="935"/>
      <c r="N25" s="935"/>
      <c r="O25" s="935"/>
      <c r="P25" s="935"/>
      <c r="Q25" s="936"/>
      <c r="R25" s="628">
        <f>SUM(C25:Q25)</f>
        <v>9308.8355240000001</v>
      </c>
      <c r="S25" s="67"/>
    </row>
    <row r="26" spans="1:19" s="437" customFormat="1" ht="15.75" thickBot="1">
      <c r="A26" s="633" t="s">
        <v>776</v>
      </c>
      <c r="B26" s="744"/>
      <c r="C26" s="739">
        <f>SUM(C24:C25)</f>
        <v>3289.1803260000002</v>
      </c>
      <c r="D26" s="739">
        <f t="shared" ref="D26:R26" si="2">SUM(D24:D25)</f>
        <v>0</v>
      </c>
      <c r="E26" s="739">
        <f t="shared" si="2"/>
        <v>9965.9276645820009</v>
      </c>
      <c r="F26" s="739">
        <f t="shared" si="2"/>
        <v>45.077140569637841</v>
      </c>
      <c r="G26" s="739">
        <f t="shared" si="2"/>
        <v>5124.2364845129368</v>
      </c>
      <c r="H26" s="739">
        <f t="shared" si="2"/>
        <v>0</v>
      </c>
      <c r="I26" s="739">
        <f t="shared" si="2"/>
        <v>0</v>
      </c>
      <c r="J26" s="739">
        <f t="shared" si="2"/>
        <v>0</v>
      </c>
      <c r="K26" s="739">
        <f t="shared" si="2"/>
        <v>365.28878678273691</v>
      </c>
      <c r="L26" s="739">
        <f t="shared" si="2"/>
        <v>0</v>
      </c>
      <c r="M26" s="739">
        <f t="shared" si="2"/>
        <v>0</v>
      </c>
      <c r="N26" s="739">
        <f t="shared" si="2"/>
        <v>0</v>
      </c>
      <c r="O26" s="739">
        <f t="shared" si="2"/>
        <v>0</v>
      </c>
      <c r="P26" s="739">
        <f t="shared" si="2"/>
        <v>0</v>
      </c>
      <c r="Q26" s="739">
        <f t="shared" si="2"/>
        <v>0</v>
      </c>
      <c r="R26" s="739">
        <f t="shared" si="2"/>
        <v>18789.710402447316</v>
      </c>
      <c r="S26" s="67"/>
    </row>
    <row r="27" spans="1:19" s="437" customFormat="1" ht="17.25" thickTop="1" thickBot="1">
      <c r="A27" s="634" t="s">
        <v>109</v>
      </c>
      <c r="B27" s="732"/>
      <c r="C27" s="635">
        <f ca="1">C22+C16+C26</f>
        <v>118455.15688299826</v>
      </c>
      <c r="D27" s="635">
        <f t="shared" ref="D27:R27" ca="1" si="3">D22+D16+D26</f>
        <v>35.357142857142861</v>
      </c>
      <c r="E27" s="635">
        <f t="shared" ca="1" si="3"/>
        <v>301363.79090426274</v>
      </c>
      <c r="F27" s="635">
        <f t="shared" si="3"/>
        <v>4362.0942128859406</v>
      </c>
      <c r="G27" s="635">
        <f t="shared" ca="1" si="3"/>
        <v>74934.507940117692</v>
      </c>
      <c r="H27" s="635">
        <f t="shared" si="3"/>
        <v>115218.41439898773</v>
      </c>
      <c r="I27" s="635">
        <f t="shared" si="3"/>
        <v>29806.268496435066</v>
      </c>
      <c r="J27" s="635">
        <f t="shared" si="3"/>
        <v>0</v>
      </c>
      <c r="K27" s="635">
        <f t="shared" si="3"/>
        <v>727.84221510518876</v>
      </c>
      <c r="L27" s="635">
        <f t="shared" si="3"/>
        <v>0</v>
      </c>
      <c r="M27" s="635">
        <f t="shared" ca="1" si="3"/>
        <v>0</v>
      </c>
      <c r="N27" s="635">
        <f t="shared" si="3"/>
        <v>7607.3334560102985</v>
      </c>
      <c r="O27" s="635">
        <f t="shared" ca="1" si="3"/>
        <v>20301.873563750065</v>
      </c>
      <c r="P27" s="635">
        <f t="shared" si="3"/>
        <v>397.0866666666667</v>
      </c>
      <c r="Q27" s="635">
        <f t="shared" si="3"/>
        <v>972.4</v>
      </c>
      <c r="R27" s="635">
        <f t="shared" ca="1" si="3"/>
        <v>674182.12588007678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5587.7883227313087</v>
      </c>
      <c r="D40" s="931">
        <f ca="1">tertiair!C20</f>
        <v>8.4025210084033635</v>
      </c>
      <c r="E40" s="931">
        <f ca="1">tertiair!D20</f>
        <v>7370.3124265744673</v>
      </c>
      <c r="F40" s="931">
        <f>tertiair!E20</f>
        <v>88.705649160845567</v>
      </c>
      <c r="G40" s="931">
        <f ca="1">tertiair!F20</f>
        <v>1329.4314035064178</v>
      </c>
      <c r="H40" s="931">
        <f>tertiair!G20</f>
        <v>0</v>
      </c>
      <c r="I40" s="931">
        <f>tertiair!H20</f>
        <v>0</v>
      </c>
      <c r="J40" s="931">
        <f>tertiair!I20</f>
        <v>0</v>
      </c>
      <c r="K40" s="931">
        <f>tertiair!J20</f>
        <v>1.2852032584515709E-2</v>
      </c>
      <c r="L40" s="931">
        <f>tertiair!K20</f>
        <v>0</v>
      </c>
      <c r="M40" s="931">
        <f ca="1">tertiair!L20</f>
        <v>0</v>
      </c>
      <c r="N40" s="931">
        <f>tertiair!M20</f>
        <v>0</v>
      </c>
      <c r="O40" s="931">
        <f ca="1">tertiair!N20</f>
        <v>0</v>
      </c>
      <c r="P40" s="931">
        <f>tertiair!O20</f>
        <v>0</v>
      </c>
      <c r="Q40" s="702">
        <f>tertiair!P20</f>
        <v>0</v>
      </c>
      <c r="R40" s="777">
        <f t="shared" ca="1" si="4"/>
        <v>14384.653175014029</v>
      </c>
    </row>
    <row r="41" spans="1:18">
      <c r="A41" s="749" t="s">
        <v>213</v>
      </c>
      <c r="B41" s="756"/>
      <c r="C41" s="931">
        <f ca="1">huishoudens!B12</f>
        <v>8139.8282834312913</v>
      </c>
      <c r="D41" s="931">
        <f ca="1">huishoudens!C12</f>
        <v>0</v>
      </c>
      <c r="E41" s="931">
        <f>huishoudens!D12</f>
        <v>22513.743547152004</v>
      </c>
      <c r="F41" s="931">
        <f>huishoudens!E12</f>
        <v>534.89896640580423</v>
      </c>
      <c r="G41" s="931">
        <f>huishoudens!F12</f>
        <v>14583.306970427555</v>
      </c>
      <c r="H41" s="931">
        <f>huishoudens!G12</f>
        <v>0</v>
      </c>
      <c r="I41" s="931">
        <f>huishoudens!H12</f>
        <v>0</v>
      </c>
      <c r="J41" s="931">
        <f>huishoudens!I12</f>
        <v>0</v>
      </c>
      <c r="K41" s="931">
        <f>huishoudens!J12</f>
        <v>99.365747578269421</v>
      </c>
      <c r="L41" s="931">
        <f>huishoudens!K12</f>
        <v>0</v>
      </c>
      <c r="M41" s="931">
        <f>huishoudens!L12</f>
        <v>0</v>
      </c>
      <c r="N41" s="931">
        <f>huishoudens!M12</f>
        <v>0</v>
      </c>
      <c r="O41" s="931">
        <f>huishoudens!N12</f>
        <v>0</v>
      </c>
      <c r="P41" s="931">
        <f>huishoudens!O12</f>
        <v>0</v>
      </c>
      <c r="Q41" s="702">
        <f>huishoudens!P12</f>
        <v>0</v>
      </c>
      <c r="R41" s="777">
        <f t="shared" ca="1" si="4"/>
        <v>45871.143514994925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6329.6440739151049</v>
      </c>
      <c r="D43" s="931">
        <f ca="1">industrie!C22</f>
        <v>0</v>
      </c>
      <c r="E43" s="931">
        <f>industrie!D22</f>
        <v>28943.338396098061</v>
      </c>
      <c r="F43" s="931">
        <f>industrie!E22</f>
        <v>288.99201999068538</v>
      </c>
      <c r="G43" s="931">
        <f>industrie!F22</f>
        <v>2726.6041047125004</v>
      </c>
      <c r="H43" s="931">
        <f>industrie!G22</f>
        <v>0</v>
      </c>
      <c r="I43" s="931">
        <f>industrie!H22</f>
        <v>0</v>
      </c>
      <c r="J43" s="931">
        <f>industrie!I22</f>
        <v>0</v>
      </c>
      <c r="K43" s="931">
        <f>industrie!J22</f>
        <v>28.965314015294005</v>
      </c>
      <c r="L43" s="931">
        <f>industrie!K22</f>
        <v>0</v>
      </c>
      <c r="M43" s="931">
        <f>industrie!L22</f>
        <v>0</v>
      </c>
      <c r="N43" s="931">
        <f>industrie!M22</f>
        <v>0</v>
      </c>
      <c r="O43" s="931">
        <f>industrie!N22</f>
        <v>0</v>
      </c>
      <c r="P43" s="931">
        <f>industrie!O22</f>
        <v>0</v>
      </c>
      <c r="Q43" s="702">
        <f>industrie!P22</f>
        <v>0</v>
      </c>
      <c r="R43" s="776">
        <f t="shared" ca="1" si="4"/>
        <v>38317.543908731648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20057.260680077703</v>
      </c>
      <c r="D46" s="660">
        <f t="shared" ref="D46:Q46" ca="1" si="5">SUM(D39:D45)</f>
        <v>8.4025210084033635</v>
      </c>
      <c r="E46" s="660">
        <f t="shared" ca="1" si="5"/>
        <v>58827.394369824528</v>
      </c>
      <c r="F46" s="660">
        <f t="shared" si="5"/>
        <v>912.59663555733528</v>
      </c>
      <c r="G46" s="660">
        <f t="shared" ca="1" si="5"/>
        <v>18639.342478646475</v>
      </c>
      <c r="H46" s="660">
        <f t="shared" si="5"/>
        <v>0</v>
      </c>
      <c r="I46" s="660">
        <f t="shared" si="5"/>
        <v>0</v>
      </c>
      <c r="J46" s="660">
        <f t="shared" si="5"/>
        <v>0</v>
      </c>
      <c r="K46" s="660">
        <f t="shared" si="5"/>
        <v>128.34391362614795</v>
      </c>
      <c r="L46" s="660">
        <f t="shared" si="5"/>
        <v>0</v>
      </c>
      <c r="M46" s="660">
        <f t="shared" ca="1" si="5"/>
        <v>0</v>
      </c>
      <c r="N46" s="660">
        <f t="shared" si="5"/>
        <v>0</v>
      </c>
      <c r="O46" s="660">
        <f t="shared" ca="1" si="5"/>
        <v>0</v>
      </c>
      <c r="P46" s="660">
        <f t="shared" si="5"/>
        <v>0</v>
      </c>
      <c r="Q46" s="660">
        <f t="shared" si="5"/>
        <v>0</v>
      </c>
      <c r="R46" s="660">
        <f ca="1">SUM(R39:R45)</f>
        <v>98573.3405987406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4.1347468557318026</v>
      </c>
      <c r="D49" s="931">
        <f ca="1">transport!C58</f>
        <v>0</v>
      </c>
      <c r="E49" s="931">
        <f>transport!D58</f>
        <v>0</v>
      </c>
      <c r="F49" s="931">
        <f>transport!E58</f>
        <v>0</v>
      </c>
      <c r="G49" s="931">
        <f>transport!F58</f>
        <v>0</v>
      </c>
      <c r="H49" s="931">
        <f>transport!G58</f>
        <v>594.85448680148977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598.98923365722158</v>
      </c>
    </row>
    <row r="50" spans="1:18">
      <c r="A50" s="752" t="s">
        <v>295</v>
      </c>
      <c r="B50" s="762"/>
      <c r="C50" s="631">
        <f ca="1">transport!B18</f>
        <v>16.793957647646288</v>
      </c>
      <c r="D50" s="631">
        <f>transport!C18</f>
        <v>0</v>
      </c>
      <c r="E50" s="631">
        <f>transport!D18</f>
        <v>34.974004590982545</v>
      </c>
      <c r="F50" s="631">
        <f>transport!E18</f>
        <v>67.366239858465448</v>
      </c>
      <c r="G50" s="631">
        <f>transport!F18</f>
        <v>0</v>
      </c>
      <c r="H50" s="631">
        <f>transport!G18</f>
        <v>30168.462157728234</v>
      </c>
      <c r="I50" s="631">
        <f>transport!H18</f>
        <v>7421.7608556123314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37709.35721543766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20.928704503378089</v>
      </c>
      <c r="D52" s="660">
        <f t="shared" ref="D52:Q52" ca="1" si="6">SUM(D48:D51)</f>
        <v>0</v>
      </c>
      <c r="E52" s="660">
        <f t="shared" si="6"/>
        <v>34.974004590982545</v>
      </c>
      <c r="F52" s="660">
        <f t="shared" si="6"/>
        <v>67.366239858465448</v>
      </c>
      <c r="G52" s="660">
        <f t="shared" si="6"/>
        <v>0</v>
      </c>
      <c r="H52" s="660">
        <f t="shared" si="6"/>
        <v>30763.316644529725</v>
      </c>
      <c r="I52" s="660">
        <f t="shared" si="6"/>
        <v>7421.7608556123314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38308.346449094883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242.15755159168981</v>
      </c>
      <c r="D54" s="631">
        <f ca="1">+landbouw!C12</f>
        <v>0</v>
      </c>
      <c r="E54" s="631">
        <f>+landbouw!D12</f>
        <v>516.57199754956412</v>
      </c>
      <c r="F54" s="631">
        <f>+landbouw!E12</f>
        <v>10.23251090930779</v>
      </c>
      <c r="G54" s="631">
        <f>+landbouw!F12</f>
        <v>1368.1711413649541</v>
      </c>
      <c r="H54" s="631">
        <f>+landbouw!G12</f>
        <v>0</v>
      </c>
      <c r="I54" s="631">
        <f>+landbouw!H12</f>
        <v>0</v>
      </c>
      <c r="J54" s="631">
        <f>+landbouw!I12</f>
        <v>0</v>
      </c>
      <c r="K54" s="631">
        <f>+landbouw!J12</f>
        <v>129.31223052108885</v>
      </c>
      <c r="L54" s="631">
        <f>+landbouw!K12</f>
        <v>0</v>
      </c>
      <c r="M54" s="631">
        <f>+landbouw!L12</f>
        <v>0</v>
      </c>
      <c r="N54" s="631">
        <f>+landbouw!M12</f>
        <v>0</v>
      </c>
      <c r="O54" s="631">
        <f>+landbouw!N12</f>
        <v>0</v>
      </c>
      <c r="P54" s="631">
        <f>+landbouw!O12</f>
        <v>0</v>
      </c>
      <c r="Q54" s="632">
        <f>+landbouw!P12</f>
        <v>0</v>
      </c>
      <c r="R54" s="659">
        <f ca="1">SUM(C54:Q54)</f>
        <v>2266.445431936605</v>
      </c>
    </row>
    <row r="55" spans="1:18" ht="15" thickBot="1">
      <c r="A55" s="752" t="s">
        <v>775</v>
      </c>
      <c r="B55" s="762"/>
      <c r="C55" s="631">
        <f ca="1">C25*'EF ele_warmte'!B12</f>
        <v>331.28251707981639</v>
      </c>
      <c r="D55" s="631"/>
      <c r="E55" s="631">
        <f>E25*EF_CO2_aardgas</f>
        <v>1496.5453906960001</v>
      </c>
      <c r="F55" s="631"/>
      <c r="G55" s="631"/>
      <c r="H55" s="631"/>
      <c r="I55" s="631"/>
      <c r="J55" s="631"/>
      <c r="K55" s="631"/>
      <c r="L55" s="631"/>
      <c r="M55" s="631"/>
      <c r="N55" s="631"/>
      <c r="O55" s="631"/>
      <c r="P55" s="631"/>
      <c r="Q55" s="632"/>
      <c r="R55" s="659">
        <f ca="1">SUM(C55:Q55)</f>
        <v>1827.8279077758166</v>
      </c>
    </row>
    <row r="56" spans="1:18" ht="15.75" thickBot="1">
      <c r="A56" s="750" t="s">
        <v>776</v>
      </c>
      <c r="B56" s="763"/>
      <c r="C56" s="660">
        <f ca="1">SUM(C54:C55)</f>
        <v>573.4400686715062</v>
      </c>
      <c r="D56" s="660">
        <f t="shared" ref="D56:Q56" ca="1" si="7">SUM(D54:D55)</f>
        <v>0</v>
      </c>
      <c r="E56" s="660">
        <f t="shared" si="7"/>
        <v>2013.1173882455641</v>
      </c>
      <c r="F56" s="660">
        <f t="shared" si="7"/>
        <v>10.23251090930779</v>
      </c>
      <c r="G56" s="660">
        <f t="shared" si="7"/>
        <v>1368.1711413649541</v>
      </c>
      <c r="H56" s="660">
        <f t="shared" si="7"/>
        <v>0</v>
      </c>
      <c r="I56" s="660">
        <f t="shared" si="7"/>
        <v>0</v>
      </c>
      <c r="J56" s="660">
        <f t="shared" si="7"/>
        <v>0</v>
      </c>
      <c r="K56" s="660">
        <f t="shared" si="7"/>
        <v>129.31223052108885</v>
      </c>
      <c r="L56" s="660">
        <f t="shared" si="7"/>
        <v>0</v>
      </c>
      <c r="M56" s="660">
        <f t="shared" si="7"/>
        <v>0</v>
      </c>
      <c r="N56" s="660">
        <f t="shared" si="7"/>
        <v>0</v>
      </c>
      <c r="O56" s="660">
        <f t="shared" si="7"/>
        <v>0</v>
      </c>
      <c r="P56" s="660">
        <f t="shared" si="7"/>
        <v>0</v>
      </c>
      <c r="Q56" s="661">
        <f t="shared" si="7"/>
        <v>0</v>
      </c>
      <c r="R56" s="662">
        <f ca="1">SUM(R54:R55)</f>
        <v>4094.2733397124216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20651.629453252586</v>
      </c>
      <c r="D61" s="668">
        <f t="shared" ref="D61:Q61" ca="1" si="8">D46+D52+D56</f>
        <v>8.4025210084033635</v>
      </c>
      <c r="E61" s="668">
        <f t="shared" ca="1" si="8"/>
        <v>60875.485762661076</v>
      </c>
      <c r="F61" s="668">
        <f t="shared" si="8"/>
        <v>990.19538632510842</v>
      </c>
      <c r="G61" s="668">
        <f t="shared" ca="1" si="8"/>
        <v>20007.513620011428</v>
      </c>
      <c r="H61" s="668">
        <f t="shared" si="8"/>
        <v>30763.316644529725</v>
      </c>
      <c r="I61" s="668">
        <f t="shared" si="8"/>
        <v>7421.7608556123314</v>
      </c>
      <c r="J61" s="668">
        <f t="shared" si="8"/>
        <v>0</v>
      </c>
      <c r="K61" s="668">
        <f t="shared" si="8"/>
        <v>257.65614414723677</v>
      </c>
      <c r="L61" s="668">
        <f t="shared" si="8"/>
        <v>0</v>
      </c>
      <c r="M61" s="668">
        <f t="shared" ca="1" si="8"/>
        <v>0</v>
      </c>
      <c r="N61" s="668">
        <f t="shared" si="8"/>
        <v>0</v>
      </c>
      <c r="O61" s="668">
        <f t="shared" ca="1" si="8"/>
        <v>0</v>
      </c>
      <c r="P61" s="668">
        <f t="shared" si="8"/>
        <v>0</v>
      </c>
      <c r="Q61" s="668">
        <f t="shared" si="8"/>
        <v>0</v>
      </c>
      <c r="R61" s="668">
        <f ca="1">R46+R52+R56</f>
        <v>140975.96038754791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0.17434132879204933</v>
      </c>
      <c r="D63" s="709">
        <f t="shared" ca="1" si="9"/>
        <v>0.23764705882352943</v>
      </c>
      <c r="E63" s="942">
        <f t="shared" ca="1" si="9"/>
        <v>0.20200000000000001</v>
      </c>
      <c r="F63" s="709">
        <f t="shared" si="9"/>
        <v>0.22699999999999998</v>
      </c>
      <c r="G63" s="709">
        <f t="shared" ca="1" si="9"/>
        <v>0.26700000000000007</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13779.58500203706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11231.14908210732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24.75</v>
      </c>
      <c r="D76" s="952">
        <f>'lokale energieproductie'!C8</f>
        <v>29.117647058823533</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5.8817647058823539</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25010.73408414438</v>
      </c>
      <c r="C78" s="683">
        <f>SUM(C72:C77)</f>
        <v>24.75</v>
      </c>
      <c r="D78" s="684">
        <f t="shared" ref="D78:H78" si="10">SUM(D76:D77)</f>
        <v>29.117647058823533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5.8817647058823539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35.357142857142861</v>
      </c>
      <c r="D87" s="705">
        <f>'lokale energieproductie'!C17</f>
        <v>41.596638655462193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8.4025210084033635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35.357142857142861</v>
      </c>
      <c r="D90" s="683">
        <f t="shared" ref="D90:H90" si="12">SUM(D87:D89)</f>
        <v>41.596638655462193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8.4025210084033635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46689.034320372222</v>
      </c>
      <c r="C4" s="441">
        <f>huishoudens!C8</f>
        <v>0</v>
      </c>
      <c r="D4" s="441">
        <f>huishoudens!D8</f>
        <v>111454.17597600001</v>
      </c>
      <c r="E4" s="441">
        <f>huishoudens!E8</f>
        <v>2356.3831119198426</v>
      </c>
      <c r="F4" s="441">
        <f>huishoudens!F8</f>
        <v>54619.127230065744</v>
      </c>
      <c r="G4" s="441">
        <f>huishoudens!G8</f>
        <v>0</v>
      </c>
      <c r="H4" s="441">
        <f>huishoudens!H8</f>
        <v>0</v>
      </c>
      <c r="I4" s="441">
        <f>huishoudens!I8</f>
        <v>0</v>
      </c>
      <c r="J4" s="441">
        <f>huishoudens!J8</f>
        <v>280.69420219850122</v>
      </c>
      <c r="K4" s="441">
        <f>huishoudens!K8</f>
        <v>0</v>
      </c>
      <c r="L4" s="441">
        <f>huishoudens!L8</f>
        <v>0</v>
      </c>
      <c r="M4" s="441">
        <f>huishoudens!M8</f>
        <v>0</v>
      </c>
      <c r="N4" s="441">
        <f>huishoudens!N8</f>
        <v>15296.859584788152</v>
      </c>
      <c r="O4" s="441">
        <f>huishoudens!O8</f>
        <v>393.96000000000004</v>
      </c>
      <c r="P4" s="442">
        <f>huishoudens!P8</f>
        <v>972.4</v>
      </c>
      <c r="Q4" s="443">
        <f>SUM(B4:P4)</f>
        <v>232062.63442534444</v>
      </c>
    </row>
    <row r="5" spans="1:17">
      <c r="A5" s="440" t="s">
        <v>149</v>
      </c>
      <c r="B5" s="441">
        <f ca="1">tertiair!B16</f>
        <v>30326.574124999999</v>
      </c>
      <c r="C5" s="441">
        <f ca="1">tertiair!C16</f>
        <v>35.357142857142861</v>
      </c>
      <c r="D5" s="441">
        <f ca="1">tertiair!D16</f>
        <v>36486.695181061717</v>
      </c>
      <c r="E5" s="441">
        <f>tertiair!E16</f>
        <v>390.77378484953994</v>
      </c>
      <c r="F5" s="441">
        <f ca="1">tertiair!F16</f>
        <v>4979.1438333573697</v>
      </c>
      <c r="G5" s="441">
        <f>tertiair!G16</f>
        <v>0</v>
      </c>
      <c r="H5" s="441">
        <f>tertiair!H16</f>
        <v>0</v>
      </c>
      <c r="I5" s="441">
        <f>tertiair!I16</f>
        <v>0</v>
      </c>
      <c r="J5" s="441">
        <f>tertiair!J16</f>
        <v>3.6305176792417258E-2</v>
      </c>
      <c r="K5" s="441">
        <f>tertiair!K16</f>
        <v>0</v>
      </c>
      <c r="L5" s="441">
        <f ca="1">tertiair!L16</f>
        <v>0</v>
      </c>
      <c r="M5" s="441">
        <f>tertiair!M16</f>
        <v>0</v>
      </c>
      <c r="N5" s="441">
        <f ca="1">tertiair!N16</f>
        <v>1567.4984588231409</v>
      </c>
      <c r="O5" s="441">
        <f>tertiair!O16</f>
        <v>3.1266666666666669</v>
      </c>
      <c r="P5" s="442">
        <f>tertiair!P16</f>
        <v>0</v>
      </c>
      <c r="Q5" s="440">
        <f t="shared" ref="Q5:Q14" ca="1" si="0">SUM(B5:P5)</f>
        <v>73789.205497792384</v>
      </c>
    </row>
    <row r="6" spans="1:17">
      <c r="A6" s="440" t="s">
        <v>187</v>
      </c>
      <c r="B6" s="441">
        <f>'openbare verlichting'!B8</f>
        <v>1724.279</v>
      </c>
      <c r="C6" s="441"/>
      <c r="D6" s="441"/>
      <c r="E6" s="441"/>
      <c r="F6" s="441"/>
      <c r="G6" s="441"/>
      <c r="H6" s="441"/>
      <c r="I6" s="441"/>
      <c r="J6" s="441"/>
      <c r="K6" s="441"/>
      <c r="L6" s="441"/>
      <c r="M6" s="441"/>
      <c r="N6" s="441"/>
      <c r="O6" s="441"/>
      <c r="P6" s="442"/>
      <c r="Q6" s="440">
        <f t="shared" si="0"/>
        <v>1724.279</v>
      </c>
    </row>
    <row r="7" spans="1:17">
      <c r="A7" s="440" t="s">
        <v>105</v>
      </c>
      <c r="B7" s="441">
        <f>landbouw!B8</f>
        <v>1388.9853500000002</v>
      </c>
      <c r="C7" s="441">
        <f>landbouw!C8</f>
        <v>0</v>
      </c>
      <c r="D7" s="441">
        <f>landbouw!D8</f>
        <v>2557.2871165820002</v>
      </c>
      <c r="E7" s="441">
        <f>landbouw!E8</f>
        <v>45.077140569637841</v>
      </c>
      <c r="F7" s="441">
        <f>landbouw!F8</f>
        <v>5124.2364845129368</v>
      </c>
      <c r="G7" s="441">
        <f>landbouw!G8</f>
        <v>0</v>
      </c>
      <c r="H7" s="441">
        <f>landbouw!H8</f>
        <v>0</v>
      </c>
      <c r="I7" s="441">
        <f>landbouw!I8</f>
        <v>0</v>
      </c>
      <c r="J7" s="441">
        <f>landbouw!J8</f>
        <v>365.28878678273691</v>
      </c>
      <c r="K7" s="441">
        <f>landbouw!K8</f>
        <v>0</v>
      </c>
      <c r="L7" s="441">
        <f>landbouw!L8</f>
        <v>0</v>
      </c>
      <c r="M7" s="441">
        <f>landbouw!M8</f>
        <v>0</v>
      </c>
      <c r="N7" s="441">
        <f>landbouw!N8</f>
        <v>0</v>
      </c>
      <c r="O7" s="441">
        <f>landbouw!O8</f>
        <v>0</v>
      </c>
      <c r="P7" s="442">
        <f>landbouw!P8</f>
        <v>0</v>
      </c>
      <c r="Q7" s="440">
        <f t="shared" si="0"/>
        <v>9480.8748784473137</v>
      </c>
    </row>
    <row r="8" spans="1:17">
      <c r="A8" s="440" t="s">
        <v>596</v>
      </c>
      <c r="B8" s="441">
        <f>industrie!B18</f>
        <v>36306.044687000001</v>
      </c>
      <c r="C8" s="441">
        <f>industrie!C18</f>
        <v>0</v>
      </c>
      <c r="D8" s="441">
        <f>industrie!D18</f>
        <v>143283.85344603</v>
      </c>
      <c r="E8" s="441">
        <f>industrie!E18</f>
        <v>1273.0925990779092</v>
      </c>
      <c r="F8" s="441">
        <f>industrie!F18</f>
        <v>10212.00039218165</v>
      </c>
      <c r="G8" s="441">
        <f>industrie!G18</f>
        <v>0</v>
      </c>
      <c r="H8" s="441">
        <f>industrie!H18</f>
        <v>0</v>
      </c>
      <c r="I8" s="441">
        <f>industrie!I18</f>
        <v>0</v>
      </c>
      <c r="J8" s="441">
        <f>industrie!J18</f>
        <v>81.82292094715821</v>
      </c>
      <c r="K8" s="441">
        <f>industrie!K18</f>
        <v>0</v>
      </c>
      <c r="L8" s="441">
        <f>industrie!L18</f>
        <v>0</v>
      </c>
      <c r="M8" s="441">
        <f>industrie!M18</f>
        <v>0</v>
      </c>
      <c r="N8" s="441">
        <f>industrie!N18</f>
        <v>3437.515520138772</v>
      </c>
      <c r="O8" s="441">
        <f>industrie!O18</f>
        <v>0</v>
      </c>
      <c r="P8" s="442">
        <f>industrie!P18</f>
        <v>0</v>
      </c>
      <c r="Q8" s="440">
        <f t="shared" si="0"/>
        <v>194594.32956537549</v>
      </c>
    </row>
    <row r="9" spans="1:17" s="446" customFormat="1">
      <c r="A9" s="444" t="s">
        <v>545</v>
      </c>
      <c r="B9" s="445">
        <f>transport!B14</f>
        <v>96.32803514809595</v>
      </c>
      <c r="C9" s="445">
        <f>transport!C14</f>
        <v>0</v>
      </c>
      <c r="D9" s="445">
        <f>transport!D14</f>
        <v>173.1386365890225</v>
      </c>
      <c r="E9" s="445">
        <f>transport!E14</f>
        <v>296.76757646901075</v>
      </c>
      <c r="F9" s="445">
        <f>transport!F14</f>
        <v>0</v>
      </c>
      <c r="G9" s="445">
        <f>transport!G14</f>
        <v>112990.49497276492</v>
      </c>
      <c r="H9" s="445">
        <f>transport!H14</f>
        <v>29806.268496435066</v>
      </c>
      <c r="I9" s="445">
        <f>transport!I14</f>
        <v>0</v>
      </c>
      <c r="J9" s="445">
        <f>transport!J14</f>
        <v>0</v>
      </c>
      <c r="K9" s="445">
        <f>transport!K14</f>
        <v>0</v>
      </c>
      <c r="L9" s="445">
        <f>transport!L14</f>
        <v>0</v>
      </c>
      <c r="M9" s="445">
        <f>transport!M14</f>
        <v>7479.0342655477671</v>
      </c>
      <c r="N9" s="445">
        <f>transport!N14</f>
        <v>0</v>
      </c>
      <c r="O9" s="445">
        <f>transport!O14</f>
        <v>0</v>
      </c>
      <c r="P9" s="445">
        <f>transport!P14</f>
        <v>0</v>
      </c>
      <c r="Q9" s="444">
        <f>SUM(B9:P9)</f>
        <v>150842.03198295389</v>
      </c>
    </row>
    <row r="10" spans="1:17">
      <c r="A10" s="440" t="s">
        <v>535</v>
      </c>
      <c r="B10" s="441">
        <f>transport!B54</f>
        <v>23.716389477928324</v>
      </c>
      <c r="C10" s="441">
        <f>transport!C54</f>
        <v>0</v>
      </c>
      <c r="D10" s="441">
        <f>transport!D54</f>
        <v>0</v>
      </c>
      <c r="E10" s="441">
        <f>transport!E54</f>
        <v>0</v>
      </c>
      <c r="F10" s="441">
        <f>transport!F54</f>
        <v>0</v>
      </c>
      <c r="G10" s="441">
        <f>transport!G54</f>
        <v>2227.9194262228079</v>
      </c>
      <c r="H10" s="441">
        <f>transport!H54</f>
        <v>0</v>
      </c>
      <c r="I10" s="441">
        <f>transport!I54</f>
        <v>0</v>
      </c>
      <c r="J10" s="441">
        <f>transport!J54</f>
        <v>0</v>
      </c>
      <c r="K10" s="441">
        <f>transport!K54</f>
        <v>0</v>
      </c>
      <c r="L10" s="441">
        <f>transport!L54</f>
        <v>0</v>
      </c>
      <c r="M10" s="441">
        <f>transport!M54</f>
        <v>128.2991904625313</v>
      </c>
      <c r="N10" s="441">
        <f>transport!N54</f>
        <v>0</v>
      </c>
      <c r="O10" s="441">
        <f>transport!O54</f>
        <v>0</v>
      </c>
      <c r="P10" s="442">
        <f>transport!P54</f>
        <v>0</v>
      </c>
      <c r="Q10" s="440">
        <f t="shared" si="0"/>
        <v>2379.9350061632676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1900.194976</v>
      </c>
      <c r="C14" s="448"/>
      <c r="D14" s="448">
        <f>'SEAP template'!E25</f>
        <v>7408.6405480000003</v>
      </c>
      <c r="E14" s="448"/>
      <c r="F14" s="448"/>
      <c r="G14" s="448"/>
      <c r="H14" s="448"/>
      <c r="I14" s="448"/>
      <c r="J14" s="448"/>
      <c r="K14" s="448"/>
      <c r="L14" s="448"/>
      <c r="M14" s="448"/>
      <c r="N14" s="448"/>
      <c r="O14" s="448"/>
      <c r="P14" s="449"/>
      <c r="Q14" s="440">
        <f t="shared" si="0"/>
        <v>9308.8355240000001</v>
      </c>
    </row>
    <row r="15" spans="1:17" s="450" customFormat="1">
      <c r="A15" s="957" t="s">
        <v>539</v>
      </c>
      <c r="B15" s="905">
        <f ca="1">SUM(B4:B14)</f>
        <v>118455.15688299824</v>
      </c>
      <c r="C15" s="905">
        <f t="shared" ref="C15:Q15" ca="1" si="1">SUM(C4:C14)</f>
        <v>35.357142857142861</v>
      </c>
      <c r="D15" s="905">
        <f t="shared" ca="1" si="1"/>
        <v>301363.7909042628</v>
      </c>
      <c r="E15" s="905">
        <f t="shared" si="1"/>
        <v>4362.0942128859406</v>
      </c>
      <c r="F15" s="905">
        <f t="shared" ca="1" si="1"/>
        <v>74934.507940117692</v>
      </c>
      <c r="G15" s="905">
        <f t="shared" si="1"/>
        <v>115218.41439898773</v>
      </c>
      <c r="H15" s="905">
        <f t="shared" si="1"/>
        <v>29806.268496435066</v>
      </c>
      <c r="I15" s="905">
        <f t="shared" si="1"/>
        <v>0</v>
      </c>
      <c r="J15" s="905">
        <f t="shared" si="1"/>
        <v>727.84221510518876</v>
      </c>
      <c r="K15" s="905">
        <f t="shared" si="1"/>
        <v>0</v>
      </c>
      <c r="L15" s="905">
        <f t="shared" ca="1" si="1"/>
        <v>0</v>
      </c>
      <c r="M15" s="905">
        <f t="shared" si="1"/>
        <v>7607.3334560102985</v>
      </c>
      <c r="N15" s="905">
        <f t="shared" ca="1" si="1"/>
        <v>20301.873563750065</v>
      </c>
      <c r="O15" s="905">
        <f t="shared" si="1"/>
        <v>397.0866666666667</v>
      </c>
      <c r="P15" s="905">
        <f t="shared" si="1"/>
        <v>972.4</v>
      </c>
      <c r="Q15" s="905">
        <f t="shared" ca="1" si="1"/>
        <v>674182.12588007678</v>
      </c>
    </row>
    <row r="17" spans="1:17">
      <c r="A17" s="451" t="s">
        <v>540</v>
      </c>
      <c r="B17" s="714">
        <f ca="1">huishoudens!B10</f>
        <v>0.17434132879204939</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8139.8282834312913</v>
      </c>
      <c r="C22" s="441">
        <f t="shared" ref="C22:C32" ca="1" si="3">C4*$C$17</f>
        <v>0</v>
      </c>
      <c r="D22" s="441">
        <f t="shared" ref="D22:D32" si="4">D4*$D$17</f>
        <v>22513.743547152004</v>
      </c>
      <c r="E22" s="441">
        <f t="shared" ref="E22:E32" si="5">E4*$E$17</f>
        <v>534.89896640580423</v>
      </c>
      <c r="F22" s="441">
        <f t="shared" ref="F22:F32" si="6">F4*$F$17</f>
        <v>14583.306970427555</v>
      </c>
      <c r="G22" s="441">
        <f t="shared" ref="G22:G32" si="7">G4*$G$17</f>
        <v>0</v>
      </c>
      <c r="H22" s="441">
        <f t="shared" ref="H22:H32" si="8">H4*$H$17</f>
        <v>0</v>
      </c>
      <c r="I22" s="441">
        <f t="shared" ref="I22:I32" si="9">I4*$I$17</f>
        <v>0</v>
      </c>
      <c r="J22" s="441">
        <f t="shared" ref="J22:J32" si="10">J4*$J$17</f>
        <v>99.365747578269421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45871.143514994925</v>
      </c>
    </row>
    <row r="23" spans="1:17">
      <c r="A23" s="440" t="s">
        <v>149</v>
      </c>
      <c r="B23" s="441">
        <f t="shared" ca="1" si="2"/>
        <v>5287.1752306630824</v>
      </c>
      <c r="C23" s="441">
        <f t="shared" ca="1" si="3"/>
        <v>8.4025210084033635</v>
      </c>
      <c r="D23" s="441">
        <f t="shared" ca="1" si="4"/>
        <v>7370.3124265744673</v>
      </c>
      <c r="E23" s="441">
        <f t="shared" si="5"/>
        <v>88.705649160845567</v>
      </c>
      <c r="F23" s="441">
        <f t="shared" ca="1" si="6"/>
        <v>1329.4314035064178</v>
      </c>
      <c r="G23" s="441">
        <f t="shared" si="7"/>
        <v>0</v>
      </c>
      <c r="H23" s="441">
        <f t="shared" si="8"/>
        <v>0</v>
      </c>
      <c r="I23" s="441">
        <f t="shared" si="9"/>
        <v>0</v>
      </c>
      <c r="J23" s="441">
        <f t="shared" si="10"/>
        <v>1.2852032584515709E-2</v>
      </c>
      <c r="K23" s="441">
        <f t="shared" si="11"/>
        <v>0</v>
      </c>
      <c r="L23" s="441">
        <f t="shared" ca="1" si="12"/>
        <v>0</v>
      </c>
      <c r="M23" s="441">
        <f t="shared" si="13"/>
        <v>0</v>
      </c>
      <c r="N23" s="441">
        <f t="shared" ca="1" si="14"/>
        <v>0</v>
      </c>
      <c r="O23" s="441">
        <f t="shared" si="15"/>
        <v>0</v>
      </c>
      <c r="P23" s="442">
        <f t="shared" si="16"/>
        <v>0</v>
      </c>
      <c r="Q23" s="440">
        <f t="shared" ref="Q23:Q32" ca="1" si="17">SUM(B23:P23)</f>
        <v>14084.040082945803</v>
      </c>
    </row>
    <row r="24" spans="1:17">
      <c r="A24" s="440" t="s">
        <v>187</v>
      </c>
      <c r="B24" s="441">
        <f t="shared" ca="1" si="2"/>
        <v>300.61309206822614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300.61309206822614</v>
      </c>
    </row>
    <row r="25" spans="1:17">
      <c r="A25" s="440" t="s">
        <v>105</v>
      </c>
      <c r="B25" s="441">
        <f t="shared" ca="1" si="2"/>
        <v>242.15755159168981</v>
      </c>
      <c r="C25" s="441">
        <f t="shared" ca="1" si="3"/>
        <v>0</v>
      </c>
      <c r="D25" s="441">
        <f t="shared" si="4"/>
        <v>516.57199754956412</v>
      </c>
      <c r="E25" s="441">
        <f t="shared" si="5"/>
        <v>10.23251090930779</v>
      </c>
      <c r="F25" s="441">
        <f t="shared" si="6"/>
        <v>1368.1711413649541</v>
      </c>
      <c r="G25" s="441">
        <f t="shared" si="7"/>
        <v>0</v>
      </c>
      <c r="H25" s="441">
        <f t="shared" si="8"/>
        <v>0</v>
      </c>
      <c r="I25" s="441">
        <f t="shared" si="9"/>
        <v>0</v>
      </c>
      <c r="J25" s="441">
        <f t="shared" si="10"/>
        <v>129.31223052108885</v>
      </c>
      <c r="K25" s="441">
        <f t="shared" si="11"/>
        <v>0</v>
      </c>
      <c r="L25" s="441">
        <f t="shared" si="12"/>
        <v>0</v>
      </c>
      <c r="M25" s="441">
        <f t="shared" si="13"/>
        <v>0</v>
      </c>
      <c r="N25" s="441">
        <f t="shared" si="14"/>
        <v>0</v>
      </c>
      <c r="O25" s="441">
        <f t="shared" si="15"/>
        <v>0</v>
      </c>
      <c r="P25" s="442">
        <f t="shared" si="16"/>
        <v>0</v>
      </c>
      <c r="Q25" s="440">
        <f t="shared" ca="1" si="17"/>
        <v>2266.445431936605</v>
      </c>
    </row>
    <row r="26" spans="1:17">
      <c r="A26" s="440" t="s">
        <v>596</v>
      </c>
      <c r="B26" s="441">
        <f t="shared" ca="1" si="2"/>
        <v>6329.6440739151049</v>
      </c>
      <c r="C26" s="441">
        <f t="shared" ca="1" si="3"/>
        <v>0</v>
      </c>
      <c r="D26" s="441">
        <f t="shared" si="4"/>
        <v>28943.338396098061</v>
      </c>
      <c r="E26" s="441">
        <f t="shared" si="5"/>
        <v>288.99201999068538</v>
      </c>
      <c r="F26" s="441">
        <f t="shared" si="6"/>
        <v>2726.6041047125004</v>
      </c>
      <c r="G26" s="441">
        <f t="shared" si="7"/>
        <v>0</v>
      </c>
      <c r="H26" s="441">
        <f t="shared" si="8"/>
        <v>0</v>
      </c>
      <c r="I26" s="441">
        <f t="shared" si="9"/>
        <v>0</v>
      </c>
      <c r="J26" s="441">
        <f t="shared" si="10"/>
        <v>28.965314015294005</v>
      </c>
      <c r="K26" s="441">
        <f t="shared" si="11"/>
        <v>0</v>
      </c>
      <c r="L26" s="441">
        <f t="shared" si="12"/>
        <v>0</v>
      </c>
      <c r="M26" s="441">
        <f t="shared" si="13"/>
        <v>0</v>
      </c>
      <c r="N26" s="441">
        <f t="shared" si="14"/>
        <v>0</v>
      </c>
      <c r="O26" s="441">
        <f t="shared" si="15"/>
        <v>0</v>
      </c>
      <c r="P26" s="442">
        <f t="shared" si="16"/>
        <v>0</v>
      </c>
      <c r="Q26" s="440">
        <f t="shared" ca="1" si="17"/>
        <v>38317.543908731648</v>
      </c>
    </row>
    <row r="27" spans="1:17" s="446" customFormat="1">
      <c r="A27" s="444" t="s">
        <v>545</v>
      </c>
      <c r="B27" s="708">
        <f t="shared" ca="1" si="2"/>
        <v>16.793957647646288</v>
      </c>
      <c r="C27" s="445">
        <f t="shared" ca="1" si="3"/>
        <v>0</v>
      </c>
      <c r="D27" s="445">
        <f t="shared" si="4"/>
        <v>34.974004590982545</v>
      </c>
      <c r="E27" s="445">
        <f t="shared" si="5"/>
        <v>67.366239858465448</v>
      </c>
      <c r="F27" s="445">
        <f t="shared" si="6"/>
        <v>0</v>
      </c>
      <c r="G27" s="445">
        <f t="shared" si="7"/>
        <v>30168.462157728234</v>
      </c>
      <c r="H27" s="445">
        <f t="shared" si="8"/>
        <v>7421.7608556123314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37709.35721543766</v>
      </c>
    </row>
    <row r="28" spans="1:17">
      <c r="A28" s="440" t="s">
        <v>535</v>
      </c>
      <c r="B28" s="441">
        <f t="shared" ca="1" si="2"/>
        <v>4.1347468557318026</v>
      </c>
      <c r="C28" s="441">
        <f t="shared" ca="1" si="3"/>
        <v>0</v>
      </c>
      <c r="D28" s="441">
        <f t="shared" si="4"/>
        <v>0</v>
      </c>
      <c r="E28" s="441">
        <f t="shared" si="5"/>
        <v>0</v>
      </c>
      <c r="F28" s="441">
        <f t="shared" si="6"/>
        <v>0</v>
      </c>
      <c r="G28" s="441">
        <f t="shared" si="7"/>
        <v>594.85448680148977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598.98923365722158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331.28251707981639</v>
      </c>
      <c r="C32" s="441">
        <f t="shared" ca="1" si="3"/>
        <v>0</v>
      </c>
      <c r="D32" s="441">
        <f t="shared" si="4"/>
        <v>1496.5453906960001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1827.8279077758166</v>
      </c>
    </row>
    <row r="33" spans="1:17" s="450" customFormat="1">
      <c r="A33" s="957" t="s">
        <v>539</v>
      </c>
      <c r="B33" s="905">
        <f ca="1">SUM(B22:B32)</f>
        <v>20651.62945325259</v>
      </c>
      <c r="C33" s="905">
        <f t="shared" ref="C33:Q33" ca="1" si="18">SUM(C22:C32)</f>
        <v>8.4025210084033635</v>
      </c>
      <c r="D33" s="905">
        <f t="shared" ca="1" si="18"/>
        <v>60875.485762661083</v>
      </c>
      <c r="E33" s="905">
        <f t="shared" si="18"/>
        <v>990.1953863251083</v>
      </c>
      <c r="F33" s="905">
        <f t="shared" ca="1" si="18"/>
        <v>20007.513620011428</v>
      </c>
      <c r="G33" s="905">
        <f t="shared" si="18"/>
        <v>30763.316644529725</v>
      </c>
      <c r="H33" s="905">
        <f t="shared" si="18"/>
        <v>7421.7608556123314</v>
      </c>
      <c r="I33" s="905">
        <f t="shared" si="18"/>
        <v>0</v>
      </c>
      <c r="J33" s="905">
        <f t="shared" si="18"/>
        <v>257.65614414723677</v>
      </c>
      <c r="K33" s="905">
        <f t="shared" si="18"/>
        <v>0</v>
      </c>
      <c r="L33" s="905">
        <f t="shared" ca="1" si="18"/>
        <v>0</v>
      </c>
      <c r="M33" s="905">
        <f t="shared" si="18"/>
        <v>0</v>
      </c>
      <c r="N33" s="905">
        <f t="shared" ca="1" si="18"/>
        <v>0</v>
      </c>
      <c r="O33" s="905">
        <f t="shared" si="18"/>
        <v>0</v>
      </c>
      <c r="P33" s="905">
        <f t="shared" si="18"/>
        <v>0</v>
      </c>
      <c r="Q33" s="905">
        <f t="shared" ca="1" si="18"/>
        <v>140975.96038754791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13779.58500203706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11231.14908210732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24.75</v>
      </c>
      <c r="D8" s="974">
        <f>'SEAP template'!D76</f>
        <v>29.117647058823533</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5.8817647058823539</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25010.73408414438</v>
      </c>
      <c r="C10" s="978">
        <f>SUM(C4:C9)</f>
        <v>24.75</v>
      </c>
      <c r="D10" s="978">
        <f t="shared" ref="D10:H10" si="0">SUM(D8:D9)</f>
        <v>29.117647058823533</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5.8817647058823539</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0.17434132879204939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35.357142857142861</v>
      </c>
      <c r="D17" s="975">
        <f>'SEAP template'!D87</f>
        <v>41.596638655462193</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8.4025210084033635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35.357142857142861</v>
      </c>
      <c r="D20" s="978">
        <f t="shared" ref="D20:H20" si="2">SUM(D17:D19)</f>
        <v>41.596638655462193</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8.4025210084033635</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0.17434132879204939</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2022-07-26T10:53:47Z</dcterms:modified>
</cp:coreProperties>
</file>