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EC3502F5-5002-404A-A970-5B7CCE9FBD40}"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Q36" i="18"/>
  <c r="R36" i="18"/>
  <c r="J9" i="18"/>
  <c r="J77" i="14"/>
  <c r="J9" i="61"/>
  <c r="U36" i="18"/>
  <c r="T36" i="18"/>
  <c r="I9" i="18"/>
  <c r="S36" i="18"/>
  <c r="E9" i="18"/>
  <c r="P36" i="18"/>
  <c r="C9" i="18"/>
  <c r="O36" i="18"/>
  <c r="N36" i="18"/>
  <c r="B9" i="18"/>
  <c r="M36" i="18"/>
  <c r="W32" i="18"/>
  <c r="V32" i="18"/>
  <c r="U32" i="18"/>
  <c r="T32" i="18"/>
  <c r="S32" i="18"/>
  <c r="R32" i="18"/>
  <c r="Q32" i="18"/>
  <c r="P32" i="18"/>
  <c r="O32" i="18"/>
  <c r="N32" i="18"/>
  <c r="M32" i="18"/>
  <c r="W31" i="18"/>
  <c r="V31" i="18"/>
  <c r="U31" i="18"/>
  <c r="T31" i="18"/>
  <c r="S31" i="18"/>
  <c r="F13" i="15"/>
  <c r="R31" i="18"/>
  <c r="Q31" i="18"/>
  <c r="P31" i="18"/>
  <c r="D13" i="15"/>
  <c r="O31" i="18"/>
  <c r="C13" i="15"/>
  <c r="N31" i="18"/>
  <c r="M31" i="18"/>
  <c r="W30" i="18"/>
  <c r="V30" i="18"/>
  <c r="U30" i="18"/>
  <c r="T30" i="18"/>
  <c r="S30" i="18"/>
  <c r="R30" i="18"/>
  <c r="Q30" i="18"/>
  <c r="P30" i="18"/>
  <c r="O30" i="18"/>
  <c r="N30" i="18"/>
  <c r="M30" i="18"/>
  <c r="W29" i="18"/>
  <c r="V29" i="18"/>
  <c r="U29" i="18"/>
  <c r="T29" i="18"/>
  <c r="S29" i="18"/>
  <c r="R29" i="18"/>
  <c r="Q29" i="18"/>
  <c r="P29" i="18"/>
  <c r="O29" i="18"/>
  <c r="N29" i="18"/>
  <c r="B45" i="18"/>
  <c r="M29"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45"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48" i="18"/>
  <c r="H8" i="18"/>
  <c r="E48" i="18"/>
  <c r="E8" i="18"/>
  <c r="G48" i="18"/>
  <c r="F48" i="18"/>
  <c r="H48" i="18"/>
  <c r="D48" i="18"/>
  <c r="C48" i="18"/>
  <c r="B48" i="18"/>
  <c r="C8" i="18"/>
  <c r="I49" i="18"/>
  <c r="H17" i="18"/>
  <c r="E49" i="18"/>
  <c r="E17" i="18"/>
  <c r="C49" i="18"/>
  <c r="B49" i="18"/>
  <c r="C17" i="18"/>
  <c r="H49" i="18"/>
  <c r="D49" i="18"/>
  <c r="G49" i="18"/>
  <c r="F49"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<sst xmlns="http://schemas.openxmlformats.org/spreadsheetml/2006/main" count="2402" uniqueCount="881">
  <si>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</si>
  <si>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</si>
  <si>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</si>
  <si>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</si>
  <si>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</si>
  <si>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</si>
  <si>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</si>
  <si>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</si>
  <si>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</si>
  <si>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</si>
  <si>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</si>
  <si>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</si>
  <si>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</si>
  <si>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</si>
  <si>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</si>
  <si>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</si>
  <si>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</si>
  <si>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</si>
  <si>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</si>
  <si>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</si>
  <si>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</si>
  <si>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</si>
  <si>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</si>
  <si>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</si>
  <si>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</si>
  <si>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</si>
  <si>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</si>
  <si>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</si>
  <si>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</si>
  <si>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</si>
  <si>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</si>
  <si>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</si>
  <si>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</si>
  <si>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</si>
  <si>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</si>
  <si>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</si>
  <si>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</si>
  <si>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</si>
  <si>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</si>
  <si>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</si>
  <si>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</si>
  <si>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</si>
  <si>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</si>
  <si>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</si>
  <si>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</si>
  <si>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</si>
  <si>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</si>
  <si>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</si>
  <si>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</si>
  <si>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</si>
  <si>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</si>
  <si>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</si>
  <si>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</si>
  <si>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</si>
  <si>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</si>
  <si>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</si>
  <si>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</si>
  <si>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</si>
  <si>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</si>
  <si>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</si>
  <si>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</si>
  <si>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</si>
  <si>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</si>
  <si>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</si>
  <si>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</si>
  <si>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</si>
  <si>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</si>
  <si>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</si>
  <si>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</si>
  <si>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</si>
  <si>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</si>
  <si>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</si>
  <si>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</si>
  <si>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</si>
  <si>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</si>
  <si>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</si>
  <si>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</si>
  <si>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</si>
  <si>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</si>
  <si>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</si>
  <si>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</si>
  <si>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</si>
  <si>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</si>
  <si>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</si>
  <si>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</si>
  <si>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</si>
  <si>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</si>
  <si>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</si>
  <si>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</si>
  <si>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</si>
  <si>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</si>
  <si>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</si>
  <si>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</si>
  <si>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</si>
  <si>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</si>
  <si>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</si>
  <si>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</si>
  <si>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</si>
  <si>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</si>
  <si>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</si>
  <si>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</si>
  <si>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</si>
  <si>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</si>
  <si>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</si>
  <si>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</si>
  <si>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</si>
  <si>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</si>
  <si>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</si>
  <si>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</si>
  <si>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</si>
  <si>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</si>
  <si>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</si>
  <si>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</si>
  <si>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</si>
  <si>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</si>
  <si>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</si>
  <si>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</si>
  <si>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</si>
  <si>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</si>
  <si>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</si>
  <si>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</si>
  <si>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</si>
  <si>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</si>
  <si>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</si>
  <si>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</si>
  <si>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</si>
  <si>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</si>
  <si>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</si>
  <si>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</si>
  <si>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</si>
  <si>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</si>
  <si>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</si>
  <si>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</si>
  <si>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</si>
  <si>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</si>
  <si>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</si>
  <si>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</si>
  <si>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</si>
  <si>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</si>
  <si>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</si>
  <si>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</si>
  <si>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</si>
  <si>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</si>
  <si>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</si>
  <si>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</si>
  <si>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</si>
  <si>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</si>
  <si>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</si>
  <si>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</si>
  <si>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</si>
  <si>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</si>
  <si>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</si>
  <si>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</si>
  <si>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</si>
  <si>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</si>
  <si>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</si>
  <si>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</si>
  <si>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</si>
  <si>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</si>
  <si>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</si>
  <si>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</si>
  <si>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</si>
  <si>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</si>
  <si>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</si>
  <si>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</si>
  <si>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</si>
  <si>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</si>
  <si>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</si>
  <si>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</si>
  <si>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</si>
  <si>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</si>
  <si>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</si>
  <si>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</si>
  <si>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</si>
  <si>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</si>
  <si>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</si>
  <si>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</si>
  <si>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</si>
  <si>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</si>
  <si>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</si>
  <si>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</si>
  <si>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</si>
  <si>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</si>
  <si>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</si>
  <si>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</si>
  <si>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</si>
  <si>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</si>
  <si>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</si>
  <si>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</si>
  <si>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</si>
  <si>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</si>
  <si>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</si>
  <si>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</si>
  <si>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</si>
  <si>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</si>
  <si>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</si>
  <si>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</si>
  <si>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</si>
  <si>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</si>
  <si>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</si>
  <si>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</si>
  <si>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</si>
  <si>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</si>
  <si>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</si>
  <si>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</si>
  <si>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</si>
  <si>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</si>
  <si>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</si>
  <si>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</si>
  <si>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</si>
  <si>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</si>
  <si>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</si>
  <si>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</si>
  <si>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</si>
  <si>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</si>
  <si>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</si>
  <si>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</si>
  <si>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</si>
  <si>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</si>
  <si>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</si>
  <si>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</si>
  <si>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</si>
  <si>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</si>
  <si>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</si>
  <si>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</si>
  <si>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</si>
  <si>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</si>
  <si>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</si>
  <si>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</si>
  <si>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</si>
  <si>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</si>
  <si>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</si>
  <si>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</si>
  <si>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</si>
  <si>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</si>
  <si>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</si>
  <si>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</si>
  <si>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</si>
  <si>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</si>
  <si>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</si>
  <si>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</si>
  <si>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</si>
  <si>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</si>
  <si>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</si>
  <si>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</si>
  <si>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</si>
  <si>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</si>
  <si>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</si>
  <si>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</si>
  <si>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</si>
  <si>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</si>
  <si>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</si>
  <si>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</si>
  <si>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</si>
  <si>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</si>
  <si>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</si>
  <si>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</si>
  <si>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</si>
  <si>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</si>
  <si>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</si>
  <si>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</si>
  <si>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</si>
  <si>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</si>
  <si>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</si>
  <si>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</si>
  <si>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</si>
  <si>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</si>
  <si>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</si>
  <si>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</si>
  <si>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</si>
  <si>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</si>
  <si>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</si>
  <si>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</si>
  <si>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</si>
  <si>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</si>
  <si>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</si>
  <si>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</si>
  <si>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</si>
  <si>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</si>
  <si>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</si>
  <si>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</si>
  <si>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</si>
  <si>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</si>
  <si>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</si>
  <si>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</si>
  <si>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</si>
  <si>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</si>
  <si>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</si>
  <si>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</si>
  <si>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</si>
  <si>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</si>
  <si>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</si>
  <si>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</si>
  <si>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</si>
  <si>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</si>
  <si>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</si>
  <si>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</si>
  <si>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</si>
  <si>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</si>
  <si>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</si>
  <si>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</si>
  <si>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</si>
  <si>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</si>
  <si>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</si>
  <si>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</si>
  <si>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</si>
  <si>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</si>
  <si>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</si>
  <si>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</si>
  <si>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</si>
  <si>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</si>
  <si>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</si>
  <si>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</si>
  <si>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</si>
  <si>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</si>
  <si>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</si>
  <si>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</si>
  <si>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</si>
  <si>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</si>
  <si>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</si>
  <si>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</si>
  <si>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</si>
  <si>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</si>
  <si>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</si>
  <si>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</si>
  <si>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</si>
  <si>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</si>
  <si>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</si>
  <si>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</si>
  <si>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</si>
  <si>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</si>
  <si>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</si>
  <si>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</si>
  <si>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</si>
  <si>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</si>
  <si>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</si>
  <si>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</si>
  <si>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</si>
  <si>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</si>
  <si>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</si>
  <si>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</si>
  <si>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</si>
  <si>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</si>
  <si>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</si>
  <si>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</si>
  <si>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</si>
  <si>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</si>
  <si>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</si>
  <si>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</si>
  <si>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</si>
  <si>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</si>
  <si>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</si>
  <si>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</si>
  <si>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</si>
  <si>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</si>
  <si>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</si>
  <si>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</si>
  <si>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</si>
  <si>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</si>
  <si>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</si>
  <si>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</si>
  <si>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</si>
  <si>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</si>
  <si>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</si>
  <si>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</si>
  <si>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</si>
  <si>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</si>
  <si>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</si>
  <si>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</si>
  <si>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</si>
  <si>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</si>
  <si>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</si>
  <si>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</si>
  <si>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</si>
  <si>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</si>
  <si>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</si>
  <si>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</si>
  <si>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</si>
  <si>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</si>
  <si>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</si>
  <si>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</si>
  <si>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</si>
  <si>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</si>
  <si>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</si>
  <si>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</si>
  <si>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</si>
  <si>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</si>
  <si>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</si>
  <si>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</si>
  <si>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</si>
  <si>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</si>
  <si>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</si>
  <si>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</si>
  <si>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</si>
  <si>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</si>
  <si>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</si>
  <si>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</si>
  <si>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</si>
  <si>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</si>
  <si>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</si>
  <si>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</si>
  <si>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</si>
  <si>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</si>
  <si>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</si>
  <si>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</si>
  <si>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</si>
  <si>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</si>
  <si>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</si>
  <si>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</si>
  <si>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</si>
  <si>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</si>
  <si>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</si>
  <si>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</si>
  <si>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</si>
  <si>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</si>
  <si>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</si>
  <si>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</si>
  <si>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</si>
  <si>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</si>
  <si>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</si>
  <si>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</si>
  <si>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</si>
  <si>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</si>
  <si>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</si>
  <si>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</si>
  <si>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</si>
  <si>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</si>
  <si>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</si>
  <si>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</si>
  <si>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</si>
  <si>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</si>
  <si>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</si>
  <si>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</si>
  <si>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</si>
  <si>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</si>
  <si>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</si>
  <si>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</si>
  <si>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</si>
  <si>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</si>
  <si>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</si>
  <si>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</si>
  <si>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</si>
  <si>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</si>
  <si>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</si>
  <si>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</si>
  <si>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</si>
  <si>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</si>
  <si>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</si>
  <si>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</si>
  <si>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</si>
  <si>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</si>
  <si>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</si>
  <si>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</si>
  <si>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</si>
  <si>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</si>
  <si>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</si>
  <si>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</si>
  <si>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</si>
  <si>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</si>
  <si>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</si>
  <si>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</si>
  <si>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</si>
  <si>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</si>
  <si>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</si>
  <si>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</si>
  <si>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</si>
  <si>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</si>
  <si>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</si>
  <si>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</si>
  <si>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</si>
  <si>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</si>
  <si>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</si>
  <si>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</si>
  <si>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</si>
  <si>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</si>
  <si>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</si>
  <si>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</si>
  <si>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</si>
  <si>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</si>
  <si>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</si>
  <si>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</si>
  <si>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</si>
  <si>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</si>
  <si>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</si>
  <si>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</si>
  <si>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</si>
  <si>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</si>
  <si>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</si>
  <si>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</si>
  <si>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</si>
  <si>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</si>
  <si>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</si>
  <si>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</si>
  <si>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</si>
  <si>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</si>
  <si>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</si>
  <si>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</si>
  <si>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</si>
  <si>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</si>
  <si>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</si>
  <si>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</si>
  <si>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</si>
  <si>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</si>
  <si>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</si>
  <si>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</si>
  <si>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</si>
  <si>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</si>
  <si>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</si>
  <si>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</si>
  <si>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</si>
  <si>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</si>
  <si>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</si>
  <si>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</si>
  <si>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</si>
  <si>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</si>
  <si>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</si>
  <si>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</si>
  <si>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</si>
  <si>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</si>
  <si>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</si>
  <si>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</si>
  <si>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</si>
  <si>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</si>
  <si>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</si>
  <si>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</si>
  <si>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</si>
  <si>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</si>
  <si>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</si>
  <si>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</si>
  <si>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</si>
  <si>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</si>
  <si>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</si>
  <si>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</si>
  <si>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</si>
  <si>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</si>
  <si>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</si>
  <si>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</si>
  <si>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</si>
  <si>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</si>
  <si>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</si>
  <si>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</si>
  <si>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</si>
  <si>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</si>
  <si>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</si>
  <si>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</si>
  <si>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</si>
  <si>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</si>
  <si>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</si>
  <si>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</si>
  <si>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</si>
  <si>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</si>
  <si>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</si>
  <si>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</si>
  <si>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</si>
  <si>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</si>
  <si>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</si>
  <si>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</si>
  <si>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</si>
  <si>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</si>
  <si>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</si>
  <si>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</si>
  <si>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</si>
  <si>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</si>
  <si>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</si>
  <si>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</si>
  <si>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</si>
  <si>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</si>
  <si>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</si>
  <si>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</si>
  <si>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</si>
  <si>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</si>
  <si>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</si>
  <si>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</si>
  <si>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</si>
  <si>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</si>
  <si>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</si>
  <si>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</si>
  <si>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</si>
  <si>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</si>
  <si>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</si>
  <si>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</si>
  <si>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</si>
  <si>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</si>
  <si>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</si>
  <si>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</si>
  <si>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</si>
  <si>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</si>
  <si>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</si>
  <si>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</si>
  <si>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</si>
  <si>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</si>
  <si>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</si>
  <si>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</si>
  <si>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</si>
  <si>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</si>
  <si>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</si>
  <si>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</si>
  <si>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</si>
  <si>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</si>
  <si>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</si>
  <si>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</si>
  <si>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</si>
  <si>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</si>
  <si>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</si>
  <si>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</si>
  <si>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</si>
  <si>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</si>
  <si>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</si>
  <si>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</si>
  <si>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</si>
  <si>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</si>
  <si>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</si>
  <si>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</si>
  <si>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</si>
  <si>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</si>
  <si>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</si>
  <si>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</si>
  <si>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</si>
  <si>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</si>
  <si>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</si>
  <si>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</si>
  <si>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</si>
  <si>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</si>
  <si>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</si>
  <si>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</si>
  <si>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</si>
  <si>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</si>
  <si>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</si>
  <si>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</si>
  <si>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</si>
  <si>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</si>
  <si>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</si>
  <si>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</si>
  <si>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</si>
  <si>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</si>
  <si>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</si>
  <si>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</si>
  <si>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</si>
  <si>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</si>
  <si>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</si>
  <si>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</si>
  <si>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</si>
  <si>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</si>
  <si>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</si>
  <si>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</si>
  <si>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</si>
  <si>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</si>
  <si>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</si>
  <si>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</si>
  <si>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</si>
  <si>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</si>
  <si>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</si>
  <si>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</si>
  <si>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</si>
  <si>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</si>
  <si>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</si>
  <si>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</si>
  <si>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</si>
  <si>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</si>
  <si>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</si>
  <si>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</si>
  <si>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</si>
  <si>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</si>
  <si>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</si>
  <si>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</si>
  <si>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</si>
  <si>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</si>
  <si>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</si>
  <si>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</si>
  <si>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</si>
  <si>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</si>
  <si>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</si>
  <si>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</si>
  <si>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</si>
  <si>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</si>
  <si>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</si>
  <si>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</si>
  <si>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</si>
  <si>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</si>
  <si>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</si>
  <si>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</si>
  <si>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</si>
  <si>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</si>
  <si>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</si>
  <si>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</si>
  <si>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</si>
  <si>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</si>
  <si>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</si>
  <si>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</si>
  <si>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</si>
  <si>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</si>
  <si>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</si>
  <si>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</si>
  <si>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</si>
  <si>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</si>
  <si>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</si>
  <si>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</si>
  <si>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</si>
  <si>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</si>
  <si>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</si>
  <si>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</si>
  <si>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</si>
  <si>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</si>
  <si>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</si>
  <si>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</si>
  <si>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</si>
  <si>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</si>
  <si>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</si>
  <si>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</si>
  <si>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</si>
  <si>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</si>
  <si>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</si>
  <si>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</si>
  <si>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</si>
  <si>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</si>
  <si>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</si>
  <si>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</si>
  <si>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</si>
  <si>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</si>
  <si>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</si>
  <si>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</si>
  <si>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</si>
  <si>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</si>
  <si>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</si>
  <si>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</si>
  <si>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</si>
  <si>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</si>
  <si>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</si>
  <si>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</si>
  <si>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</si>
  <si>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</si>
  <si>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</si>
  <si>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</si>
  <si>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</si>
  <si>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</si>
  <si>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</si>
  <si>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</si>
  <si>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</si>
  <si>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</si>
  <si>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</si>
  <si>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</si>
  <si>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</si>
  <si>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</si>
  <si>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</si>
  <si>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</si>
  <si>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</si>
  <si>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</si>
  <si>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</si>
  <si>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</si>
  <si>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</si>
  <si>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</si>
  <si>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</si>
  <si>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</si>
  <si>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</si>
  <si>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</si>
  <si>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</si>
  <si>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</si>
  <si>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</si>
  <si>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</si>
  <si>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</si>
  <si>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</si>
  <si>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</si>
  <si>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</si>
  <si>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</si>
  <si>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</si>
  <si>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</si>
  <si>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</si>
  <si>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</si>
  <si>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</si>
  <si>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</si>
  <si>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</si>
  <si>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</si>
  <si>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</si>
  <si>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</si>
  <si>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</si>
  <si>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</si>
  <si>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</si>
  <si>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</si>
  <si>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</si>
  <si>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</si>
  <si>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</si>
  <si>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</si>
  <si>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</si>
  <si>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</si>
  <si>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</si>
  <si>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</si>
  <si>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</si>
  <si>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</si>
  <si>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</si>
  <si>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</si>
  <si>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</si>
  <si>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</si>
  <si>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</si>
  <si>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</si>
  <si>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</si>
  <si>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</si>
  <si>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</si>
  <si>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</si>
  <si>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</si>
  <si>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</si>
  <si>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</si>
  <si>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</si>
  <si>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</si>
  <si>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</si>
  <si>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</si>
  <si>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</si>
  <si>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</si>
  <si>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</si>
  <si>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</si>
  <si>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</si>
  <si>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</si>
  <si>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</si>
  <si>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</si>
  <si>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</si>
  <si>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</si>
  <si>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</si>
  <si>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</si>
  <si>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</si>
  <si>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</si>
  <si>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</si>
  <si>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</si>
  <si>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</si>
  <si>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</si>
  <si>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</si>
  <si>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</si>
  <si>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</si>
  <si>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</si>
  <si>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</si>
  <si>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</si>
  <si>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</si>
  <si>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</si>
  <si>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</si>
  <si>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</si>
  <si>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</si>
  <si>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</si>
  <si>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</si>
  <si>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</si>
  <si>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</si>
  <si>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</si>
  <si>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</si>
  <si>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</si>
  <si>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</si>
  <si>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</si>
  <si>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</si>
  <si>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</si>
  <si>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</si>
  <si>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</si>
  <si>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</si>
  <si>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</si>
  <si>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</si>
  <si>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</si>
  <si>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</si>
  <si>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</si>
  <si>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</si>
  <si>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</si>
  <si>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</si>
  <si>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</si>
  <si>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</si>
  <si>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</si>
  <si>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</si>
  <si>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</si>
  <si>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</si>
  <si>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</si>
  <si>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</si>
  <si>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</si>
  <si>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</si>
  <si>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</si>
  <si>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</si>
  <si>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</si>
  <si>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</si>
  <si>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</si>
  <si>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</si>
  <si>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</si>
  <si>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</si>
  <si>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</si>
  <si>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72042</t>
  </si>
  <si>
    <t>OUDSBERGEN</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</si>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</sst>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EC64754-7901-4DD0-941B-7CC4C4BFB2B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192080.6386453904</c:v>
                </c:pt>
                <c:pt idx="1">
                  <c:v>61111.997662700363</c:v>
                </c:pt>
                <c:pt idx="2">
                  <c:v>1497.5930000000001</c:v>
                </c:pt>
                <c:pt idx="3">
                  <c:v>14087.079709385931</c:v>
                </c:pt>
                <c:pt idx="4">
                  <c:v>40007.041124875308</c:v>
                </c:pt>
                <c:pt idx="5">
                  <c:v>156122.50723726893</c:v>
                </c:pt>
                <c:pt idx="6">
                  <c:v>2987.7079992096055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192080.6386453904</c:v>
                </c:pt>
                <c:pt idx="1">
                  <c:v>61111.997662700363</c:v>
                </c:pt>
                <c:pt idx="2">
                  <c:v>1497.5930000000001</c:v>
                </c:pt>
                <c:pt idx="3">
                  <c:v>14087.079709385931</c:v>
                </c:pt>
                <c:pt idx="4">
                  <c:v>40007.041124875308</c:v>
                </c:pt>
                <c:pt idx="5">
                  <c:v>156122.50723726893</c:v>
                </c:pt>
                <c:pt idx="6">
                  <c:v>2987.7079992096055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39493.349811337466</c:v>
                </c:pt>
                <c:pt idx="2">
                  <c:v>11696.536886390066</c:v>
                </c:pt>
                <c:pt idx="3">
                  <c:v>260.73503283369638</c:v>
                </c:pt>
                <c:pt idx="4">
                  <c:v>3542.4648469526605</c:v>
                </c:pt>
                <c:pt idx="5">
                  <c:v>7573.4502469109257</c:v>
                </c:pt>
                <c:pt idx="6">
                  <c:v>39043.608860569657</c:v>
                </c:pt>
                <c:pt idx="7">
                  <c:v>751.9482732938842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39493.349811337466</c:v>
                </c:pt>
                <c:pt idx="2">
                  <c:v>11696.536886390066</c:v>
                </c:pt>
                <c:pt idx="3">
                  <c:v>260.73503283369638</c:v>
                </c:pt>
                <c:pt idx="4">
                  <c:v>3542.4648469526605</c:v>
                </c:pt>
                <c:pt idx="5">
                  <c:v>7573.4502469109257</c:v>
                </c:pt>
                <c:pt idx="6">
                  <c:v>39043.608860569657</c:v>
                </c:pt>
                <c:pt idx="7">
                  <c:v>751.9482732938842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72042</v>
      </c>
      <c r="B6" s="380"/>
      <c r="C6" s="381"/>
    </row>
    <row r="7" spans="1:7" s="378" customFormat="1" ht="15.75" customHeight="1">
      <c r="A7" s="382" t="str">
        <f>txtMunicipality</f>
        <v>OUDSBERGEN</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28409.579412999996</v>
      </c>
      <c r="D10" s="931">
        <f ca="1">tertiair!C16</f>
        <v>0</v>
      </c>
      <c r="E10" s="931">
        <f ca="1">tertiair!D16</f>
        <v>29328.711406631999</v>
      </c>
      <c r="F10" s="931">
        <f>tertiair!E16</f>
        <v>486.46243783032344</v>
      </c>
      <c r="G10" s="931">
        <f ca="1">tertiair!F16</f>
        <v>3656.3829723434533</v>
      </c>
      <c r="H10" s="931">
        <f>tertiair!G16</f>
        <v>0</v>
      </c>
      <c r="I10" s="931">
        <f>tertiair!H16</f>
        <v>0</v>
      </c>
      <c r="J10" s="931">
        <f>tertiair!I16</f>
        <v>0</v>
      </c>
      <c r="K10" s="931">
        <f>tertiair!J16</f>
        <v>1.5805726390782541E-2</v>
      </c>
      <c r="L10" s="931">
        <f>tertiair!K16</f>
        <v>0</v>
      </c>
      <c r="M10" s="931">
        <f ca="1">tertiair!L16</f>
        <v>0</v>
      </c>
      <c r="N10" s="931">
        <f>tertiair!M16</f>
        <v>0</v>
      </c>
      <c r="O10" s="931">
        <f ca="1">tertiair!N16</f>
        <v>684.05196050153006</v>
      </c>
      <c r="P10" s="931">
        <f>tertiair!O16</f>
        <v>6.2533333333333339</v>
      </c>
      <c r="Q10" s="932">
        <f>tertiair!P16</f>
        <v>38.133333333333333</v>
      </c>
      <c r="R10" s="628">
        <f ca="1">SUM(C10:Q10)</f>
        <v>62609.590662700357</v>
      </c>
      <c r="S10" s="67"/>
    </row>
    <row r="11" spans="1:19" s="437" customFormat="1">
      <c r="A11" s="736" t="s">
        <v>213</v>
      </c>
      <c r="B11" s="741"/>
      <c r="C11" s="931">
        <f>huishoudens!B8</f>
        <v>40045.667170708832</v>
      </c>
      <c r="D11" s="931">
        <f>huishoudens!C8</f>
        <v>0</v>
      </c>
      <c r="E11" s="931">
        <f>huishoudens!D8</f>
        <v>51775.824816319997</v>
      </c>
      <c r="F11" s="931">
        <f>huishoudens!E8</f>
        <v>3416.3055592628307</v>
      </c>
      <c r="G11" s="931">
        <f>huishoudens!F8</f>
        <v>79187.304922640644</v>
      </c>
      <c r="H11" s="931">
        <f>huishoudens!G8</f>
        <v>0</v>
      </c>
      <c r="I11" s="931">
        <f>huishoudens!H8</f>
        <v>0</v>
      </c>
      <c r="J11" s="931">
        <f>huishoudens!I8</f>
        <v>0</v>
      </c>
      <c r="K11" s="931">
        <f>huishoudens!J8</f>
        <v>406.95299443149509</v>
      </c>
      <c r="L11" s="931">
        <f>huishoudens!K8</f>
        <v>0</v>
      </c>
      <c r="M11" s="931">
        <f>huishoudens!L8</f>
        <v>0</v>
      </c>
      <c r="N11" s="931">
        <f>huishoudens!M8</f>
        <v>0</v>
      </c>
      <c r="O11" s="931">
        <f>huishoudens!N8</f>
        <v>15074.436515359946</v>
      </c>
      <c r="P11" s="931">
        <f>huishoudens!O8</f>
        <v>744.14666666666665</v>
      </c>
      <c r="Q11" s="932">
        <f>huishoudens!P8</f>
        <v>1430</v>
      </c>
      <c r="R11" s="628">
        <f>SUM(C11:Q11)</f>
        <v>192080.6386453904</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19723.005796000001</v>
      </c>
      <c r="D13" s="931">
        <f>industrie!C18</f>
        <v>0</v>
      </c>
      <c r="E13" s="931">
        <f>industrie!D18</f>
        <v>12203.177547241999</v>
      </c>
      <c r="F13" s="931">
        <f>industrie!E18</f>
        <v>275.02186563738076</v>
      </c>
      <c r="G13" s="931">
        <f>industrie!F18</f>
        <v>6021.283495806767</v>
      </c>
      <c r="H13" s="931">
        <f>industrie!G18</f>
        <v>0</v>
      </c>
      <c r="I13" s="931">
        <f>industrie!H18</f>
        <v>0</v>
      </c>
      <c r="J13" s="931">
        <f>industrie!I18</f>
        <v>0</v>
      </c>
      <c r="K13" s="931">
        <f>industrie!J18</f>
        <v>12.617321211399227</v>
      </c>
      <c r="L13" s="931">
        <f>industrie!K18</f>
        <v>0</v>
      </c>
      <c r="M13" s="931">
        <f>industrie!L18</f>
        <v>0</v>
      </c>
      <c r="N13" s="931">
        <f>industrie!M18</f>
        <v>0</v>
      </c>
      <c r="O13" s="931">
        <f>industrie!N18</f>
        <v>1771.9350989777622</v>
      </c>
      <c r="P13" s="931">
        <f>industrie!O18</f>
        <v>0</v>
      </c>
      <c r="Q13" s="932">
        <f>industrie!P18</f>
        <v>0</v>
      </c>
      <c r="R13" s="628">
        <f>SUM(C13:Q13)</f>
        <v>40007.041124875308</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88178.252379708822</v>
      </c>
      <c r="D16" s="660">
        <f t="shared" ref="D16:R16" ca="1" si="0">SUM(D9:D15)</f>
        <v>0</v>
      </c>
      <c r="E16" s="660">
        <f t="shared" ca="1" si="0"/>
        <v>93307.713770193994</v>
      </c>
      <c r="F16" s="660">
        <f t="shared" si="0"/>
        <v>4177.7898627305349</v>
      </c>
      <c r="G16" s="660">
        <f t="shared" ca="1" si="0"/>
        <v>88864.971390790859</v>
      </c>
      <c r="H16" s="660">
        <f t="shared" si="0"/>
        <v>0</v>
      </c>
      <c r="I16" s="660">
        <f t="shared" si="0"/>
        <v>0</v>
      </c>
      <c r="J16" s="660">
        <f t="shared" si="0"/>
        <v>0</v>
      </c>
      <c r="K16" s="660">
        <f t="shared" si="0"/>
        <v>419.58612136928508</v>
      </c>
      <c r="L16" s="660">
        <f t="shared" si="0"/>
        <v>0</v>
      </c>
      <c r="M16" s="660">
        <f t="shared" ca="1" si="0"/>
        <v>0</v>
      </c>
      <c r="N16" s="660">
        <f t="shared" si="0"/>
        <v>0</v>
      </c>
      <c r="O16" s="660">
        <f t="shared" ca="1" si="0"/>
        <v>17530.423574839238</v>
      </c>
      <c r="P16" s="660">
        <f t="shared" si="0"/>
        <v>750.4</v>
      </c>
      <c r="Q16" s="660">
        <f t="shared" si="0"/>
        <v>1468.1333333333334</v>
      </c>
      <c r="R16" s="660">
        <f t="shared" ca="1" si="0"/>
        <v>294697.27043296606</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29.772933450736435</v>
      </c>
      <c r="D19" s="931">
        <f>transport!C54</f>
        <v>0</v>
      </c>
      <c r="E19" s="931">
        <f>transport!D54</f>
        <v>0</v>
      </c>
      <c r="F19" s="931">
        <f>transport!E54</f>
        <v>0</v>
      </c>
      <c r="G19" s="931">
        <f>transport!F54</f>
        <v>0</v>
      </c>
      <c r="H19" s="931">
        <f>transport!G54</f>
        <v>2796.8716263605897</v>
      </c>
      <c r="I19" s="931">
        <f>transport!H54</f>
        <v>0</v>
      </c>
      <c r="J19" s="931">
        <f>transport!I54</f>
        <v>0</v>
      </c>
      <c r="K19" s="931">
        <f>transport!J54</f>
        <v>0</v>
      </c>
      <c r="L19" s="931">
        <f>transport!K54</f>
        <v>0</v>
      </c>
      <c r="M19" s="931">
        <f>transport!L54</f>
        <v>0</v>
      </c>
      <c r="N19" s="931">
        <f>transport!M54</f>
        <v>161.06343939827951</v>
      </c>
      <c r="O19" s="931">
        <f>transport!N54</f>
        <v>0</v>
      </c>
      <c r="P19" s="931">
        <f>transport!O54</f>
        <v>0</v>
      </c>
      <c r="Q19" s="932">
        <f>transport!P54</f>
        <v>0</v>
      </c>
      <c r="R19" s="628">
        <f>SUM(C19:Q19)</f>
        <v>2987.7079992096055</v>
      </c>
      <c r="S19" s="67"/>
    </row>
    <row r="20" spans="1:19" s="437" customFormat="1">
      <c r="A20" s="736" t="s">
        <v>295</v>
      </c>
      <c r="B20" s="741"/>
      <c r="C20" s="931">
        <f>transport!B14</f>
        <v>93.450259289995302</v>
      </c>
      <c r="D20" s="931">
        <f>transport!C14</f>
        <v>0</v>
      </c>
      <c r="E20" s="931">
        <f>transport!D14</f>
        <v>172.60559876047043</v>
      </c>
      <c r="F20" s="931">
        <f>transport!E14</f>
        <v>294.16491329381768</v>
      </c>
      <c r="G20" s="931">
        <f>transport!F14</f>
        <v>0</v>
      </c>
      <c r="H20" s="931">
        <f>transport!G14</f>
        <v>118157.69855929972</v>
      </c>
      <c r="I20" s="931">
        <f>transport!H14</f>
        <v>29628.882062305154</v>
      </c>
      <c r="J20" s="931">
        <f>transport!I14</f>
        <v>0</v>
      </c>
      <c r="K20" s="931">
        <f>transport!J14</f>
        <v>0</v>
      </c>
      <c r="L20" s="931">
        <f>transport!K14</f>
        <v>0</v>
      </c>
      <c r="M20" s="931">
        <f>transport!L14</f>
        <v>0</v>
      </c>
      <c r="N20" s="931">
        <f>transport!M14</f>
        <v>7775.7058443197866</v>
      </c>
      <c r="O20" s="931">
        <f>transport!N14</f>
        <v>0</v>
      </c>
      <c r="P20" s="931">
        <f>transport!O14</f>
        <v>0</v>
      </c>
      <c r="Q20" s="932">
        <f>transport!P14</f>
        <v>0</v>
      </c>
      <c r="R20" s="628">
        <f>SUM(C20:Q20)</f>
        <v>156122.50723726893</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123.22319274073173</v>
      </c>
      <c r="D22" s="739">
        <f t="shared" ref="D22:R22" si="1">SUM(D18:D21)</f>
        <v>0</v>
      </c>
      <c r="E22" s="739">
        <f t="shared" si="1"/>
        <v>172.60559876047043</v>
      </c>
      <c r="F22" s="739">
        <f t="shared" si="1"/>
        <v>294.16491329381768</v>
      </c>
      <c r="G22" s="739">
        <f t="shared" si="1"/>
        <v>0</v>
      </c>
      <c r="H22" s="739">
        <f t="shared" si="1"/>
        <v>120954.57018566031</v>
      </c>
      <c r="I22" s="739">
        <f t="shared" si="1"/>
        <v>29628.882062305154</v>
      </c>
      <c r="J22" s="739">
        <f t="shared" si="1"/>
        <v>0</v>
      </c>
      <c r="K22" s="739">
        <f t="shared" si="1"/>
        <v>0</v>
      </c>
      <c r="L22" s="739">
        <f t="shared" si="1"/>
        <v>0</v>
      </c>
      <c r="M22" s="739">
        <f t="shared" si="1"/>
        <v>0</v>
      </c>
      <c r="N22" s="739">
        <f t="shared" si="1"/>
        <v>7936.7692837180657</v>
      </c>
      <c r="O22" s="739">
        <f t="shared" si="1"/>
        <v>0</v>
      </c>
      <c r="P22" s="739">
        <f t="shared" si="1"/>
        <v>0</v>
      </c>
      <c r="Q22" s="739">
        <f t="shared" si="1"/>
        <v>0</v>
      </c>
      <c r="R22" s="739">
        <f t="shared" si="1"/>
        <v>159110.21523647854</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2807.7162619999999</v>
      </c>
      <c r="D24" s="931">
        <f>+landbouw!C8</f>
        <v>62.357142857142847</v>
      </c>
      <c r="E24" s="931">
        <f>+landbouw!D8</f>
        <v>29.276214000000003</v>
      </c>
      <c r="F24" s="931">
        <f>+landbouw!E8</f>
        <v>91.119622407703659</v>
      </c>
      <c r="G24" s="931">
        <f>+landbouw!F8</f>
        <v>10358.210119279291</v>
      </c>
      <c r="H24" s="931">
        <f>+landbouw!G8</f>
        <v>0</v>
      </c>
      <c r="I24" s="931">
        <f>+landbouw!H8</f>
        <v>0</v>
      </c>
      <c r="J24" s="931">
        <f>+landbouw!I8</f>
        <v>0</v>
      </c>
      <c r="K24" s="931">
        <f>+landbouw!J8</f>
        <v>738.40034884179408</v>
      </c>
      <c r="L24" s="931">
        <f>+landbouw!K8</f>
        <v>0</v>
      </c>
      <c r="M24" s="931">
        <f>+landbouw!L8</f>
        <v>0</v>
      </c>
      <c r="N24" s="931">
        <f>+landbouw!M8</f>
        <v>0</v>
      </c>
      <c r="O24" s="931">
        <f>+landbouw!N8</f>
        <v>0</v>
      </c>
      <c r="P24" s="931">
        <f>+landbouw!O8</f>
        <v>0</v>
      </c>
      <c r="Q24" s="932">
        <f>+landbouw!P8</f>
        <v>0</v>
      </c>
      <c r="R24" s="628">
        <f>SUM(C24:Q24)</f>
        <v>14087.079709385931</v>
      </c>
      <c r="S24" s="67"/>
    </row>
    <row r="25" spans="1:19" s="437" customFormat="1" ht="15" thickBot="1">
      <c r="A25" s="758" t="s">
        <v>775</v>
      </c>
      <c r="B25" s="934"/>
      <c r="C25" s="935">
        <f>IF(Onbekend_ele_kWh="---",0,Onbekend_ele_kWh)/1000+IF(REST_rest_ele_kWh="---",0,REST_rest_ele_kWh)/1000</f>
        <v>814.6223</v>
      </c>
      <c r="D25" s="935"/>
      <c r="E25" s="935">
        <f>IF(onbekend_gas_kWh="---",0,onbekend_gas_kWh)/1000+IF(REST_rest_gas_kWh="---",0,REST_rest_gas_kWh)/1000</f>
        <v>1682.6794</v>
      </c>
      <c r="F25" s="935"/>
      <c r="G25" s="935"/>
      <c r="H25" s="935"/>
      <c r="I25" s="935"/>
      <c r="J25" s="935"/>
      <c r="K25" s="935"/>
      <c r="L25" s="935"/>
      <c r="M25" s="935"/>
      <c r="N25" s="935"/>
      <c r="O25" s="935"/>
      <c r="P25" s="935"/>
      <c r="Q25" s="936"/>
      <c r="R25" s="628">
        <f>SUM(C25:Q25)</f>
        <v>2497.3017</v>
      </c>
      <c r="S25" s="67"/>
    </row>
    <row r="26" spans="1:19" s="437" customFormat="1" ht="15.75" thickBot="1">
      <c r="A26" s="633" t="s">
        <v>776</v>
      </c>
      <c r="B26" s="744"/>
      <c r="C26" s="739">
        <f>SUM(C24:C25)</f>
        <v>3622.3385619999999</v>
      </c>
      <c r="D26" s="739">
        <f t="shared" ref="D26:R26" si="2">SUM(D24:D25)</f>
        <v>62.357142857142847</v>
      </c>
      <c r="E26" s="739">
        <f t="shared" si="2"/>
        <v>1711.955614</v>
      </c>
      <c r="F26" s="739">
        <f t="shared" si="2"/>
        <v>91.119622407703659</v>
      </c>
      <c r="G26" s="739">
        <f t="shared" si="2"/>
        <v>10358.210119279291</v>
      </c>
      <c r="H26" s="739">
        <f t="shared" si="2"/>
        <v>0</v>
      </c>
      <c r="I26" s="739">
        <f t="shared" si="2"/>
        <v>0</v>
      </c>
      <c r="J26" s="739">
        <f t="shared" si="2"/>
        <v>0</v>
      </c>
      <c r="K26" s="739">
        <f t="shared" si="2"/>
        <v>738.40034884179408</v>
      </c>
      <c r="L26" s="739">
        <f t="shared" si="2"/>
        <v>0</v>
      </c>
      <c r="M26" s="739">
        <f t="shared" si="2"/>
        <v>0</v>
      </c>
      <c r="N26" s="739">
        <f t="shared" si="2"/>
        <v>0</v>
      </c>
      <c r="O26" s="739">
        <f t="shared" si="2"/>
        <v>0</v>
      </c>
      <c r="P26" s="739">
        <f t="shared" si="2"/>
        <v>0</v>
      </c>
      <c r="Q26" s="739">
        <f t="shared" si="2"/>
        <v>0</v>
      </c>
      <c r="R26" s="739">
        <f t="shared" si="2"/>
        <v>16584.381409385933</v>
      </c>
      <c r="S26" s="67"/>
    </row>
    <row r="27" spans="1:19" s="437" customFormat="1" ht="17.25" thickTop="1" thickBot="1">
      <c r="A27" s="634" t="s">
        <v>109</v>
      </c>
      <c r="B27" s="732"/>
      <c r="C27" s="635">
        <f ca="1">C22+C16+C26</f>
        <v>91923.814134449553</v>
      </c>
      <c r="D27" s="635">
        <f t="shared" ref="D27:R27" ca="1" si="3">D22+D16+D26</f>
        <v>62.357142857142847</v>
      </c>
      <c r="E27" s="635">
        <f t="shared" ca="1" si="3"/>
        <v>95192.274982954463</v>
      </c>
      <c r="F27" s="635">
        <f t="shared" si="3"/>
        <v>4563.0743984320561</v>
      </c>
      <c r="G27" s="635">
        <f t="shared" ca="1" si="3"/>
        <v>99223.18151007015</v>
      </c>
      <c r="H27" s="635">
        <f t="shared" si="3"/>
        <v>120954.57018566031</v>
      </c>
      <c r="I27" s="635">
        <f t="shared" si="3"/>
        <v>29628.882062305154</v>
      </c>
      <c r="J27" s="635">
        <f t="shared" si="3"/>
        <v>0</v>
      </c>
      <c r="K27" s="635">
        <f t="shared" si="3"/>
        <v>1157.9864702110792</v>
      </c>
      <c r="L27" s="635">
        <f t="shared" si="3"/>
        <v>0</v>
      </c>
      <c r="M27" s="635">
        <f t="shared" ca="1" si="3"/>
        <v>0</v>
      </c>
      <c r="N27" s="635">
        <f t="shared" si="3"/>
        <v>7936.7692837180657</v>
      </c>
      <c r="O27" s="635">
        <f t="shared" ca="1" si="3"/>
        <v>17530.423574839238</v>
      </c>
      <c r="P27" s="635">
        <f t="shared" si="3"/>
        <v>750.4</v>
      </c>
      <c r="Q27" s="635">
        <f t="shared" si="3"/>
        <v>1468.1333333333334</v>
      </c>
      <c r="R27" s="635">
        <f t="shared" ca="1" si="3"/>
        <v>470391.86707883055</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4946.1853928537712</v>
      </c>
      <c r="D40" s="931">
        <f ca="1">tertiair!C20</f>
        <v>0</v>
      </c>
      <c r="E40" s="931">
        <f ca="1">tertiair!D20</f>
        <v>5924.3997041396642</v>
      </c>
      <c r="F40" s="931">
        <f>tertiair!E20</f>
        <v>110.42697338748343</v>
      </c>
      <c r="G40" s="931">
        <f ca="1">tertiair!F20</f>
        <v>976.25425361570205</v>
      </c>
      <c r="H40" s="931">
        <f>tertiair!G20</f>
        <v>0</v>
      </c>
      <c r="I40" s="931">
        <f>tertiair!H20</f>
        <v>0</v>
      </c>
      <c r="J40" s="931">
        <f>tertiair!I20</f>
        <v>0</v>
      </c>
      <c r="K40" s="931">
        <f>tertiair!J20</f>
        <v>5.5952271423370193E-3</v>
      </c>
      <c r="L40" s="931">
        <f>tertiair!K20</f>
        <v>0</v>
      </c>
      <c r="M40" s="931">
        <f ca="1">tertiair!L20</f>
        <v>0</v>
      </c>
      <c r="N40" s="931">
        <f>tertiair!M20</f>
        <v>0</v>
      </c>
      <c r="O40" s="931">
        <f ca="1">tertiair!N20</f>
        <v>0</v>
      </c>
      <c r="P40" s="931">
        <f>tertiair!O20</f>
        <v>0</v>
      </c>
      <c r="Q40" s="702">
        <f>tertiair!P20</f>
        <v>0</v>
      </c>
      <c r="R40" s="777">
        <f t="shared" ca="1" si="4"/>
        <v>11957.271919223764</v>
      </c>
    </row>
    <row r="41" spans="1:18">
      <c r="A41" s="749" t="s">
        <v>213</v>
      </c>
      <c r="B41" s="756"/>
      <c r="C41" s="931">
        <f ca="1">huishoudens!B12</f>
        <v>6972.0600621143694</v>
      </c>
      <c r="D41" s="931">
        <f ca="1">huishoudens!C12</f>
        <v>0</v>
      </c>
      <c r="E41" s="931">
        <f>huishoudens!D12</f>
        <v>10458.71661289664</v>
      </c>
      <c r="F41" s="931">
        <f>huishoudens!E12</f>
        <v>775.50136195266259</v>
      </c>
      <c r="G41" s="931">
        <f>huishoudens!F12</f>
        <v>21143.010414345052</v>
      </c>
      <c r="H41" s="931">
        <f>huishoudens!G12</f>
        <v>0</v>
      </c>
      <c r="I41" s="931">
        <f>huishoudens!H12</f>
        <v>0</v>
      </c>
      <c r="J41" s="931">
        <f>huishoudens!I12</f>
        <v>0</v>
      </c>
      <c r="K41" s="931">
        <f>huishoudens!J12</f>
        <v>144.06136002874925</v>
      </c>
      <c r="L41" s="931">
        <f>huishoudens!K12</f>
        <v>0</v>
      </c>
      <c r="M41" s="931">
        <f>huishoudens!L12</f>
        <v>0</v>
      </c>
      <c r="N41" s="931">
        <f>huishoudens!M12</f>
        <v>0</v>
      </c>
      <c r="O41" s="931">
        <f>huishoudens!N12</f>
        <v>0</v>
      </c>
      <c r="P41" s="931">
        <f>huishoudens!O12</f>
        <v>0</v>
      </c>
      <c r="Q41" s="702">
        <f>huishoudens!P12</f>
        <v>0</v>
      </c>
      <c r="R41" s="777">
        <f t="shared" ca="1" si="4"/>
        <v>39493.349811337466</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3433.8291937791137</v>
      </c>
      <c r="D43" s="931">
        <f ca="1">industrie!C22</f>
        <v>0</v>
      </c>
      <c r="E43" s="931">
        <f>industrie!D22</f>
        <v>2465.041864542884</v>
      </c>
      <c r="F43" s="931">
        <f>industrie!E22</f>
        <v>62.429963499685435</v>
      </c>
      <c r="G43" s="931">
        <f>industrie!F22</f>
        <v>1607.6826933804068</v>
      </c>
      <c r="H43" s="931">
        <f>industrie!G22</f>
        <v>0</v>
      </c>
      <c r="I43" s="931">
        <f>industrie!H22</f>
        <v>0</v>
      </c>
      <c r="J43" s="931">
        <f>industrie!I22</f>
        <v>0</v>
      </c>
      <c r="K43" s="931">
        <f>industrie!J22</f>
        <v>4.4665317088353262</v>
      </c>
      <c r="L43" s="931">
        <f>industrie!K22</f>
        <v>0</v>
      </c>
      <c r="M43" s="931">
        <f>industrie!L22</f>
        <v>0</v>
      </c>
      <c r="N43" s="931">
        <f>industrie!M22</f>
        <v>0</v>
      </c>
      <c r="O43" s="931">
        <f>industrie!N22</f>
        <v>0</v>
      </c>
      <c r="P43" s="931">
        <f>industrie!O22</f>
        <v>0</v>
      </c>
      <c r="Q43" s="702">
        <f>industrie!P22</f>
        <v>0</v>
      </c>
      <c r="R43" s="776">
        <f t="shared" ca="1" si="4"/>
        <v>7573.4502469109257</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15352.074648747253</v>
      </c>
      <c r="D46" s="660">
        <f t="shared" ref="D46:Q46" ca="1" si="5">SUM(D39:D45)</f>
        <v>0</v>
      </c>
      <c r="E46" s="660">
        <f t="shared" ca="1" si="5"/>
        <v>18848.158181579187</v>
      </c>
      <c r="F46" s="660">
        <f t="shared" si="5"/>
        <v>948.35829883983149</v>
      </c>
      <c r="G46" s="660">
        <f t="shared" ca="1" si="5"/>
        <v>23726.947361341161</v>
      </c>
      <c r="H46" s="660">
        <f t="shared" si="5"/>
        <v>0</v>
      </c>
      <c r="I46" s="660">
        <f t="shared" si="5"/>
        <v>0</v>
      </c>
      <c r="J46" s="660">
        <f t="shared" si="5"/>
        <v>0</v>
      </c>
      <c r="K46" s="660">
        <f t="shared" si="5"/>
        <v>148.53348696472693</v>
      </c>
      <c r="L46" s="660">
        <f t="shared" si="5"/>
        <v>0</v>
      </c>
      <c r="M46" s="660">
        <f t="shared" ca="1" si="5"/>
        <v>0</v>
      </c>
      <c r="N46" s="660">
        <f t="shared" si="5"/>
        <v>0</v>
      </c>
      <c r="O46" s="660">
        <f t="shared" ca="1" si="5"/>
        <v>0</v>
      </c>
      <c r="P46" s="660">
        <f t="shared" si="5"/>
        <v>0</v>
      </c>
      <c r="Q46" s="660">
        <f t="shared" si="5"/>
        <v>0</v>
      </c>
      <c r="R46" s="660">
        <f ca="1">SUM(R39:R45)</f>
        <v>59024.071977472158</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5.1835490556067114</v>
      </c>
      <c r="D49" s="931">
        <f ca="1">transport!C58</f>
        <v>0</v>
      </c>
      <c r="E49" s="931">
        <f>transport!D58</f>
        <v>0</v>
      </c>
      <c r="F49" s="931">
        <f>transport!E58</f>
        <v>0</v>
      </c>
      <c r="G49" s="931">
        <f>transport!F58</f>
        <v>0</v>
      </c>
      <c r="H49" s="931">
        <f>transport!G58</f>
        <v>746.76472423827749</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751.9482732938842</v>
      </c>
    </row>
    <row r="50" spans="1:18">
      <c r="A50" s="752" t="s">
        <v>295</v>
      </c>
      <c r="B50" s="762"/>
      <c r="C50" s="631">
        <f ca="1">transport!B18</f>
        <v>16.269945455336906</v>
      </c>
      <c r="D50" s="631">
        <f>transport!C18</f>
        <v>0</v>
      </c>
      <c r="E50" s="631">
        <f>transport!D18</f>
        <v>34.866330949615026</v>
      </c>
      <c r="F50" s="631">
        <f>transport!E18</f>
        <v>66.775435317696619</v>
      </c>
      <c r="G50" s="631">
        <f>transport!F18</f>
        <v>0</v>
      </c>
      <c r="H50" s="631">
        <f>transport!G18</f>
        <v>31548.105515333027</v>
      </c>
      <c r="I50" s="631">
        <f>transport!H18</f>
        <v>7377.5916335139837</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39043.608860569657</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21.453494510943617</v>
      </c>
      <c r="D52" s="660">
        <f t="shared" ref="D52:Q52" ca="1" si="6">SUM(D48:D51)</f>
        <v>0</v>
      </c>
      <c r="E52" s="660">
        <f t="shared" si="6"/>
        <v>34.866330949615026</v>
      </c>
      <c r="F52" s="660">
        <f t="shared" si="6"/>
        <v>66.775435317696619</v>
      </c>
      <c r="G52" s="660">
        <f t="shared" si="6"/>
        <v>0</v>
      </c>
      <c r="H52" s="660">
        <f t="shared" si="6"/>
        <v>32294.870239571304</v>
      </c>
      <c r="I52" s="660">
        <f t="shared" si="6"/>
        <v>7377.5916335139837</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39795.557133863542</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488.83107210054618</v>
      </c>
      <c r="D54" s="631">
        <f ca="1">+landbouw!C12</f>
        <v>0</v>
      </c>
      <c r="E54" s="631">
        <f>+landbouw!D12</f>
        <v>5.9137952280000006</v>
      </c>
      <c r="F54" s="631">
        <f>+landbouw!E12</f>
        <v>20.684154286548733</v>
      </c>
      <c r="G54" s="631">
        <f>+landbouw!F12</f>
        <v>2765.6421018475708</v>
      </c>
      <c r="H54" s="631">
        <f>+landbouw!G12</f>
        <v>0</v>
      </c>
      <c r="I54" s="631">
        <f>+landbouw!H12</f>
        <v>0</v>
      </c>
      <c r="J54" s="631">
        <f>+landbouw!I12</f>
        <v>0</v>
      </c>
      <c r="K54" s="631">
        <f>+landbouw!J12</f>
        <v>261.39372348999507</v>
      </c>
      <c r="L54" s="631">
        <f>+landbouw!K12</f>
        <v>0</v>
      </c>
      <c r="M54" s="631">
        <f>+landbouw!L12</f>
        <v>0</v>
      </c>
      <c r="N54" s="631">
        <f>+landbouw!M12</f>
        <v>0</v>
      </c>
      <c r="O54" s="631">
        <f>+landbouw!N12</f>
        <v>0</v>
      </c>
      <c r="P54" s="631">
        <f>+landbouw!O12</f>
        <v>0</v>
      </c>
      <c r="Q54" s="632">
        <f>+landbouw!P12</f>
        <v>0</v>
      </c>
      <c r="R54" s="659">
        <f ca="1">SUM(C54:Q54)</f>
        <v>3542.4648469526605</v>
      </c>
    </row>
    <row r="55" spans="1:18" ht="15" thickBot="1">
      <c r="A55" s="752" t="s">
        <v>775</v>
      </c>
      <c r="B55" s="762"/>
      <c r="C55" s="631">
        <f ca="1">C25*'EF ele_warmte'!B12</f>
        <v>141.82796803775207</v>
      </c>
      <c r="D55" s="631"/>
      <c r="E55" s="631">
        <f>E25*EF_CO2_aardgas</f>
        <v>339.90123880000004</v>
      </c>
      <c r="F55" s="631"/>
      <c r="G55" s="631"/>
      <c r="H55" s="631"/>
      <c r="I55" s="631"/>
      <c r="J55" s="631"/>
      <c r="K55" s="631"/>
      <c r="L55" s="631"/>
      <c r="M55" s="631"/>
      <c r="N55" s="631"/>
      <c r="O55" s="631"/>
      <c r="P55" s="631"/>
      <c r="Q55" s="632"/>
      <c r="R55" s="659">
        <f ca="1">SUM(C55:Q55)</f>
        <v>481.72920683775214</v>
      </c>
    </row>
    <row r="56" spans="1:18" ht="15.75" thickBot="1">
      <c r="A56" s="750" t="s">
        <v>776</v>
      </c>
      <c r="B56" s="763"/>
      <c r="C56" s="660">
        <f ca="1">SUM(C54:C55)</f>
        <v>630.65904013829822</v>
      </c>
      <c r="D56" s="660">
        <f t="shared" ref="D56:Q56" ca="1" si="7">SUM(D54:D55)</f>
        <v>0</v>
      </c>
      <c r="E56" s="660">
        <f t="shared" si="7"/>
        <v>345.81503402800007</v>
      </c>
      <c r="F56" s="660">
        <f t="shared" si="7"/>
        <v>20.684154286548733</v>
      </c>
      <c r="G56" s="660">
        <f t="shared" si="7"/>
        <v>2765.6421018475708</v>
      </c>
      <c r="H56" s="660">
        <f t="shared" si="7"/>
        <v>0</v>
      </c>
      <c r="I56" s="660">
        <f t="shared" si="7"/>
        <v>0</v>
      </c>
      <c r="J56" s="660">
        <f t="shared" si="7"/>
        <v>0</v>
      </c>
      <c r="K56" s="660">
        <f t="shared" si="7"/>
        <v>261.39372348999507</v>
      </c>
      <c r="L56" s="660">
        <f t="shared" si="7"/>
        <v>0</v>
      </c>
      <c r="M56" s="660">
        <f t="shared" si="7"/>
        <v>0</v>
      </c>
      <c r="N56" s="660">
        <f t="shared" si="7"/>
        <v>0</v>
      </c>
      <c r="O56" s="660">
        <f t="shared" si="7"/>
        <v>0</v>
      </c>
      <c r="P56" s="660">
        <f t="shared" si="7"/>
        <v>0</v>
      </c>
      <c r="Q56" s="661">
        <f t="shared" si="7"/>
        <v>0</v>
      </c>
      <c r="R56" s="662">
        <f ca="1">SUM(R54:R55)</f>
        <v>4024.1940537904129</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16004.187183396496</v>
      </c>
      <c r="D61" s="668">
        <f t="shared" ref="D61:Q61" ca="1" si="8">D46+D52+D56</f>
        <v>0</v>
      </c>
      <c r="E61" s="668">
        <f t="shared" ca="1" si="8"/>
        <v>19228.839546556803</v>
      </c>
      <c r="F61" s="668">
        <f t="shared" si="8"/>
        <v>1035.8178884440767</v>
      </c>
      <c r="G61" s="668">
        <f t="shared" ca="1" si="8"/>
        <v>26492.589463188731</v>
      </c>
      <c r="H61" s="668">
        <f t="shared" si="8"/>
        <v>32294.870239571304</v>
      </c>
      <c r="I61" s="668">
        <f t="shared" si="8"/>
        <v>7377.5916335139837</v>
      </c>
      <c r="J61" s="668">
        <f t="shared" si="8"/>
        <v>0</v>
      </c>
      <c r="K61" s="668">
        <f t="shared" si="8"/>
        <v>409.927210454722</v>
      </c>
      <c r="L61" s="668">
        <f t="shared" si="8"/>
        <v>0</v>
      </c>
      <c r="M61" s="668">
        <f t="shared" ca="1" si="8"/>
        <v>0</v>
      </c>
      <c r="N61" s="668">
        <f t="shared" si="8"/>
        <v>0</v>
      </c>
      <c r="O61" s="668">
        <f t="shared" ca="1" si="8"/>
        <v>0</v>
      </c>
      <c r="P61" s="668">
        <f t="shared" si="8"/>
        <v>0</v>
      </c>
      <c r="Q61" s="668">
        <f t="shared" si="8"/>
        <v>0</v>
      </c>
      <c r="R61" s="668">
        <f ca="1">R46+R52+R56</f>
        <v>102843.82316512612</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0.17410273207319771</v>
      </c>
      <c r="D63" s="709">
        <f t="shared" ca="1" si="9"/>
        <v>0</v>
      </c>
      <c r="E63" s="942">
        <f t="shared" ca="1" si="9"/>
        <v>0.20200000000000001</v>
      </c>
      <c r="F63" s="709">
        <f t="shared" si="9"/>
        <v>0.22700000000000001</v>
      </c>
      <c r="G63" s="709">
        <f t="shared" ca="1" si="9"/>
        <v>0.26700000000000002</v>
      </c>
      <c r="H63" s="709">
        <f t="shared" si="9"/>
        <v>0.26700000000000002</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19463.027557994825</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43.649999999999991</v>
      </c>
      <c r="C76" s="67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19506.677557994826</v>
      </c>
      <c r="C78" s="683">
        <f>SUM(C72:C77)</f>
        <v>0</v>
      </c>
      <c r="D78" s="684">
        <f t="shared" ref="D78:H78" si="10">SUM(D76:D77)</f>
        <v>0</v>
      </c>
      <c r="E78" s="684">
        <f t="shared" si="10"/>
        <v>0</v>
      </c>
      <c r="F78" s="684">
        <f t="shared" si="10"/>
        <v>0</v>
      </c>
      <c r="G78" s="684">
        <f t="shared" si="10"/>
        <v>0</v>
      </c>
      <c r="H78" s="684">
        <f t="shared" si="10"/>
        <v>0</v>
      </c>
      <c r="I78" s="684">
        <f>SUM(I76:I77)</f>
        <v>0</v>
      </c>
      <c r="J78" s="684">
        <f>SUM(J76:J77)</f>
        <v>51.35294117647058</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62.357142857142847</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73.361344537815114</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0</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62.357142857142847</v>
      </c>
      <c r="C90" s="683">
        <f>SUM(C87:C89)</f>
        <v>0</v>
      </c>
      <c r="D90" s="683">
        <f t="shared" ref="D90:H90" si="12">SUM(D87:D89)</f>
        <v>0</v>
      </c>
      <c r="E90" s="683">
        <f t="shared" si="12"/>
        <v>0</v>
      </c>
      <c r="F90" s="683">
        <f t="shared" si="12"/>
        <v>0</v>
      </c>
      <c r="G90" s="683">
        <f t="shared" si="12"/>
        <v>0</v>
      </c>
      <c r="H90" s="683">
        <f t="shared" si="12"/>
        <v>0</v>
      </c>
      <c r="I90" s="683">
        <f>SUM(I87:I89)</f>
        <v>0</v>
      </c>
      <c r="J90" s="683">
        <f>SUM(J87:J89)</f>
        <v>73.361344537815114</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40045.667170708832</v>
      </c>
      <c r="C4" s="441">
        <f>huishoudens!C8</f>
        <v>0</v>
      </c>
      <c r="D4" s="441">
        <f>huishoudens!D8</f>
        <v>51775.824816319997</v>
      </c>
      <c r="E4" s="441">
        <f>huishoudens!E8</f>
        <v>3416.3055592628307</v>
      </c>
      <c r="F4" s="441">
        <f>huishoudens!F8</f>
        <v>79187.304922640644</v>
      </c>
      <c r="G4" s="441">
        <f>huishoudens!G8</f>
        <v>0</v>
      </c>
      <c r="H4" s="441">
        <f>huishoudens!H8</f>
        <v>0</v>
      </c>
      <c r="I4" s="441">
        <f>huishoudens!I8</f>
        <v>0</v>
      </c>
      <c r="J4" s="441">
        <f>huishoudens!J8</f>
        <v>406.95299443149509</v>
      </c>
      <c r="K4" s="441">
        <f>huishoudens!K8</f>
        <v>0</v>
      </c>
      <c r="L4" s="441">
        <f>huishoudens!L8</f>
        <v>0</v>
      </c>
      <c r="M4" s="441">
        <f>huishoudens!M8</f>
        <v>0</v>
      </c>
      <c r="N4" s="441">
        <f>huishoudens!N8</f>
        <v>15074.436515359946</v>
      </c>
      <c r="O4" s="441">
        <f>huishoudens!O8</f>
        <v>744.14666666666665</v>
      </c>
      <c r="P4" s="442">
        <f>huishoudens!P8</f>
        <v>1430</v>
      </c>
      <c r="Q4" s="443">
        <f>SUM(B4:P4)</f>
        <v>192080.6386453904</v>
      </c>
    </row>
    <row r="5" spans="1:17">
      <c r="A5" s="440" t="s">
        <v>149</v>
      </c>
      <c r="B5" s="441">
        <f ca="1">tertiair!B16</f>
        <v>26911.986412999995</v>
      </c>
      <c r="C5" s="441">
        <f ca="1">tertiair!C16</f>
        <v>0</v>
      </c>
      <c r="D5" s="441">
        <f ca="1">tertiair!D16</f>
        <v>29328.711406631999</v>
      </c>
      <c r="E5" s="441">
        <f>tertiair!E16</f>
        <v>486.46243783032344</v>
      </c>
      <c r="F5" s="441">
        <f ca="1">tertiair!F16</f>
        <v>3656.3829723434533</v>
      </c>
      <c r="G5" s="441">
        <f>tertiair!G16</f>
        <v>0</v>
      </c>
      <c r="H5" s="441">
        <f>tertiair!H16</f>
        <v>0</v>
      </c>
      <c r="I5" s="441">
        <f>tertiair!I16</f>
        <v>0</v>
      </c>
      <c r="J5" s="441">
        <f>tertiair!J16</f>
        <v>1.5805726390782541E-2</v>
      </c>
      <c r="K5" s="441">
        <f>tertiair!K16</f>
        <v>0</v>
      </c>
      <c r="L5" s="441">
        <f ca="1">tertiair!L16</f>
        <v>0</v>
      </c>
      <c r="M5" s="441">
        <f>tertiair!M16</f>
        <v>0</v>
      </c>
      <c r="N5" s="441">
        <f ca="1">tertiair!N16</f>
        <v>684.05196050153006</v>
      </c>
      <c r="O5" s="441">
        <f>tertiair!O16</f>
        <v>6.2533333333333339</v>
      </c>
      <c r="P5" s="442">
        <f>tertiair!P16</f>
        <v>38.133333333333333</v>
      </c>
      <c r="Q5" s="440">
        <f t="shared" ref="Q5:Q14" ca="1" si="0">SUM(B5:P5)</f>
        <v>61111.997662700363</v>
      </c>
    </row>
    <row r="6" spans="1:17">
      <c r="A6" s="440" t="s">
        <v>187</v>
      </c>
      <c r="B6" s="441">
        <f>'openbare verlichting'!B8</f>
        <v>1497.5930000000001</v>
      </c>
      <c r="C6" s="441"/>
      <c r="D6" s="441"/>
      <c r="E6" s="441"/>
      <c r="F6" s="441"/>
      <c r="G6" s="441"/>
      <c r="H6" s="441"/>
      <c r="I6" s="441"/>
      <c r="J6" s="441"/>
      <c r="K6" s="441"/>
      <c r="L6" s="441"/>
      <c r="M6" s="441"/>
      <c r="N6" s="441"/>
      <c r="O6" s="441"/>
      <c r="P6" s="442"/>
      <c r="Q6" s="440">
        <f t="shared" si="0"/>
        <v>1497.5930000000001</v>
      </c>
    </row>
    <row r="7" spans="1:17">
      <c r="A7" s="440" t="s">
        <v>105</v>
      </c>
      <c r="B7" s="441">
        <f>landbouw!B8</f>
        <v>2807.7162619999999</v>
      </c>
      <c r="C7" s="441">
        <f>landbouw!C8</f>
        <v>62.357142857142847</v>
      </c>
      <c r="D7" s="441">
        <f>landbouw!D8</f>
        <v>29.276214000000003</v>
      </c>
      <c r="E7" s="441">
        <f>landbouw!E8</f>
        <v>91.119622407703659</v>
      </c>
      <c r="F7" s="441">
        <f>landbouw!F8</f>
        <v>10358.210119279291</v>
      </c>
      <c r="G7" s="441">
        <f>landbouw!G8</f>
        <v>0</v>
      </c>
      <c r="H7" s="441">
        <f>landbouw!H8</f>
        <v>0</v>
      </c>
      <c r="I7" s="441">
        <f>landbouw!I8</f>
        <v>0</v>
      </c>
      <c r="J7" s="441">
        <f>landbouw!J8</f>
        <v>738.40034884179408</v>
      </c>
      <c r="K7" s="441">
        <f>landbouw!K8</f>
        <v>0</v>
      </c>
      <c r="L7" s="441">
        <f>landbouw!L8</f>
        <v>0</v>
      </c>
      <c r="M7" s="441">
        <f>landbouw!M8</f>
        <v>0</v>
      </c>
      <c r="N7" s="441">
        <f>landbouw!N8</f>
        <v>0</v>
      </c>
      <c r="O7" s="441">
        <f>landbouw!O8</f>
        <v>0</v>
      </c>
      <c r="P7" s="442">
        <f>landbouw!P8</f>
        <v>0</v>
      </c>
      <c r="Q7" s="440">
        <f t="shared" si="0"/>
        <v>14087.079709385931</v>
      </c>
    </row>
    <row r="8" spans="1:17">
      <c r="A8" s="440" t="s">
        <v>596</v>
      </c>
      <c r="B8" s="441">
        <f>industrie!B18</f>
        <v>19723.005796000001</v>
      </c>
      <c r="C8" s="441">
        <f>industrie!C18</f>
        <v>0</v>
      </c>
      <c r="D8" s="441">
        <f>industrie!D18</f>
        <v>12203.177547241999</v>
      </c>
      <c r="E8" s="441">
        <f>industrie!E18</f>
        <v>275.02186563738076</v>
      </c>
      <c r="F8" s="441">
        <f>industrie!F18</f>
        <v>6021.283495806767</v>
      </c>
      <c r="G8" s="441">
        <f>industrie!G18</f>
        <v>0</v>
      </c>
      <c r="H8" s="441">
        <f>industrie!H18</f>
        <v>0</v>
      </c>
      <c r="I8" s="441">
        <f>industrie!I18</f>
        <v>0</v>
      </c>
      <c r="J8" s="441">
        <f>industrie!J18</f>
        <v>12.617321211399227</v>
      </c>
      <c r="K8" s="441">
        <f>industrie!K18</f>
        <v>0</v>
      </c>
      <c r="L8" s="441">
        <f>industrie!L18</f>
        <v>0</v>
      </c>
      <c r="M8" s="441">
        <f>industrie!M18</f>
        <v>0</v>
      </c>
      <c r="N8" s="441">
        <f>industrie!N18</f>
        <v>1771.9350989777622</v>
      </c>
      <c r="O8" s="441">
        <f>industrie!O18</f>
        <v>0</v>
      </c>
      <c r="P8" s="442">
        <f>industrie!P18</f>
        <v>0</v>
      </c>
      <c r="Q8" s="440">
        <f t="shared" si="0"/>
        <v>40007.041124875308</v>
      </c>
    </row>
    <row r="9" spans="1:17" s="446" customFormat="1">
      <c r="A9" s="444" t="s">
        <v>545</v>
      </c>
      <c r="B9" s="445">
        <f>transport!B14</f>
        <v>93.450259289995302</v>
      </c>
      <c r="C9" s="445">
        <f>transport!C14</f>
        <v>0</v>
      </c>
      <c r="D9" s="445">
        <f>transport!D14</f>
        <v>172.60559876047043</v>
      </c>
      <c r="E9" s="445">
        <f>transport!E14</f>
        <v>294.16491329381768</v>
      </c>
      <c r="F9" s="445">
        <f>transport!F14</f>
        <v>0</v>
      </c>
      <c r="G9" s="445">
        <f>transport!G14</f>
        <v>118157.69855929972</v>
      </c>
      <c r="H9" s="445">
        <f>transport!H14</f>
        <v>29628.882062305154</v>
      </c>
      <c r="I9" s="445">
        <f>transport!I14</f>
        <v>0</v>
      </c>
      <c r="J9" s="445">
        <f>transport!J14</f>
        <v>0</v>
      </c>
      <c r="K9" s="445">
        <f>transport!K14</f>
        <v>0</v>
      </c>
      <c r="L9" s="445">
        <f>transport!L14</f>
        <v>0</v>
      </c>
      <c r="M9" s="445">
        <f>transport!M14</f>
        <v>7775.7058443197866</v>
      </c>
      <c r="N9" s="445">
        <f>transport!N14</f>
        <v>0</v>
      </c>
      <c r="O9" s="445">
        <f>transport!O14</f>
        <v>0</v>
      </c>
      <c r="P9" s="445">
        <f>transport!P14</f>
        <v>0</v>
      </c>
      <c r="Q9" s="444">
        <f>SUM(B9:P9)</f>
        <v>156122.50723726893</v>
      </c>
    </row>
    <row r="10" spans="1:17">
      <c r="A10" s="440" t="s">
        <v>535</v>
      </c>
      <c r="B10" s="441">
        <f>transport!B54</f>
        <v>29.772933450736435</v>
      </c>
      <c r="C10" s="441">
        <f>transport!C54</f>
        <v>0</v>
      </c>
      <c r="D10" s="441">
        <f>transport!D54</f>
        <v>0</v>
      </c>
      <c r="E10" s="441">
        <f>transport!E54</f>
        <v>0</v>
      </c>
      <c r="F10" s="441">
        <f>transport!F54</f>
        <v>0</v>
      </c>
      <c r="G10" s="441">
        <f>transport!G54</f>
        <v>2796.8716263605897</v>
      </c>
      <c r="H10" s="441">
        <f>transport!H54</f>
        <v>0</v>
      </c>
      <c r="I10" s="441">
        <f>transport!I54</f>
        <v>0</v>
      </c>
      <c r="J10" s="441">
        <f>transport!J54</f>
        <v>0</v>
      </c>
      <c r="K10" s="441">
        <f>transport!K54</f>
        <v>0</v>
      </c>
      <c r="L10" s="441">
        <f>transport!L54</f>
        <v>0</v>
      </c>
      <c r="M10" s="441">
        <f>transport!M54</f>
        <v>161.06343939827951</v>
      </c>
      <c r="N10" s="441">
        <f>transport!N54</f>
        <v>0</v>
      </c>
      <c r="O10" s="441">
        <f>transport!O54</f>
        <v>0</v>
      </c>
      <c r="P10" s="442">
        <f>transport!P54</f>
        <v>0</v>
      </c>
      <c r="Q10" s="440">
        <f t="shared" si="0"/>
        <v>2987.7079992096055</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814.6223</v>
      </c>
      <c r="C14" s="448"/>
      <c r="D14" s="448">
        <f>'SEAP template'!E25</f>
        <v>1682.6794</v>
      </c>
      <c r="E14" s="448"/>
      <c r="F14" s="448"/>
      <c r="G14" s="448"/>
      <c r="H14" s="448"/>
      <c r="I14" s="448"/>
      <c r="J14" s="448"/>
      <c r="K14" s="448"/>
      <c r="L14" s="448"/>
      <c r="M14" s="448"/>
      <c r="N14" s="448"/>
      <c r="O14" s="448"/>
      <c r="P14" s="449"/>
      <c r="Q14" s="440">
        <f t="shared" si="0"/>
        <v>2497.3017</v>
      </c>
    </row>
    <row r="15" spans="1:17" s="450" customFormat="1">
      <c r="A15" s="957" t="s">
        <v>539</v>
      </c>
      <c r="B15" s="905">
        <f ca="1">SUM(B4:B14)</f>
        <v>91923.814134449553</v>
      </c>
      <c r="C15" s="905">
        <f t="shared" ref="C15:Q15" ca="1" si="1">SUM(C4:C14)</f>
        <v>62.357142857142847</v>
      </c>
      <c r="D15" s="905">
        <f t="shared" ca="1" si="1"/>
        <v>95192.274982954448</v>
      </c>
      <c r="E15" s="905">
        <f t="shared" si="1"/>
        <v>4563.0743984320552</v>
      </c>
      <c r="F15" s="905">
        <f t="shared" ca="1" si="1"/>
        <v>99223.18151007015</v>
      </c>
      <c r="G15" s="905">
        <f t="shared" si="1"/>
        <v>120954.57018566031</v>
      </c>
      <c r="H15" s="905">
        <f t="shared" si="1"/>
        <v>29628.882062305154</v>
      </c>
      <c r="I15" s="905">
        <f t="shared" si="1"/>
        <v>0</v>
      </c>
      <c r="J15" s="905">
        <f t="shared" si="1"/>
        <v>1157.9864702110792</v>
      </c>
      <c r="K15" s="905">
        <f t="shared" si="1"/>
        <v>0</v>
      </c>
      <c r="L15" s="905">
        <f t="shared" ca="1" si="1"/>
        <v>0</v>
      </c>
      <c r="M15" s="905">
        <f t="shared" si="1"/>
        <v>7936.7692837180657</v>
      </c>
      <c r="N15" s="905">
        <f t="shared" ca="1" si="1"/>
        <v>17530.423574839238</v>
      </c>
      <c r="O15" s="905">
        <f t="shared" si="1"/>
        <v>750.4</v>
      </c>
      <c r="P15" s="905">
        <f t="shared" si="1"/>
        <v>1468.1333333333334</v>
      </c>
      <c r="Q15" s="905">
        <f t="shared" ca="1" si="1"/>
        <v>470391.86707883049</v>
      </c>
    </row>
    <row r="17" spans="1:17">
      <c r="A17" s="451" t="s">
        <v>540</v>
      </c>
      <c r="B17" s="714">
        <f ca="1">huishoudens!B10</f>
        <v>0.17410273207319771</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6972.0600621143694</v>
      </c>
      <c r="C22" s="441">
        <f t="shared" ref="C22:C32" ca="1" si="3">C4*$C$17</f>
        <v>0</v>
      </c>
      <c r="D22" s="441">
        <f t="shared" ref="D22:D32" si="4">D4*$D$17</f>
        <v>10458.71661289664</v>
      </c>
      <c r="E22" s="441">
        <f t="shared" ref="E22:E32" si="5">E4*$E$17</f>
        <v>775.50136195266259</v>
      </c>
      <c r="F22" s="441">
        <f t="shared" ref="F22:F32" si="6">F4*$F$17</f>
        <v>21143.010414345052</v>
      </c>
      <c r="G22" s="441">
        <f t="shared" ref="G22:G32" si="7">G4*$G$17</f>
        <v>0</v>
      </c>
      <c r="H22" s="441">
        <f t="shared" ref="H22:H32" si="8">H4*$H$17</f>
        <v>0</v>
      </c>
      <c r="I22" s="441">
        <f t="shared" ref="I22:I32" si="9">I4*$I$17</f>
        <v>0</v>
      </c>
      <c r="J22" s="441">
        <f t="shared" ref="J22:J32" si="10">J4*$J$17</f>
        <v>144.06136002874925</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39493.349811337466</v>
      </c>
    </row>
    <row r="23" spans="1:17">
      <c r="A23" s="440" t="s">
        <v>149</v>
      </c>
      <c r="B23" s="441">
        <f t="shared" ca="1" si="2"/>
        <v>4685.4503600200751</v>
      </c>
      <c r="C23" s="441">
        <f t="shared" ca="1" si="3"/>
        <v>0</v>
      </c>
      <c r="D23" s="441">
        <f t="shared" ca="1" si="4"/>
        <v>5924.3997041396642</v>
      </c>
      <c r="E23" s="441">
        <f t="shared" si="5"/>
        <v>110.42697338748343</v>
      </c>
      <c r="F23" s="441">
        <f t="shared" ca="1" si="6"/>
        <v>976.25425361570205</v>
      </c>
      <c r="G23" s="441">
        <f t="shared" si="7"/>
        <v>0</v>
      </c>
      <c r="H23" s="441">
        <f t="shared" si="8"/>
        <v>0</v>
      </c>
      <c r="I23" s="441">
        <f t="shared" si="9"/>
        <v>0</v>
      </c>
      <c r="J23" s="441">
        <f t="shared" si="10"/>
        <v>5.5952271423370193E-3</v>
      </c>
      <c r="K23" s="441">
        <f t="shared" si="11"/>
        <v>0</v>
      </c>
      <c r="L23" s="441">
        <f t="shared" ca="1" si="12"/>
        <v>0</v>
      </c>
      <c r="M23" s="441">
        <f t="shared" si="13"/>
        <v>0</v>
      </c>
      <c r="N23" s="441">
        <f t="shared" ca="1" si="14"/>
        <v>0</v>
      </c>
      <c r="O23" s="441">
        <f t="shared" si="15"/>
        <v>0</v>
      </c>
      <c r="P23" s="442">
        <f t="shared" si="16"/>
        <v>0</v>
      </c>
      <c r="Q23" s="440">
        <f t="shared" ref="Q23:Q32" ca="1" si="17">SUM(B23:P23)</f>
        <v>11696.536886390066</v>
      </c>
    </row>
    <row r="24" spans="1:17">
      <c r="A24" s="440" t="s">
        <v>187</v>
      </c>
      <c r="B24" s="441">
        <f t="shared" ca="1" si="2"/>
        <v>260.73503283369638</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260.73503283369638</v>
      </c>
    </row>
    <row r="25" spans="1:17">
      <c r="A25" s="440" t="s">
        <v>105</v>
      </c>
      <c r="B25" s="441">
        <f t="shared" ca="1" si="2"/>
        <v>488.83107210054618</v>
      </c>
      <c r="C25" s="441">
        <f t="shared" ca="1" si="3"/>
        <v>0</v>
      </c>
      <c r="D25" s="441">
        <f t="shared" si="4"/>
        <v>5.9137952280000006</v>
      </c>
      <c r="E25" s="441">
        <f t="shared" si="5"/>
        <v>20.684154286548733</v>
      </c>
      <c r="F25" s="441">
        <f t="shared" si="6"/>
        <v>2765.6421018475708</v>
      </c>
      <c r="G25" s="441">
        <f t="shared" si="7"/>
        <v>0</v>
      </c>
      <c r="H25" s="441">
        <f t="shared" si="8"/>
        <v>0</v>
      </c>
      <c r="I25" s="441">
        <f t="shared" si="9"/>
        <v>0</v>
      </c>
      <c r="J25" s="441">
        <f t="shared" si="10"/>
        <v>261.39372348999507</v>
      </c>
      <c r="K25" s="441">
        <f t="shared" si="11"/>
        <v>0</v>
      </c>
      <c r="L25" s="441">
        <f t="shared" si="12"/>
        <v>0</v>
      </c>
      <c r="M25" s="441">
        <f t="shared" si="13"/>
        <v>0</v>
      </c>
      <c r="N25" s="441">
        <f t="shared" si="14"/>
        <v>0</v>
      </c>
      <c r="O25" s="441">
        <f t="shared" si="15"/>
        <v>0</v>
      </c>
      <c r="P25" s="442">
        <f t="shared" si="16"/>
        <v>0</v>
      </c>
      <c r="Q25" s="440">
        <f t="shared" ca="1" si="17"/>
        <v>3542.4648469526605</v>
      </c>
    </row>
    <row r="26" spans="1:17">
      <c r="A26" s="440" t="s">
        <v>596</v>
      </c>
      <c r="B26" s="441">
        <f t="shared" ca="1" si="2"/>
        <v>3433.8291937791137</v>
      </c>
      <c r="C26" s="441">
        <f t="shared" ca="1" si="3"/>
        <v>0</v>
      </c>
      <c r="D26" s="441">
        <f t="shared" si="4"/>
        <v>2465.041864542884</v>
      </c>
      <c r="E26" s="441">
        <f t="shared" si="5"/>
        <v>62.429963499685435</v>
      </c>
      <c r="F26" s="441">
        <f t="shared" si="6"/>
        <v>1607.6826933804068</v>
      </c>
      <c r="G26" s="441">
        <f t="shared" si="7"/>
        <v>0</v>
      </c>
      <c r="H26" s="441">
        <f t="shared" si="8"/>
        <v>0</v>
      </c>
      <c r="I26" s="441">
        <f t="shared" si="9"/>
        <v>0</v>
      </c>
      <c r="J26" s="441">
        <f t="shared" si="10"/>
        <v>4.4665317088353262</v>
      </c>
      <c r="K26" s="441">
        <f t="shared" si="11"/>
        <v>0</v>
      </c>
      <c r="L26" s="441">
        <f t="shared" si="12"/>
        <v>0</v>
      </c>
      <c r="M26" s="441">
        <f t="shared" si="13"/>
        <v>0</v>
      </c>
      <c r="N26" s="441">
        <f t="shared" si="14"/>
        <v>0</v>
      </c>
      <c r="O26" s="441">
        <f t="shared" si="15"/>
        <v>0</v>
      </c>
      <c r="P26" s="442">
        <f t="shared" si="16"/>
        <v>0</v>
      </c>
      <c r="Q26" s="440">
        <f t="shared" ca="1" si="17"/>
        <v>7573.4502469109257</v>
      </c>
    </row>
    <row r="27" spans="1:17" s="446" customFormat="1">
      <c r="A27" s="444" t="s">
        <v>545</v>
      </c>
      <c r="B27" s="708">
        <f t="shared" ca="1" si="2"/>
        <v>16.269945455336906</v>
      </c>
      <c r="C27" s="445">
        <f t="shared" ca="1" si="3"/>
        <v>0</v>
      </c>
      <c r="D27" s="445">
        <f t="shared" si="4"/>
        <v>34.866330949615026</v>
      </c>
      <c r="E27" s="445">
        <f t="shared" si="5"/>
        <v>66.775435317696619</v>
      </c>
      <c r="F27" s="445">
        <f t="shared" si="6"/>
        <v>0</v>
      </c>
      <c r="G27" s="445">
        <f t="shared" si="7"/>
        <v>31548.105515333027</v>
      </c>
      <c r="H27" s="445">
        <f t="shared" si="8"/>
        <v>7377.5916335139837</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39043.608860569657</v>
      </c>
    </row>
    <row r="28" spans="1:17">
      <c r="A28" s="440" t="s">
        <v>535</v>
      </c>
      <c r="B28" s="441">
        <f t="shared" ca="1" si="2"/>
        <v>5.1835490556067114</v>
      </c>
      <c r="C28" s="441">
        <f t="shared" ca="1" si="3"/>
        <v>0</v>
      </c>
      <c r="D28" s="441">
        <f t="shared" si="4"/>
        <v>0</v>
      </c>
      <c r="E28" s="441">
        <f t="shared" si="5"/>
        <v>0</v>
      </c>
      <c r="F28" s="441">
        <f t="shared" si="6"/>
        <v>0</v>
      </c>
      <c r="G28" s="441">
        <f t="shared" si="7"/>
        <v>746.76472423827749</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751.9482732938842</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141.82796803775207</v>
      </c>
      <c r="C32" s="441">
        <f t="shared" ca="1" si="3"/>
        <v>0</v>
      </c>
      <c r="D32" s="441">
        <f t="shared" si="4"/>
        <v>339.90123880000004</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481.72920683775214</v>
      </c>
    </row>
    <row r="33" spans="1:17" s="450" customFormat="1">
      <c r="A33" s="957" t="s">
        <v>539</v>
      </c>
      <c r="B33" s="905">
        <f ca="1">SUM(B22:B32)</f>
        <v>16004.187183396496</v>
      </c>
      <c r="C33" s="905">
        <f t="shared" ref="C33:Q33" ca="1" si="18">SUM(C22:C32)</f>
        <v>0</v>
      </c>
      <c r="D33" s="905">
        <f t="shared" ca="1" si="18"/>
        <v>19228.839546556803</v>
      </c>
      <c r="E33" s="905">
        <f t="shared" si="18"/>
        <v>1035.8178884440767</v>
      </c>
      <c r="F33" s="905">
        <f t="shared" ca="1" si="18"/>
        <v>26492.589463188731</v>
      </c>
      <c r="G33" s="905">
        <f t="shared" si="18"/>
        <v>32294.870239571304</v>
      </c>
      <c r="H33" s="905">
        <f t="shared" si="18"/>
        <v>7377.5916335139837</v>
      </c>
      <c r="I33" s="905">
        <f t="shared" si="18"/>
        <v>0</v>
      </c>
      <c r="J33" s="905">
        <f t="shared" si="18"/>
        <v>409.92721045472194</v>
      </c>
      <c r="K33" s="905">
        <f t="shared" si="18"/>
        <v>0</v>
      </c>
      <c r="L33" s="905">
        <f t="shared" ca="1" si="18"/>
        <v>0</v>
      </c>
      <c r="M33" s="905">
        <f t="shared" si="18"/>
        <v>0</v>
      </c>
      <c r="N33" s="905">
        <f t="shared" ca="1" si="18"/>
        <v>0</v>
      </c>
      <c r="O33" s="905">
        <f t="shared" si="18"/>
        <v>0</v>
      </c>
      <c r="P33" s="905">
        <f t="shared" si="18"/>
        <v>0</v>
      </c>
      <c r="Q33" s="905">
        <f t="shared" ca="1" si="18"/>
        <v>102843.8231651261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19463.027557994825</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43.649999999999991</v>
      </c>
      <c r="C8" s="974">
        <f>'SEAP template'!C76</f>
        <v>0</v>
      </c>
      <c r="D8" s="974">
        <f>'SEAP template'!D76</f>
        <v>0</v>
      </c>
      <c r="E8" s="974">
        <f>'SEAP template'!E76</f>
        <v>0</v>
      </c>
      <c r="F8" s="974">
        <f>'SEAP template'!F76</f>
        <v>0</v>
      </c>
      <c r="G8" s="974">
        <f>'SEAP template'!G76</f>
        <v>0</v>
      </c>
      <c r="H8" s="974">
        <f>'SEAP template'!H76</f>
        <v>0</v>
      </c>
      <c r="I8" s="974">
        <f>'SEAP template'!I76</f>
        <v>0</v>
      </c>
      <c r="J8" s="974">
        <f>'SEAP template'!J76</f>
        <v>51.35294117647058</v>
      </c>
      <c r="K8" s="974">
        <f>'SEAP template'!K76</f>
        <v>0</v>
      </c>
      <c r="L8" s="974">
        <f>'SEAP template'!L76</f>
        <v>0</v>
      </c>
      <c r="M8" s="974">
        <f>'SEAP template'!M76</f>
        <v>0</v>
      </c>
      <c r="N8" s="974">
        <f>'SEAP template'!N76</f>
        <v>0</v>
      </c>
      <c r="O8" s="974">
        <f>'SEAP template'!O76</f>
        <v>0</v>
      </c>
      <c r="P8" s="975">
        <f>'SEAP template'!Q76</f>
        <v>0</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19506.677557994826</v>
      </c>
      <c r="C10" s="978">
        <f>SUM(C4:C9)</f>
        <v>0</v>
      </c>
      <c r="D10" s="978">
        <f t="shared" ref="D10:H10" si="0">SUM(D8:D9)</f>
        <v>0</v>
      </c>
      <c r="E10" s="978">
        <f t="shared" si="0"/>
        <v>0</v>
      </c>
      <c r="F10" s="978">
        <f t="shared" si="0"/>
        <v>0</v>
      </c>
      <c r="G10" s="978">
        <f t="shared" si="0"/>
        <v>0</v>
      </c>
      <c r="H10" s="978">
        <f t="shared" si="0"/>
        <v>0</v>
      </c>
      <c r="I10" s="978">
        <f>SUM(I8:I9)</f>
        <v>0</v>
      </c>
      <c r="J10" s="978">
        <f>SUM(J8:J9)</f>
        <v>51.35294117647058</v>
      </c>
      <c r="K10" s="978">
        <f t="shared" ref="K10:L10" si="1">SUM(K8:K9)</f>
        <v>0</v>
      </c>
      <c r="L10" s="978">
        <f t="shared" si="1"/>
        <v>0</v>
      </c>
      <c r="M10" s="978">
        <f>SUM(M8:M9)</f>
        <v>0</v>
      </c>
      <c r="N10" s="978">
        <f>SUM(N8:N9)</f>
        <v>0</v>
      </c>
      <c r="O10" s="978">
        <f>SUM(O8:O9)</f>
        <v>0</v>
      </c>
      <c r="P10" s="978">
        <f>SUM(P8:P9)</f>
        <v>0</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0.17410273207319771</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62.357142857142847</v>
      </c>
      <c r="C17" s="980">
        <f>'SEAP template'!C87</f>
        <v>0</v>
      </c>
      <c r="D17" s="975">
        <f>'SEAP template'!D87</f>
        <v>0</v>
      </c>
      <c r="E17" s="975">
        <f>'SEAP template'!E87</f>
        <v>0</v>
      </c>
      <c r="F17" s="975">
        <f>'SEAP template'!F87</f>
        <v>0</v>
      </c>
      <c r="G17" s="975">
        <f>'SEAP template'!G87</f>
        <v>0</v>
      </c>
      <c r="H17" s="975">
        <f>'SEAP template'!H87</f>
        <v>0</v>
      </c>
      <c r="I17" s="975">
        <f>'SEAP template'!I87</f>
        <v>0</v>
      </c>
      <c r="J17" s="975">
        <f>'SEAP template'!J87</f>
        <v>73.361344537815114</v>
      </c>
      <c r="K17" s="975">
        <f>'SEAP template'!K87</f>
        <v>0</v>
      </c>
      <c r="L17" s="975">
        <f>'SEAP template'!L87</f>
        <v>0</v>
      </c>
      <c r="M17" s="975">
        <f>'SEAP template'!M87</f>
        <v>0</v>
      </c>
      <c r="N17" s="975">
        <f>'SEAP template'!N87</f>
        <v>0</v>
      </c>
      <c r="O17" s="975">
        <f>'SEAP template'!O87</f>
        <v>0</v>
      </c>
      <c r="P17" s="975">
        <f>'SEAP template'!Q87</f>
        <v>0</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62.357142857142847</v>
      </c>
      <c r="C20" s="978">
        <f>SUM(C17:C19)</f>
        <v>0</v>
      </c>
      <c r="D20" s="978">
        <f t="shared" ref="D20:H20" si="2">SUM(D17:D19)</f>
        <v>0</v>
      </c>
      <c r="E20" s="978">
        <f t="shared" si="2"/>
        <v>0</v>
      </c>
      <c r="F20" s="978">
        <f t="shared" si="2"/>
        <v>0</v>
      </c>
      <c r="G20" s="978">
        <f t="shared" si="2"/>
        <v>0</v>
      </c>
      <c r="H20" s="978">
        <f t="shared" si="2"/>
        <v>0</v>
      </c>
      <c r="I20" s="978">
        <f>SUM(I17:I19)</f>
        <v>0</v>
      </c>
      <c r="J20" s="978">
        <f>SUM(J17:J19)</f>
        <v>73.361344537815114</v>
      </c>
      <c r="K20" s="978">
        <f t="shared" ref="K20:L20" si="3">SUM(K17:K19)</f>
        <v>0</v>
      </c>
      <c r="L20" s="978">
        <f t="shared" si="3"/>
        <v>0</v>
      </c>
      <c r="M20" s="978">
        <f>SUM(M17:M19)</f>
        <v>0</v>
      </c>
      <c r="N20" s="978">
        <f>SUM(N17:N19)</f>
        <v>0</v>
      </c>
      <c r="O20" s="978">
        <f>SUM(O17:O19)</f>
        <v>0</v>
      </c>
      <c r="P20" s="978">
        <f>SUM(P17:P19)</f>
        <v>0</v>
      </c>
    </row>
    <row r="22" spans="1:16">
      <c r="A22" s="451" t="s">
        <v>800</v>
      </c>
      <c r="B22" s="714" t="s">
        <v>794</v>
      </c>
      <c r="C22" s="71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0.17410273207319771</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0</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0</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0.17410273207319771</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0.17410273207319771</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9159</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5214.78</v>
      </c>
      <c r="C14" s="322"/>
      <c r="D14" s="322"/>
      <c r="E14" s="322"/>
      <c r="F14" s="322"/>
    </row>
    <row r="15" spans="1:6">
      <c r="A15" s="1248" t="s">
        <v>177</v>
      </c>
      <c r="B15" s="1249">
        <v>2240</v>
      </c>
      <c r="C15" s="322"/>
      <c r="D15" s="322"/>
      <c r="E15" s="322"/>
      <c r="F15" s="322"/>
    </row>
    <row r="16" spans="1:6">
      <c r="A16" s="1248" t="s">
        <v>6</v>
      </c>
      <c r="B16" s="1249">
        <v>1881</v>
      </c>
      <c r="C16" s="322"/>
      <c r="D16" s="322"/>
      <c r="E16" s="322"/>
      <c r="F16" s="322"/>
    </row>
    <row r="17" spans="1:6">
      <c r="A17" s="1248" t="s">
        <v>7</v>
      </c>
      <c r="B17" s="1249">
        <v>559</v>
      </c>
      <c r="C17" s="322"/>
      <c r="D17" s="322"/>
      <c r="E17" s="322"/>
      <c r="F17" s="322"/>
    </row>
    <row r="18" spans="1:6">
      <c r="A18" s="1248" t="s">
        <v>8</v>
      </c>
      <c r="B18" s="1249">
        <v>1614</v>
      </c>
      <c r="C18" s="322"/>
      <c r="D18" s="322"/>
      <c r="E18" s="322"/>
      <c r="F18" s="322"/>
    </row>
    <row r="19" spans="1:6">
      <c r="A19" s="1248" t="s">
        <v>9</v>
      </c>
      <c r="B19" s="1249">
        <v>1427</v>
      </c>
      <c r="C19" s="322"/>
      <c r="D19" s="322"/>
      <c r="E19" s="322"/>
      <c r="F19" s="322"/>
    </row>
    <row r="20" spans="1:6">
      <c r="A20" s="1248" t="s">
        <v>10</v>
      </c>
      <c r="B20" s="1249">
        <v>938</v>
      </c>
      <c r="C20" s="322"/>
      <c r="D20" s="322"/>
      <c r="E20" s="322"/>
      <c r="F20" s="322"/>
    </row>
    <row r="21" spans="1:6">
      <c r="A21" s="1248" t="s">
        <v>11</v>
      </c>
      <c r="B21" s="1249">
        <v>7280</v>
      </c>
      <c r="C21" s="322"/>
      <c r="D21" s="322"/>
      <c r="E21" s="322"/>
      <c r="F21" s="322"/>
    </row>
    <row r="22" spans="1:6">
      <c r="A22" s="1248" t="s">
        <v>12</v>
      </c>
      <c r="B22" s="1249">
        <v>18231</v>
      </c>
      <c r="C22" s="322"/>
      <c r="D22" s="322"/>
      <c r="E22" s="322"/>
      <c r="F22" s="322"/>
    </row>
    <row r="23" spans="1:6">
      <c r="A23" s="1248" t="s">
        <v>13</v>
      </c>
      <c r="B23" s="1249">
        <v>162</v>
      </c>
      <c r="C23" s="322"/>
      <c r="D23" s="322"/>
      <c r="E23" s="322"/>
      <c r="F23" s="322"/>
    </row>
    <row r="24" spans="1:6">
      <c r="A24" s="1248" t="s">
        <v>14</v>
      </c>
      <c r="B24" s="1249">
        <v>13</v>
      </c>
      <c r="C24" s="322"/>
      <c r="D24" s="322"/>
      <c r="E24" s="322"/>
      <c r="F24" s="322"/>
    </row>
    <row r="25" spans="1:6">
      <c r="A25" s="1248" t="s">
        <v>15</v>
      </c>
      <c r="B25" s="1249">
        <v>1242</v>
      </c>
      <c r="C25" s="322"/>
      <c r="D25" s="322"/>
      <c r="E25" s="322"/>
      <c r="F25" s="322"/>
    </row>
    <row r="26" spans="1:6">
      <c r="A26" s="1248" t="s">
        <v>16</v>
      </c>
      <c r="B26" s="1249">
        <v>178</v>
      </c>
      <c r="C26" s="322"/>
      <c r="D26" s="322"/>
      <c r="E26" s="322"/>
      <c r="F26" s="322"/>
    </row>
    <row r="27" spans="1:6">
      <c r="A27" s="1248" t="s">
        <v>17</v>
      </c>
      <c r="B27" s="1249">
        <v>0</v>
      </c>
      <c r="C27" s="322"/>
      <c r="D27" s="322"/>
      <c r="E27" s="322"/>
      <c r="F27" s="322"/>
    </row>
    <row r="28" spans="1:6">
      <c r="A28" s="1248" t="s">
        <v>18</v>
      </c>
      <c r="B28" s="1250">
        <v>136754</v>
      </c>
      <c r="C28" s="322"/>
      <c r="D28" s="322"/>
      <c r="E28" s="322"/>
      <c r="F28" s="322"/>
    </row>
    <row r="29" spans="1:6">
      <c r="A29" s="1248" t="s">
        <v>691</v>
      </c>
      <c r="B29" s="1250">
        <v>573</v>
      </c>
      <c r="C29" s="322"/>
      <c r="D29" s="322"/>
      <c r="E29" s="322"/>
      <c r="F29" s="322"/>
    </row>
    <row r="30" spans="1:6">
      <c r="A30" s="1243" t="s">
        <v>692</v>
      </c>
      <c r="B30" s="1251">
        <v>69</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16</v>
      </c>
      <c r="F36" s="1249">
        <v>16172</v>
      </c>
    </row>
    <row r="37" spans="1:6">
      <c r="A37" s="1248" t="s">
        <v>24</v>
      </c>
      <c r="B37" s="1248" t="s">
        <v>27</v>
      </c>
      <c r="C37" s="1249">
        <v>0</v>
      </c>
      <c r="D37" s="1249">
        <v>0</v>
      </c>
      <c r="E37" s="1249">
        <v>0</v>
      </c>
      <c r="F37" s="1249">
        <v>0</v>
      </c>
    </row>
    <row r="38" spans="1:6">
      <c r="A38" s="1248" t="s">
        <v>24</v>
      </c>
      <c r="B38" s="1248" t="s">
        <v>28</v>
      </c>
      <c r="C38" s="1249">
        <v>1</v>
      </c>
      <c r="D38" s="1249">
        <v>10079</v>
      </c>
      <c r="E38" s="1249">
        <v>3</v>
      </c>
      <c r="F38" s="1249">
        <v>2798</v>
      </c>
    </row>
    <row r="39" spans="1:6">
      <c r="A39" s="1248" t="s">
        <v>29</v>
      </c>
      <c r="B39" s="1248" t="s">
        <v>30</v>
      </c>
      <c r="C39" s="1249">
        <v>3528</v>
      </c>
      <c r="D39" s="1249">
        <v>57401136.159999996</v>
      </c>
      <c r="E39" s="1249">
        <v>8926</v>
      </c>
      <c r="F39" s="1249">
        <v>29926460.5</v>
      </c>
    </row>
    <row r="40" spans="1:6">
      <c r="A40" s="1248" t="s">
        <v>29</v>
      </c>
      <c r="B40" s="1248" t="s">
        <v>28</v>
      </c>
      <c r="C40" s="1249">
        <v>0</v>
      </c>
      <c r="D40" s="1249">
        <v>0</v>
      </c>
      <c r="E40" s="1249">
        <v>0</v>
      </c>
      <c r="F40" s="1249">
        <v>0</v>
      </c>
    </row>
    <row r="41" spans="1:6">
      <c r="A41" s="1248" t="s">
        <v>31</v>
      </c>
      <c r="B41" s="1248" t="s">
        <v>32</v>
      </c>
      <c r="C41" s="1249">
        <v>94</v>
      </c>
      <c r="D41" s="1249">
        <v>4512229</v>
      </c>
      <c r="E41" s="1249">
        <v>260</v>
      </c>
      <c r="F41" s="1249">
        <v>5318843.2520000003</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40</v>
      </c>
      <c r="D44" s="1249">
        <v>3923200.6</v>
      </c>
      <c r="E44" s="1249">
        <v>82</v>
      </c>
      <c r="F44" s="1249">
        <v>6510426.1809999999</v>
      </c>
    </row>
    <row r="45" spans="1:6">
      <c r="A45" s="1248" t="s">
        <v>31</v>
      </c>
      <c r="B45" s="1248" t="s">
        <v>36</v>
      </c>
      <c r="C45" s="1249">
        <v>3</v>
      </c>
      <c r="D45" s="1249">
        <v>4091478.071</v>
      </c>
      <c r="E45" s="1249">
        <v>8</v>
      </c>
      <c r="F45" s="1249">
        <v>6095901.3260000004</v>
      </c>
    </row>
    <row r="46" spans="1:6">
      <c r="A46" s="1248" t="s">
        <v>31</v>
      </c>
      <c r="B46" s="1248" t="s">
        <v>37</v>
      </c>
      <c r="C46" s="1249">
        <v>0</v>
      </c>
      <c r="D46" s="1249">
        <v>0</v>
      </c>
      <c r="E46" s="1249">
        <v>0</v>
      </c>
      <c r="F46" s="1249">
        <v>0</v>
      </c>
    </row>
    <row r="47" spans="1:6">
      <c r="A47" s="1248" t="s">
        <v>31</v>
      </c>
      <c r="B47" s="1248" t="s">
        <v>38</v>
      </c>
      <c r="C47" s="1249">
        <v>0</v>
      </c>
      <c r="D47" s="1249">
        <v>0</v>
      </c>
      <c r="E47" s="1249">
        <v>0</v>
      </c>
      <c r="F47" s="1249">
        <v>0</v>
      </c>
    </row>
    <row r="48" spans="1:6">
      <c r="A48" s="1248" t="s">
        <v>31</v>
      </c>
      <c r="B48" s="1248" t="s">
        <v>28</v>
      </c>
      <c r="C48" s="1249">
        <v>5</v>
      </c>
      <c r="D48" s="1249">
        <v>314937</v>
      </c>
      <c r="E48" s="1249">
        <v>6</v>
      </c>
      <c r="F48" s="1249">
        <v>623411</v>
      </c>
    </row>
    <row r="49" spans="1:6">
      <c r="A49" s="1248" t="s">
        <v>31</v>
      </c>
      <c r="B49" s="1248" t="s">
        <v>39</v>
      </c>
      <c r="C49" s="1249">
        <v>3</v>
      </c>
      <c r="D49" s="1249">
        <v>687177</v>
      </c>
      <c r="E49" s="1249">
        <v>9</v>
      </c>
      <c r="F49" s="1249">
        <v>272162.821</v>
      </c>
    </row>
    <row r="50" spans="1:6">
      <c r="A50" s="1248" t="s">
        <v>31</v>
      </c>
      <c r="B50" s="1248" t="s">
        <v>40</v>
      </c>
      <c r="C50" s="1249">
        <v>0</v>
      </c>
      <c r="D50" s="1249">
        <v>0</v>
      </c>
      <c r="E50" s="1249">
        <v>10</v>
      </c>
      <c r="F50" s="1249">
        <v>902261.21600000001</v>
      </c>
    </row>
    <row r="51" spans="1:6">
      <c r="A51" s="1248" t="s">
        <v>41</v>
      </c>
      <c r="B51" s="1248" t="s">
        <v>42</v>
      </c>
      <c r="C51" s="1249">
        <v>3</v>
      </c>
      <c r="D51" s="1249">
        <v>15505</v>
      </c>
      <c r="E51" s="1249">
        <v>144</v>
      </c>
      <c r="F51" s="1249">
        <v>2807716.2620000001</v>
      </c>
    </row>
    <row r="52" spans="1:6">
      <c r="A52" s="1248" t="s">
        <v>41</v>
      </c>
      <c r="B52" s="1248" t="s">
        <v>28</v>
      </c>
      <c r="C52" s="1249">
        <v>2</v>
      </c>
      <c r="D52" s="1249">
        <v>16952</v>
      </c>
      <c r="E52" s="1249">
        <v>0</v>
      </c>
      <c r="F52" s="1249">
        <v>0</v>
      </c>
    </row>
    <row r="53" spans="1:6">
      <c r="A53" s="1248" t="s">
        <v>43</v>
      </c>
      <c r="B53" s="1248" t="s">
        <v>44</v>
      </c>
      <c r="C53" s="1249">
        <v>57</v>
      </c>
      <c r="D53" s="1249">
        <v>1682679.4</v>
      </c>
      <c r="E53" s="1249">
        <v>152</v>
      </c>
      <c r="F53" s="1249">
        <v>814622.3</v>
      </c>
    </row>
    <row r="54" spans="1:6">
      <c r="A54" s="1248" t="s">
        <v>45</v>
      </c>
      <c r="B54" s="1248" t="s">
        <v>46</v>
      </c>
      <c r="C54" s="1249">
        <v>0</v>
      </c>
      <c r="D54" s="1249">
        <v>0</v>
      </c>
      <c r="E54" s="1249">
        <v>6</v>
      </c>
      <c r="F54" s="1249">
        <v>1497593</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34</v>
      </c>
      <c r="D57" s="1249">
        <v>2354680</v>
      </c>
      <c r="E57" s="1249">
        <v>109</v>
      </c>
      <c r="F57" s="1249">
        <v>1434304.2409999999</v>
      </c>
    </row>
    <row r="58" spans="1:6">
      <c r="A58" s="1248" t="s">
        <v>48</v>
      </c>
      <c r="B58" s="1248" t="s">
        <v>50</v>
      </c>
      <c r="C58" s="1249">
        <v>23</v>
      </c>
      <c r="D58" s="1249">
        <v>2726543.821</v>
      </c>
      <c r="E58" s="1249">
        <v>44</v>
      </c>
      <c r="F58" s="1249">
        <v>1347420.7</v>
      </c>
    </row>
    <row r="59" spans="1:6">
      <c r="A59" s="1248" t="s">
        <v>48</v>
      </c>
      <c r="B59" s="1248" t="s">
        <v>51</v>
      </c>
      <c r="C59" s="1249">
        <v>131</v>
      </c>
      <c r="D59" s="1249">
        <v>18273145.178999998</v>
      </c>
      <c r="E59" s="1249">
        <v>319</v>
      </c>
      <c r="F59" s="1249">
        <v>15147143.381999999</v>
      </c>
    </row>
    <row r="60" spans="1:6">
      <c r="A60" s="1248" t="s">
        <v>48</v>
      </c>
      <c r="B60" s="1248" t="s">
        <v>52</v>
      </c>
      <c r="C60" s="1249">
        <v>46</v>
      </c>
      <c r="D60" s="1249">
        <v>1890075</v>
      </c>
      <c r="E60" s="1249">
        <v>87</v>
      </c>
      <c r="F60" s="1249">
        <v>2372927.2579999999</v>
      </c>
    </row>
    <row r="61" spans="1:6">
      <c r="A61" s="1248" t="s">
        <v>48</v>
      </c>
      <c r="B61" s="1248" t="s">
        <v>53</v>
      </c>
      <c r="C61" s="1249">
        <v>121</v>
      </c>
      <c r="D61" s="1249">
        <v>6843970.1160000004</v>
      </c>
      <c r="E61" s="1249">
        <v>256</v>
      </c>
      <c r="F61" s="1249">
        <v>6254981.8669999996</v>
      </c>
    </row>
    <row r="62" spans="1:6">
      <c r="A62" s="1248" t="s">
        <v>48</v>
      </c>
      <c r="B62" s="1248" t="s">
        <v>54</v>
      </c>
      <c r="C62" s="1249">
        <v>5</v>
      </c>
      <c r="D62" s="1249">
        <v>326315</v>
      </c>
      <c r="E62" s="1249">
        <v>22</v>
      </c>
      <c r="F62" s="1249">
        <v>325827.96500000003</v>
      </c>
    </row>
    <row r="63" spans="1:6">
      <c r="A63" s="1248" t="s">
        <v>48</v>
      </c>
      <c r="B63" s="1248" t="s">
        <v>28</v>
      </c>
      <c r="C63" s="1249">
        <v>1</v>
      </c>
      <c r="D63" s="1249">
        <v>100472</v>
      </c>
      <c r="E63" s="1249">
        <v>1</v>
      </c>
      <c r="F63" s="1249">
        <v>29381</v>
      </c>
    </row>
    <row r="64" spans="1:6">
      <c r="A64" s="1248" t="s">
        <v>55</v>
      </c>
      <c r="B64" s="1248" t="s">
        <v>56</v>
      </c>
      <c r="C64" s="1249">
        <v>0</v>
      </c>
      <c r="D64" s="1249">
        <v>0</v>
      </c>
      <c r="E64" s="1249">
        <v>0</v>
      </c>
      <c r="F64" s="1249">
        <v>0</v>
      </c>
    </row>
    <row r="65" spans="1:6">
      <c r="A65" s="1248" t="s">
        <v>55</v>
      </c>
      <c r="B65" s="1248" t="s">
        <v>28</v>
      </c>
      <c r="C65" s="1249">
        <v>0</v>
      </c>
      <c r="D65" s="1249">
        <v>0</v>
      </c>
      <c r="E65" s="1249">
        <v>2</v>
      </c>
      <c r="F65" s="1249">
        <v>75989</v>
      </c>
    </row>
    <row r="66" spans="1:6">
      <c r="A66" s="1248" t="s">
        <v>55</v>
      </c>
      <c r="B66" s="1248" t="s">
        <v>57</v>
      </c>
      <c r="C66" s="1249">
        <v>0</v>
      </c>
      <c r="D66" s="1249">
        <v>0</v>
      </c>
      <c r="E66" s="1249">
        <v>14</v>
      </c>
      <c r="F66" s="1249">
        <v>151905</v>
      </c>
    </row>
    <row r="67" spans="1:6">
      <c r="A67" s="1248" t="s">
        <v>55</v>
      </c>
      <c r="B67" s="1248" t="s">
        <v>58</v>
      </c>
      <c r="C67" s="1249">
        <v>0</v>
      </c>
      <c r="D67" s="1249">
        <v>0</v>
      </c>
      <c r="E67" s="1249">
        <v>0</v>
      </c>
      <c r="F67" s="1249">
        <v>0</v>
      </c>
    </row>
    <row r="68" spans="1:6">
      <c r="A68" s="1243" t="s">
        <v>55</v>
      </c>
      <c r="B68" s="1243" t="s">
        <v>59</v>
      </c>
      <c r="C68" s="1251">
        <v>6</v>
      </c>
      <c r="D68" s="1251">
        <v>931244</v>
      </c>
      <c r="E68" s="1251">
        <v>14</v>
      </c>
      <c r="F68" s="1251">
        <v>695888</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119105279</v>
      </c>
      <c r="E73" s="439"/>
      <c r="F73" s="322"/>
    </row>
    <row r="74" spans="1:6">
      <c r="A74" s="1248" t="s">
        <v>63</v>
      </c>
      <c r="B74" s="1248" t="s">
        <v>617</v>
      </c>
      <c r="C74" s="1261" t="s">
        <v>619</v>
      </c>
      <c r="D74" s="1249">
        <v>10651104</v>
      </c>
      <c r="E74" s="439"/>
      <c r="F74" s="322"/>
    </row>
    <row r="75" spans="1:6">
      <c r="A75" s="1248" t="s">
        <v>64</v>
      </c>
      <c r="B75" s="1248" t="s">
        <v>616</v>
      </c>
      <c r="C75" s="1261" t="s">
        <v>620</v>
      </c>
      <c r="D75" s="1249">
        <v>53484696</v>
      </c>
      <c r="E75" s="439"/>
      <c r="F75" s="322"/>
    </row>
    <row r="76" spans="1:6">
      <c r="A76" s="1248" t="s">
        <v>64</v>
      </c>
      <c r="B76" s="1248" t="s">
        <v>617</v>
      </c>
      <c r="C76" s="1261" t="s">
        <v>621</v>
      </c>
      <c r="D76" s="1249">
        <v>1118011</v>
      </c>
      <c r="E76" s="439"/>
      <c r="F76" s="322"/>
    </row>
    <row r="77" spans="1:6">
      <c r="A77" s="1248" t="s">
        <v>65</v>
      </c>
      <c r="B77" s="1248" t="s">
        <v>616</v>
      </c>
      <c r="C77" s="1261" t="s">
        <v>622</v>
      </c>
      <c r="D77" s="1249">
        <v>0</v>
      </c>
      <c r="E77" s="439"/>
      <c r="F77" s="322"/>
    </row>
    <row r="78" spans="1:6">
      <c r="A78" s="1243" t="s">
        <v>65</v>
      </c>
      <c r="B78" s="1243" t="s">
        <v>617</v>
      </c>
      <c r="C78" s="1243" t="s">
        <v>623</v>
      </c>
      <c r="D78" s="1251">
        <v>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812616</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10119.206670708829</v>
      </c>
      <c r="C91" s="322"/>
      <c r="D91" s="322"/>
      <c r="E91" s="322"/>
      <c r="F91" s="322"/>
    </row>
    <row r="92" spans="1:6">
      <c r="A92" s="1243" t="s">
        <v>68</v>
      </c>
      <c r="B92" s="1244">
        <v>9343.8208872859959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469</v>
      </c>
      <c r="C97" s="322"/>
      <c r="D97" s="322"/>
      <c r="E97" s="322"/>
      <c r="F97" s="322"/>
    </row>
    <row r="98" spans="1:6">
      <c r="A98" s="1248" t="s">
        <v>71</v>
      </c>
      <c r="B98" s="1249">
        <v>7</v>
      </c>
      <c r="C98" s="322"/>
      <c r="D98" s="322"/>
      <c r="E98" s="322"/>
      <c r="F98" s="322"/>
    </row>
    <row r="99" spans="1:6">
      <c r="A99" s="1248" t="s">
        <v>72</v>
      </c>
      <c r="B99" s="1249">
        <v>40</v>
      </c>
      <c r="C99" s="322"/>
      <c r="D99" s="322"/>
      <c r="E99" s="322"/>
      <c r="F99" s="322"/>
    </row>
    <row r="100" spans="1:6">
      <c r="A100" s="1248" t="s">
        <v>73</v>
      </c>
      <c r="B100" s="1249">
        <v>333</v>
      </c>
      <c r="C100" s="322"/>
      <c r="D100" s="322"/>
      <c r="E100" s="322"/>
      <c r="F100" s="322"/>
    </row>
    <row r="101" spans="1:6">
      <c r="A101" s="1248" t="s">
        <v>74</v>
      </c>
      <c r="B101" s="1249">
        <v>101</v>
      </c>
      <c r="C101" s="322"/>
      <c r="D101" s="322"/>
      <c r="E101" s="322"/>
      <c r="F101" s="322"/>
    </row>
    <row r="102" spans="1:6">
      <c r="A102" s="1248" t="s">
        <v>75</v>
      </c>
      <c r="B102" s="1249">
        <v>77</v>
      </c>
      <c r="C102" s="322"/>
      <c r="D102" s="322"/>
      <c r="E102" s="322"/>
      <c r="F102" s="322"/>
    </row>
    <row r="103" spans="1:6">
      <c r="A103" s="1248" t="s">
        <v>76</v>
      </c>
      <c r="B103" s="1249">
        <v>123</v>
      </c>
      <c r="C103" s="322"/>
      <c r="D103" s="322"/>
      <c r="E103" s="322"/>
      <c r="F103" s="322"/>
    </row>
    <row r="104" spans="1:6">
      <c r="A104" s="1248" t="s">
        <v>77</v>
      </c>
      <c r="B104" s="1249">
        <v>6330</v>
      </c>
      <c r="C104" s="322"/>
      <c r="D104" s="322"/>
      <c r="E104" s="322"/>
      <c r="F104" s="322"/>
    </row>
    <row r="105" spans="1:6">
      <c r="A105" s="1243" t="s">
        <v>78</v>
      </c>
      <c r="B105" s="1251">
        <v>2</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0</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1</v>
      </c>
      <c r="C121" s="1249">
        <v>0</v>
      </c>
      <c r="D121" s="322"/>
      <c r="E121" s="322"/>
      <c r="F121" s="322"/>
    </row>
    <row r="122" spans="1:6">
      <c r="A122" s="1248" t="s">
        <v>86</v>
      </c>
      <c r="B122" s="1249">
        <v>0</v>
      </c>
      <c r="C122" s="1249">
        <v>0</v>
      </c>
      <c r="D122" s="322"/>
      <c r="E122" s="322"/>
      <c r="F122" s="322"/>
    </row>
    <row r="123" spans="1:6">
      <c r="A123" s="1248" t="s">
        <v>87</v>
      </c>
      <c r="B123" s="1249">
        <v>29</v>
      </c>
      <c r="C123" s="1249">
        <v>61</v>
      </c>
      <c r="D123" s="322"/>
      <c r="E123" s="322"/>
      <c r="F123" s="322"/>
    </row>
    <row r="124" spans="1:6">
      <c r="A124" s="1248" t="s">
        <v>88</v>
      </c>
      <c r="B124" s="1249">
        <v>1</v>
      </c>
      <c r="C124" s="1249">
        <v>3</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412</v>
      </c>
      <c r="C129" s="322"/>
      <c r="D129" s="322"/>
      <c r="E129" s="322"/>
      <c r="F129" s="322"/>
    </row>
    <row r="130" spans="1:6">
      <c r="A130" s="1248" t="s">
        <v>283</v>
      </c>
      <c r="B130" s="1249">
        <v>4</v>
      </c>
      <c r="C130" s="322"/>
      <c r="D130" s="322"/>
      <c r="E130" s="322"/>
      <c r="F130" s="322"/>
    </row>
    <row r="131" spans="1:6">
      <c r="A131" s="1248" t="s">
        <v>284</v>
      </c>
      <c r="B131" s="1249">
        <v>1</v>
      </c>
      <c r="C131" s="322"/>
      <c r="D131" s="322"/>
      <c r="E131" s="322"/>
      <c r="F131" s="322"/>
    </row>
    <row r="132" spans="1:6">
      <c r="A132" s="1243" t="s">
        <v>285</v>
      </c>
      <c r="B132" s="1244">
        <v>45</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91923.814134449553</v>
      </c>
      <c r="C3" s="43" t="s">
        <v>163</v>
      </c>
      <c r="D3" s="43"/>
      <c r="E3" s="153"/>
      <c r="F3" s="43"/>
      <c r="G3" s="43"/>
      <c r="H3" s="43"/>
      <c r="I3" s="43"/>
      <c r="J3" s="43"/>
      <c r="K3" s="96"/>
    </row>
    <row r="4" spans="1:11">
      <c r="A4" s="348" t="s">
        <v>164</v>
      </c>
      <c r="B4" s="49">
        <f>IF(ISERROR('SEAP template'!B78+'SEAP template'!C78),0,'SEAP template'!B78+'SEAP template'!C78)</f>
        <v>19506.677557994826</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0</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0.17410273207319771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62.357142857142847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1497.5930000000001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1497.5930000000001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0.17410273207319771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260.73503283369638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29926.460500000001</v>
      </c>
      <c r="C5" s="17">
        <f>IF(ISERROR('Eigen informatie GS &amp; warmtenet'!B57),0,'Eigen informatie GS &amp; warmtenet'!B57)</f>
        <v>0</v>
      </c>
      <c r="D5" s="30">
        <f>(SUM(HH_hh_gas_kWh,HH_rest_gas_kWh)/1000)*0.902</f>
        <v>51775.824816319997</v>
      </c>
      <c r="E5" s="17">
        <f>B32*B41</f>
        <v>3416.3055592628307</v>
      </c>
      <c r="F5" s="17">
        <f>B36*B45</f>
        <v>79187.304922640644</v>
      </c>
      <c r="G5" s="18"/>
      <c r="H5" s="17"/>
      <c r="I5" s="17"/>
      <c r="J5" s="17">
        <f>B35*B44+C35*C44</f>
        <v>406.95299443149509</v>
      </c>
      <c r="K5" s="17"/>
      <c r="L5" s="17"/>
      <c r="M5" s="17"/>
      <c r="N5" s="17">
        <f>B34*B43+C34*C43</f>
        <v>15074.436515359946</v>
      </c>
      <c r="O5" s="17">
        <f>B52*B53*B54</f>
        <v>744.14666666666665</v>
      </c>
      <c r="P5" s="17">
        <f>B60*B61*B62/1000-B60*B61*B62/1000/B63</f>
        <v>1430</v>
      </c>
    </row>
    <row r="6" spans="1:16">
      <c r="A6" s="16" t="s">
        <v>582</v>
      </c>
      <c r="B6" s="716">
        <f>kWh_PV_kleiner_dan_10kW</f>
        <v>10119.206670708829</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40045.667170708832</v>
      </c>
      <c r="C8" s="21">
        <f>C5</f>
        <v>0</v>
      </c>
      <c r="D8" s="21">
        <f>D5</f>
        <v>51775.824816319997</v>
      </c>
      <c r="E8" s="21">
        <f>E5</f>
        <v>3416.3055592628307</v>
      </c>
      <c r="F8" s="21">
        <f>F5</f>
        <v>79187.304922640644</v>
      </c>
      <c r="G8" s="21"/>
      <c r="H8" s="21"/>
      <c r="I8" s="21"/>
      <c r="J8" s="21">
        <f>J5</f>
        <v>406.95299443149509</v>
      </c>
      <c r="K8" s="21"/>
      <c r="L8" s="21">
        <f>L5</f>
        <v>0</v>
      </c>
      <c r="M8" s="21">
        <f>M5</f>
        <v>0</v>
      </c>
      <c r="N8" s="21">
        <f>N5</f>
        <v>15074.436515359946</v>
      </c>
      <c r="O8" s="21">
        <f>O5</f>
        <v>744.14666666666665</v>
      </c>
      <c r="P8" s="21">
        <f>P5</f>
        <v>1430</v>
      </c>
    </row>
    <row r="9" spans="1:16">
      <c r="B9" s="19"/>
      <c r="C9" s="19"/>
      <c r="D9" s="253"/>
      <c r="E9" s="19"/>
      <c r="F9" s="19"/>
      <c r="G9" s="19"/>
      <c r="H9" s="19"/>
      <c r="I9" s="19"/>
      <c r="J9" s="19"/>
      <c r="K9" s="19"/>
      <c r="L9" s="19"/>
      <c r="M9" s="19"/>
      <c r="N9" s="19"/>
      <c r="O9" s="19"/>
      <c r="P9" s="19"/>
    </row>
    <row r="10" spans="1:16">
      <c r="A10" s="24" t="s">
        <v>207</v>
      </c>
      <c r="B10" s="25">
        <f ca="1">'EF ele_warmte'!B12</f>
        <v>0.17410273207319771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6972.0600621143694</v>
      </c>
      <c r="C12" s="23">
        <f ca="1">C10*C8</f>
        <v>0</v>
      </c>
      <c r="D12" s="23">
        <f>D8*D10</f>
        <v>10458.71661289664</v>
      </c>
      <c r="E12" s="23">
        <f>E10*E8</f>
        <v>775.50136195266259</v>
      </c>
      <c r="F12" s="23">
        <f>F10*F8</f>
        <v>21143.010414345052</v>
      </c>
      <c r="G12" s="23"/>
      <c r="H12" s="23"/>
      <c r="I12" s="23"/>
      <c r="J12" s="23">
        <f>J10*J8</f>
        <v>144.06136002874925</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9159</v>
      </c>
      <c r="C26" s="36"/>
      <c r="D26" s="224"/>
    </row>
    <row r="27" spans="1:5" s="15" customFormat="1">
      <c r="A27" s="226" t="s">
        <v>736</v>
      </c>
      <c r="B27" s="37">
        <f>SUM(HH_hh_gas_aantal,HH_rest_gas_aantal)</f>
        <v>3528</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3351.6</v>
      </c>
      <c r="C31" s="34" t="s">
        <v>104</v>
      </c>
      <c r="D31" s="170"/>
    </row>
    <row r="32" spans="1:5">
      <c r="A32" s="167" t="s">
        <v>72</v>
      </c>
      <c r="B32" s="33">
        <f>IF((B21*($B$26-($B$27-0.05*$B$27)-$B$60))&lt;0,0,B21*($B$26-($B$27-0.05*$B$27)-$B$60))</f>
        <v>63.129964138858327</v>
      </c>
      <c r="C32" s="34" t="s">
        <v>104</v>
      </c>
      <c r="D32" s="170"/>
    </row>
    <row r="33" spans="1:6">
      <c r="A33" s="167" t="s">
        <v>73</v>
      </c>
      <c r="B33" s="33">
        <f>IF((B22*($B$26-($B$27-0.05*$B$27)-$B$60))&lt;0,0,B22*($B$26-($B$27-0.05*$B$27)-$B$60))</f>
        <v>1312.5249690516109</v>
      </c>
      <c r="C33" s="34" t="s">
        <v>104</v>
      </c>
      <c r="D33" s="170"/>
    </row>
    <row r="34" spans="1:6">
      <c r="A34" s="167" t="s">
        <v>74</v>
      </c>
      <c r="B34" s="33">
        <f>IF((B24*($B$26-($B$27-0.05*$B$27)-$B$60))&lt;0,0,B24*($B$26-($B$27-0.05*$B$27)-$B$60))</f>
        <v>512.27399576548567</v>
      </c>
      <c r="C34" s="33">
        <f>B26*C24</f>
        <v>1622.2845663767816</v>
      </c>
      <c r="D34" s="229"/>
    </row>
    <row r="35" spans="1:6">
      <c r="A35" s="167" t="s">
        <v>76</v>
      </c>
      <c r="B35" s="33">
        <f>IF((B19*($B$26-($B$27-0.05*$B$27)-$B$60))&lt;0,0,B19*($B$26-($B$27-0.05*$B$27)-$B$60))</f>
        <v>47.782575506313023</v>
      </c>
      <c r="C35" s="33">
        <f>B35/2</f>
        <v>23.891287753156512</v>
      </c>
      <c r="D35" s="229"/>
    </row>
    <row r="36" spans="1:6">
      <c r="A36" s="167" t="s">
        <v>77</v>
      </c>
      <c r="B36" s="33">
        <f>IF((B18*($B$26-($B$27-0.05*$B$27)-$B$60))&lt;0,0,B18*($B$26-($B$27-0.05*$B$27)-$B$60))</f>
        <v>3796.6884955377318</v>
      </c>
      <c r="C36" s="34" t="s">
        <v>104</v>
      </c>
      <c r="D36" s="170"/>
    </row>
    <row r="37" spans="1:6">
      <c r="A37" s="167" t="s">
        <v>78</v>
      </c>
      <c r="B37" s="33">
        <f>B60</f>
        <v>75</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476</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75</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26911.986412999995</v>
      </c>
      <c r="C5" s="17">
        <f>IF(ISERROR('Eigen informatie GS &amp; warmtenet'!B58),0,'Eigen informatie GS &amp; warmtenet'!B58)</f>
        <v>0</v>
      </c>
      <c r="D5" s="30">
        <f>SUM(D6:D12)</f>
        <v>29328.711406631999</v>
      </c>
      <c r="E5" s="17">
        <f>SUM(E6:E12)</f>
        <v>486.46243783032344</v>
      </c>
      <c r="F5" s="17">
        <f>SUM(F6:F12)</f>
        <v>3656.3829723434533</v>
      </c>
      <c r="G5" s="18"/>
      <c r="H5" s="17"/>
      <c r="I5" s="17"/>
      <c r="J5" s="17">
        <f>SUM(J6:J12)</f>
        <v>1.5805726390782541E-2</v>
      </c>
      <c r="K5" s="17"/>
      <c r="L5" s="17"/>
      <c r="M5" s="17"/>
      <c r="N5" s="17">
        <f>SUM(N6:N12)</f>
        <v>684.05196050153006</v>
      </c>
      <c r="O5" s="17">
        <f>B38*B39*B40</f>
        <v>6.2533333333333339</v>
      </c>
      <c r="P5" s="17">
        <f>B46*B47*B48/1000-B46*B47*B48/1000/B49</f>
        <v>38.133333333333333</v>
      </c>
      <c r="R5" s="32"/>
    </row>
    <row r="6" spans="1:18">
      <c r="A6" s="32" t="s">
        <v>53</v>
      </c>
      <c r="B6" s="37">
        <f>B26</f>
        <v>6254.9818669999995</v>
      </c>
      <c r="C6" s="33"/>
      <c r="D6" s="37">
        <f>IF(ISERROR(TER_kantoor_gas_kWh/1000),0,TER_kantoor_gas_kWh/1000)*0.902</f>
        <v>6173.2610446320004</v>
      </c>
      <c r="E6" s="33">
        <f>$C$26*'E Balans VL '!I12/100/3.6*1000000</f>
        <v>-5.1361542993567564E-4</v>
      </c>
      <c r="F6" s="33">
        <f>$C$26*('E Balans VL '!L12+'E Balans VL '!N12)/100/3.6*1000000</f>
        <v>792.70248708890642</v>
      </c>
      <c r="G6" s="34"/>
      <c r="H6" s="33"/>
      <c r="I6" s="33"/>
      <c r="J6" s="33">
        <f>$C$26*('E Balans VL '!D12+'E Balans VL '!E12)/100/3.6*1000000</f>
        <v>0</v>
      </c>
      <c r="K6" s="33"/>
      <c r="L6" s="33"/>
      <c r="M6" s="33"/>
      <c r="N6" s="33">
        <f>$C$26*'E Balans VL '!Y12/100/3.6*1000000</f>
        <v>7.6721052373078669</v>
      </c>
      <c r="O6" s="33"/>
      <c r="P6" s="33"/>
      <c r="R6" s="32"/>
    </row>
    <row r="7" spans="1:18">
      <c r="A7" s="32" t="s">
        <v>52</v>
      </c>
      <c r="B7" s="37">
        <f t="shared" ref="B7:B12" si="0">B27</f>
        <v>2372.9272579999997</v>
      </c>
      <c r="C7" s="33"/>
      <c r="D7" s="37">
        <f>IF(ISERROR(TER_horeca_gas_kWh/1000),0,TER_horeca_gas_kWh/1000)*0.902</f>
        <v>1704.8476500000002</v>
      </c>
      <c r="E7" s="33">
        <f>$C$27*'E Balans VL '!I9/100/3.6*1000000</f>
        <v>27.313554852479733</v>
      </c>
      <c r="F7" s="33">
        <f>$C$27*('E Balans VL '!L9+'E Balans VL '!N9)/100/3.6*1000000</f>
        <v>305.95061584003116</v>
      </c>
      <c r="G7" s="34"/>
      <c r="H7" s="33"/>
      <c r="I7" s="33"/>
      <c r="J7" s="33">
        <f>$C$27*('E Balans VL '!D9+'E Balans VL '!E9)/100/3.6*1000000</f>
        <v>0</v>
      </c>
      <c r="K7" s="33"/>
      <c r="L7" s="33"/>
      <c r="M7" s="33"/>
      <c r="N7" s="33">
        <f>$C$27*'E Balans VL '!Y9/100/3.6*1000000</f>
        <v>25.045703426954208</v>
      </c>
      <c r="O7" s="33"/>
      <c r="P7" s="33"/>
      <c r="R7" s="32"/>
    </row>
    <row r="8" spans="1:18">
      <c r="A8" s="6" t="s">
        <v>51</v>
      </c>
      <c r="B8" s="37">
        <f t="shared" si="0"/>
        <v>15147.143381999998</v>
      </c>
      <c r="C8" s="33"/>
      <c r="D8" s="37">
        <f>IF(ISERROR(TER_handel_gas_kWh/1000),0,TER_handel_gas_kWh/1000)*0.902</f>
        <v>16482.376951457998</v>
      </c>
      <c r="E8" s="33">
        <f>$C$28*'E Balans VL '!I13/100/3.6*1000000</f>
        <v>427.36763777071519</v>
      </c>
      <c r="F8" s="33">
        <f>$C$28*('E Balans VL '!L13+'E Balans VL '!N13)/100/3.6*1000000</f>
        <v>1523.4778876245086</v>
      </c>
      <c r="G8" s="34"/>
      <c r="H8" s="33"/>
      <c r="I8" s="33"/>
      <c r="J8" s="33">
        <f>$C$28*('E Balans VL '!D13+'E Balans VL '!E13)/100/3.6*1000000</f>
        <v>0</v>
      </c>
      <c r="K8" s="33"/>
      <c r="L8" s="33"/>
      <c r="M8" s="33"/>
      <c r="N8" s="33">
        <f>$C$28*'E Balans VL '!Y13/100/3.6*1000000</f>
        <v>20.908934787675278</v>
      </c>
      <c r="O8" s="33"/>
      <c r="P8" s="33"/>
      <c r="R8" s="32"/>
    </row>
    <row r="9" spans="1:18">
      <c r="A9" s="32" t="s">
        <v>50</v>
      </c>
      <c r="B9" s="37">
        <f t="shared" si="0"/>
        <v>1347.4206999999999</v>
      </c>
      <c r="C9" s="33"/>
      <c r="D9" s="37">
        <f>IF(ISERROR(TER_gezond_gas_kWh/1000),0,TER_gezond_gas_kWh/1000)*0.902</f>
        <v>2459.3425265420001</v>
      </c>
      <c r="E9" s="33">
        <f>$C$29*'E Balans VL '!I10/100/3.6*1000000</f>
        <v>2.6917317334408968</v>
      </c>
      <c r="F9" s="33">
        <f>$C$29*('E Balans VL '!L10+'E Balans VL '!N10)/100/3.6*1000000</f>
        <v>118.06108126525858</v>
      </c>
      <c r="G9" s="34"/>
      <c r="H9" s="33"/>
      <c r="I9" s="33"/>
      <c r="J9" s="33">
        <f>$C$29*('E Balans VL '!D10+'E Balans VL '!E10)/100/3.6*1000000</f>
        <v>0</v>
      </c>
      <c r="K9" s="33"/>
      <c r="L9" s="33"/>
      <c r="M9" s="33"/>
      <c r="N9" s="33">
        <f>$C$29*'E Balans VL '!Y10/100/3.6*1000000</f>
        <v>20.381674900365237</v>
      </c>
      <c r="O9" s="33"/>
      <c r="P9" s="33"/>
      <c r="R9" s="32"/>
    </row>
    <row r="10" spans="1:18">
      <c r="A10" s="32" t="s">
        <v>49</v>
      </c>
      <c r="B10" s="37">
        <f t="shared" si="0"/>
        <v>1434.3042409999998</v>
      </c>
      <c r="C10" s="33"/>
      <c r="D10" s="37">
        <f>IF(ISERROR(TER_ander_gas_kWh/1000),0,TER_ander_gas_kWh/1000)*0.902</f>
        <v>2123.9213599999998</v>
      </c>
      <c r="E10" s="33">
        <f>$C$30*'E Balans VL '!I14/100/3.6*1000000</f>
        <v>20.205885628977381</v>
      </c>
      <c r="F10" s="33">
        <f>$C$30*('E Balans VL '!L14+'E Balans VL '!N14)/100/3.6*1000000</f>
        <v>870.06734160395831</v>
      </c>
      <c r="G10" s="34"/>
      <c r="H10" s="33"/>
      <c r="I10" s="33"/>
      <c r="J10" s="33">
        <f>$C$30*('E Balans VL '!D14+'E Balans VL '!E14)/100/3.6*1000000</f>
        <v>1.5745903295409369E-2</v>
      </c>
      <c r="K10" s="33"/>
      <c r="L10" s="33"/>
      <c r="M10" s="33"/>
      <c r="N10" s="33">
        <f>$C$30*'E Balans VL '!Y14/100/3.6*1000000</f>
        <v>606.61208000495151</v>
      </c>
      <c r="O10" s="33"/>
      <c r="P10" s="33"/>
      <c r="R10" s="32"/>
    </row>
    <row r="11" spans="1:18">
      <c r="A11" s="32" t="s">
        <v>54</v>
      </c>
      <c r="B11" s="37">
        <f t="shared" si="0"/>
        <v>325.82796500000001</v>
      </c>
      <c r="C11" s="33"/>
      <c r="D11" s="37">
        <f>IF(ISERROR(TER_onderwijs_gas_kWh/1000),0,TER_onderwijs_gas_kWh/1000)*0.902</f>
        <v>294.33613000000003</v>
      </c>
      <c r="E11" s="33">
        <f>$C$31*'E Balans VL '!I11/100/3.6*1000000</f>
        <v>8.5042700417656754</v>
      </c>
      <c r="F11" s="33">
        <f>$C$31*('E Balans VL '!L11+'E Balans VL '!N11)/100/3.6*1000000</f>
        <v>40.095869047523379</v>
      </c>
      <c r="G11" s="34"/>
      <c r="H11" s="33"/>
      <c r="I11" s="33"/>
      <c r="J11" s="33">
        <f>$C$31*('E Balans VL '!D11+'E Balans VL '!E11)/100/3.6*1000000</f>
        <v>0</v>
      </c>
      <c r="K11" s="33"/>
      <c r="L11" s="33"/>
      <c r="M11" s="33"/>
      <c r="N11" s="33">
        <f>$C$31*'E Balans VL '!Y11/100/3.6*1000000</f>
        <v>1.0318010372797086</v>
      </c>
      <c r="O11" s="33"/>
      <c r="P11" s="33"/>
      <c r="R11" s="32"/>
    </row>
    <row r="12" spans="1:18">
      <c r="A12" s="32" t="s">
        <v>248</v>
      </c>
      <c r="B12" s="37">
        <f t="shared" si="0"/>
        <v>29.381</v>
      </c>
      <c r="C12" s="33"/>
      <c r="D12" s="37">
        <f>IF(ISERROR(TER_rest_gas_kWh/1000),0,TER_rest_gas_kWh/1000)*0.902</f>
        <v>90.625743999999997</v>
      </c>
      <c r="E12" s="33">
        <f>$C$32*'E Balans VL '!I8/100/3.6*1000000</f>
        <v>0.37987141837450128</v>
      </c>
      <c r="F12" s="33">
        <f>$C$32*('E Balans VL '!L8+'E Balans VL '!N8)/100/3.6*1000000</f>
        <v>6.0276898732666719</v>
      </c>
      <c r="G12" s="34"/>
      <c r="H12" s="33"/>
      <c r="I12" s="33"/>
      <c r="J12" s="33">
        <f>$C$32*('E Balans VL '!D8+'E Balans VL '!E8)/100/3.6*1000000</f>
        <v>5.9823095373170217E-5</v>
      </c>
      <c r="K12" s="33"/>
      <c r="L12" s="33"/>
      <c r="M12" s="33"/>
      <c r="N12" s="33">
        <f>$C$32*'E Balans VL '!Y8/100/3.6*1000000</f>
        <v>2.3996611069963136</v>
      </c>
      <c r="O12" s="33"/>
      <c r="P12" s="33"/>
      <c r="R12" s="32"/>
    </row>
    <row r="13" spans="1:18">
      <c r="A13" s="16" t="s">
        <v>473</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26911.986412999995</v>
      </c>
      <c r="C16" s="21">
        <f t="shared" ca="1" si="1"/>
        <v>0</v>
      </c>
      <c r="D16" s="21">
        <f t="shared" ca="1" si="1"/>
        <v>29328.711406631999</v>
      </c>
      <c r="E16" s="21">
        <f t="shared" si="1"/>
        <v>486.46243783032344</v>
      </c>
      <c r="F16" s="21">
        <f t="shared" ca="1" si="1"/>
        <v>3656.3829723434533</v>
      </c>
      <c r="G16" s="21">
        <f t="shared" si="1"/>
        <v>0</v>
      </c>
      <c r="H16" s="21">
        <f t="shared" si="1"/>
        <v>0</v>
      </c>
      <c r="I16" s="21">
        <f t="shared" si="1"/>
        <v>0</v>
      </c>
      <c r="J16" s="21">
        <f t="shared" si="1"/>
        <v>1.5805726390782541E-2</v>
      </c>
      <c r="K16" s="21">
        <f t="shared" si="1"/>
        <v>0</v>
      </c>
      <c r="L16" s="21">
        <f t="shared" ca="1" si="1"/>
        <v>0</v>
      </c>
      <c r="M16" s="21">
        <f t="shared" si="1"/>
        <v>0</v>
      </c>
      <c r="N16" s="21">
        <f t="shared" ca="1" si="1"/>
        <v>684.05196050153006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0.17410273207319771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4685.4503600200751</v>
      </c>
      <c r="C20" s="23">
        <f t="shared" ref="C20:P20" ca="1" si="2">C16*C18</f>
        <v>0</v>
      </c>
      <c r="D20" s="23">
        <f t="shared" ca="1" si="2"/>
        <v>5924.3997041396642</v>
      </c>
      <c r="E20" s="23">
        <f t="shared" si="2"/>
        <v>110.42697338748343</v>
      </c>
      <c r="F20" s="23">
        <f t="shared" ca="1" si="2"/>
        <v>976.25425361570205</v>
      </c>
      <c r="G20" s="23">
        <f t="shared" si="2"/>
        <v>0</v>
      </c>
      <c r="H20" s="23">
        <f t="shared" si="2"/>
        <v>0</v>
      </c>
      <c r="I20" s="23">
        <f t="shared" si="2"/>
        <v>0</v>
      </c>
      <c r="J20" s="23">
        <f t="shared" si="2"/>
        <v>5.5952271423370193E-3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6254.9818669999995</v>
      </c>
      <c r="C26" s="39">
        <f>IF(ISERROR(B26*3.6/1000000/'E Balans VL '!Z12*100),0,B26*3.6/1000000/'E Balans VL '!Z12*100)</f>
        <v>0.16957793393440029</v>
      </c>
      <c r="D26" s="232" t="s">
        <v>700</v>
      </c>
      <c r="F26" s="6"/>
    </row>
    <row r="27" spans="1:18">
      <c r="A27" s="227" t="s">
        <v>52</v>
      </c>
      <c r="B27" s="33">
        <f>IF(ISERROR(TER_horeca_ele_kWh/1000),0,TER_horeca_ele_kWh/1000)</f>
        <v>2372.9272579999997</v>
      </c>
      <c r="C27" s="39">
        <f>IF(ISERROR(B27*3.6/1000000/'E Balans VL '!Z9*100),0,B27*3.6/1000000/'E Balans VL '!Z9*100)</f>
        <v>0.1835484125605723</v>
      </c>
      <c r="D27" s="232" t="s">
        <v>700</v>
      </c>
      <c r="F27" s="6"/>
    </row>
    <row r="28" spans="1:18">
      <c r="A28" s="167" t="s">
        <v>51</v>
      </c>
      <c r="B28" s="33">
        <f>IF(ISERROR(TER_handel_ele_kWh/1000),0,TER_handel_ele_kWh/1000)</f>
        <v>15147.143381999998</v>
      </c>
      <c r="C28" s="39">
        <f>IF(ISERROR(B28*3.6/1000000/'E Balans VL '!Z13*100),0,B28*3.6/1000000/'E Balans VL '!Z13*100)</f>
        <v>0.43809456176063921</v>
      </c>
      <c r="D28" s="232" t="s">
        <v>700</v>
      </c>
      <c r="F28" s="6"/>
    </row>
    <row r="29" spans="1:18">
      <c r="A29" s="227" t="s">
        <v>50</v>
      </c>
      <c r="B29" s="33">
        <f>IF(ISERROR(TER_gezond_ele_kWh/1000),0,TER_gezond_ele_kWh/1000)</f>
        <v>1347.4206999999999</v>
      </c>
      <c r="C29" s="39">
        <f>IF(ISERROR(B29*3.6/1000000/'E Balans VL '!Z10*100),0,B29*3.6/1000000/'E Balans VL '!Z10*100)</f>
        <v>0.13877111796458452</v>
      </c>
      <c r="D29" s="232" t="s">
        <v>700</v>
      </c>
      <c r="F29" s="6"/>
    </row>
    <row r="30" spans="1:18">
      <c r="A30" s="227" t="s">
        <v>49</v>
      </c>
      <c r="B30" s="33">
        <f>IF(ISERROR(TER_ander_ele_kWh/1000),0,TER_ander_ele_kWh/1000)</f>
        <v>1434.3042409999998</v>
      </c>
      <c r="C30" s="39">
        <f>IF(ISERROR(B30*3.6/1000000/'E Balans VL '!Z14*100),0,B30*3.6/1000000/'E Balans VL '!Z14*100)</f>
        <v>6.4488341141608341E-2</v>
      </c>
      <c r="D30" s="232" t="s">
        <v>700</v>
      </c>
      <c r="F30" s="6"/>
    </row>
    <row r="31" spans="1:18">
      <c r="A31" s="227" t="s">
        <v>54</v>
      </c>
      <c r="B31" s="33">
        <f>IF(ISERROR(TER_onderwijs_ele_kWh/1000),0,TER_onderwijs_ele_kWh/1000)</f>
        <v>325.82796500000001</v>
      </c>
      <c r="C31" s="39">
        <f>IF(ISERROR(B31*3.6/1000000/'E Balans VL '!Z11*100),0,B31*3.6/1000000/'E Balans VL '!Z11*100)</f>
        <v>9.1058140533073068E-2</v>
      </c>
      <c r="D31" s="232" t="s">
        <v>700</v>
      </c>
    </row>
    <row r="32" spans="1:18">
      <c r="A32" s="227" t="s">
        <v>248</v>
      </c>
      <c r="B32" s="33">
        <f>IF(ISERROR(TER_rest_ele_kWh/1000),0,TER_rest_ele_kWh/1000)</f>
        <v>29.381</v>
      </c>
      <c r="C32" s="39">
        <f>IF(ISERROR(B32*3.6/1000000/'E Balans VL '!Z8*100),0,B32*3.6/1000000/'E Balans VL '!Z8*100)</f>
        <v>2.45009264326977E-4</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4</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2</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19723.005796000001</v>
      </c>
      <c r="C5" s="17">
        <f>IF(ISERROR('Eigen informatie GS &amp; warmtenet'!B59),0,'Eigen informatie GS &amp; warmtenet'!B59)</f>
        <v>0</v>
      </c>
      <c r="D5" s="30">
        <f>SUM(D6:D15)</f>
        <v>12203.177547241999</v>
      </c>
      <c r="E5" s="17">
        <f>SUM(E6:E15)</f>
        <v>275.02186563738076</v>
      </c>
      <c r="F5" s="17">
        <f>SUM(F6:F15)</f>
        <v>6021.283495806767</v>
      </c>
      <c r="G5" s="18"/>
      <c r="H5" s="17"/>
      <c r="I5" s="17"/>
      <c r="J5" s="17">
        <f>SUM(J6:J15)</f>
        <v>12.617321211399227</v>
      </c>
      <c r="K5" s="17"/>
      <c r="L5" s="17"/>
      <c r="M5" s="17"/>
      <c r="N5" s="17">
        <f>SUM(N6:N15)</f>
        <v>1771.9350989777622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6510.4261809999998</v>
      </c>
      <c r="C8" s="33"/>
      <c r="D8" s="37">
        <f>IF( ISERROR(IND_metaal_Gas_kWH/1000),0,IND_metaal_Gas_kWH/1000)*0.902</f>
        <v>3538.7269412000001</v>
      </c>
      <c r="E8" s="33">
        <f>C30*'E Balans VL '!I18/100/3.6*1000000</f>
        <v>59.08411227904385</v>
      </c>
      <c r="F8" s="33">
        <f>C30*'E Balans VL '!L18/100/3.6*1000000+C30*'E Balans VL '!N18/100/3.6*1000000</f>
        <v>599.233191542447</v>
      </c>
      <c r="G8" s="34"/>
      <c r="H8" s="33"/>
      <c r="I8" s="33"/>
      <c r="J8" s="40">
        <f>C30*'E Balans VL '!D18/100/3.6*1000000+C30*'E Balans VL '!E18/100/3.6*1000000</f>
        <v>0</v>
      </c>
      <c r="K8" s="33"/>
      <c r="L8" s="33"/>
      <c r="M8" s="33"/>
      <c r="N8" s="33">
        <f>C30*'E Balans VL '!Y18/100/3.6*1000000</f>
        <v>95.047095365990657</v>
      </c>
      <c r="O8" s="33"/>
      <c r="P8" s="33"/>
      <c r="R8" s="32"/>
    </row>
    <row r="9" spans="1:18">
      <c r="A9" s="6" t="s">
        <v>32</v>
      </c>
      <c r="B9" s="37">
        <f t="shared" si="0"/>
        <v>5318.8432520000006</v>
      </c>
      <c r="C9" s="33"/>
      <c r="D9" s="37">
        <f>IF( ISERROR(IND_andere_gas_kWh/1000),0,IND_andere_gas_kWh/1000)*0.902</f>
        <v>4070.0305580000004</v>
      </c>
      <c r="E9" s="33">
        <f>C31*'E Balans VL '!I19/100/3.6*1000000</f>
        <v>30.871768273410353</v>
      </c>
      <c r="F9" s="33">
        <f>C31*'E Balans VL '!L19/100/3.6*1000000+C31*'E Balans VL '!N19/100/3.6*1000000</f>
        <v>3507.7174007601147</v>
      </c>
      <c r="G9" s="34"/>
      <c r="H9" s="33"/>
      <c r="I9" s="33"/>
      <c r="J9" s="40">
        <f>C31*'E Balans VL '!D19/100/3.6*1000000+C31*'E Balans VL '!E19/100/3.6*1000000</f>
        <v>0</v>
      </c>
      <c r="K9" s="33"/>
      <c r="L9" s="33"/>
      <c r="M9" s="33"/>
      <c r="N9" s="33">
        <f>C31*'E Balans VL '!Y19/100/3.6*1000000</f>
        <v>246.32025445085199</v>
      </c>
      <c r="O9" s="33"/>
      <c r="P9" s="33"/>
      <c r="R9" s="32"/>
    </row>
    <row r="10" spans="1:18">
      <c r="A10" s="6" t="s">
        <v>40</v>
      </c>
      <c r="B10" s="37">
        <f t="shared" si="0"/>
        <v>902.26121599999999</v>
      </c>
      <c r="C10" s="33"/>
      <c r="D10" s="37">
        <f>IF( ISERROR(IND_voed_gas_kWh/1000),0,IND_voed_gas_kWh/1000)*0.902</f>
        <v>0</v>
      </c>
      <c r="E10" s="33">
        <f>C32*'E Balans VL '!I20/100/3.6*1000000</f>
        <v>1.912101975580998</v>
      </c>
      <c r="F10" s="33">
        <f>C32*'E Balans VL '!L20/100/3.6*1000000+C32*'E Balans VL '!N20/100/3.6*1000000</f>
        <v>57.342427370501298</v>
      </c>
      <c r="G10" s="34"/>
      <c r="H10" s="33"/>
      <c r="I10" s="33"/>
      <c r="J10" s="40">
        <f>C32*'E Balans VL '!D20/100/3.6*1000000+C32*'E Balans VL '!E20/100/3.6*1000000</f>
        <v>0</v>
      </c>
      <c r="K10" s="33"/>
      <c r="L10" s="33"/>
      <c r="M10" s="33"/>
      <c r="N10" s="33">
        <f>C32*'E Balans VL '!Y20/100/3.6*1000000</f>
        <v>26.155553318727744</v>
      </c>
      <c r="O10" s="33"/>
      <c r="P10" s="33"/>
      <c r="R10" s="32"/>
    </row>
    <row r="11" spans="1:18">
      <c r="A11" s="6" t="s">
        <v>39</v>
      </c>
      <c r="B11" s="37">
        <f t="shared" si="0"/>
        <v>272.16282100000001</v>
      </c>
      <c r="C11" s="33"/>
      <c r="D11" s="37">
        <f>IF( ISERROR(IND_textiel_gas_kWh/1000),0,IND_textiel_gas_kWh/1000)*0.902</f>
        <v>619.83365400000002</v>
      </c>
      <c r="E11" s="33">
        <f>C33*'E Balans VL '!I21/100/3.6*1000000</f>
        <v>0.85198163849069575</v>
      </c>
      <c r="F11" s="33">
        <f>C33*'E Balans VL '!L21/100/3.6*1000000+C33*'E Balans VL '!N21/100/3.6*1000000</f>
        <v>27.819522455378724</v>
      </c>
      <c r="G11" s="34"/>
      <c r="H11" s="33"/>
      <c r="I11" s="33"/>
      <c r="J11" s="40">
        <f>C33*'E Balans VL '!D21/100/3.6*1000000+C33*'E Balans VL '!E21/100/3.6*1000000</f>
        <v>0</v>
      </c>
      <c r="K11" s="33"/>
      <c r="L11" s="33"/>
      <c r="M11" s="33"/>
      <c r="N11" s="33">
        <f>C33*'E Balans VL '!Y21/100/3.6*1000000</f>
        <v>3.7575300530527218E-2</v>
      </c>
      <c r="O11" s="33"/>
      <c r="P11" s="33"/>
      <c r="R11" s="32"/>
    </row>
    <row r="12" spans="1:18">
      <c r="A12" s="6" t="s">
        <v>36</v>
      </c>
      <c r="B12" s="37">
        <f t="shared" si="0"/>
        <v>6095.9013260000002</v>
      </c>
      <c r="C12" s="33"/>
      <c r="D12" s="37">
        <f>IF( ISERROR(IND_min_gas_kWh/1000),0,IND_min_gas_kWh/1000)*0.902</f>
        <v>3690.5132200420003</v>
      </c>
      <c r="E12" s="33">
        <f>C34*'E Balans VL '!I22/100/3.6*1000000</f>
        <v>148.57548002514991</v>
      </c>
      <c r="F12" s="33">
        <f>C34*'E Balans VL '!L22/100/3.6*1000000+C34*'E Balans VL '!N22/100/3.6*1000000</f>
        <v>1719.5973229059794</v>
      </c>
      <c r="G12" s="34"/>
      <c r="H12" s="33"/>
      <c r="I12" s="33"/>
      <c r="J12" s="40">
        <f>C34*'E Balans VL '!D22/100/3.6*1000000+C34*'E Balans VL '!E22/100/3.6*1000000</f>
        <v>10.421925648116392</v>
      </c>
      <c r="K12" s="33"/>
      <c r="L12" s="33"/>
      <c r="M12" s="33"/>
      <c r="N12" s="33">
        <f>C34*'E Balans VL '!Y22/100/3.6*1000000</f>
        <v>1388.3824760159357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623.41099999999994</v>
      </c>
      <c r="C15" s="33"/>
      <c r="D15" s="37">
        <f>IF( ISERROR(IND_rest_gas_kWh/1000),0,IND_rest_gas_kWh/1000)*0.902</f>
        <v>284.07317399999999</v>
      </c>
      <c r="E15" s="33">
        <f>C37*'E Balans VL '!I15/100/3.6*1000000</f>
        <v>33.726421445704965</v>
      </c>
      <c r="F15" s="33">
        <f>C37*'E Balans VL '!L15/100/3.6*1000000+C37*'E Balans VL '!N15/100/3.6*1000000</f>
        <v>109.57363077234679</v>
      </c>
      <c r="G15" s="34"/>
      <c r="H15" s="33"/>
      <c r="I15" s="33"/>
      <c r="J15" s="40">
        <f>C37*'E Balans VL '!D15/100/3.6*1000000+C37*'E Balans VL '!E15/100/3.6*1000000</f>
        <v>2.195395563282835</v>
      </c>
      <c r="K15" s="33"/>
      <c r="L15" s="33"/>
      <c r="M15" s="33"/>
      <c r="N15" s="33">
        <f>C37*'E Balans VL '!Y15/100/3.6*1000000</f>
        <v>15.992144525725418</v>
      </c>
      <c r="O15" s="33"/>
      <c r="P15" s="33"/>
      <c r="R15" s="32"/>
    </row>
    <row r="16" spans="1:18">
      <c r="A16" s="16" t="s">
        <v>473</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19723.005796000001</v>
      </c>
      <c r="C18" s="21">
        <f>C5+C16</f>
        <v>0</v>
      </c>
      <c r="D18" s="21">
        <f>MAX((D5+D16),0)</f>
        <v>12203.177547241999</v>
      </c>
      <c r="E18" s="21">
        <f>MAX((E5+E16),0)</f>
        <v>275.02186563738076</v>
      </c>
      <c r="F18" s="21">
        <f>MAX((F5+F16),0)</f>
        <v>6021.283495806767</v>
      </c>
      <c r="G18" s="21"/>
      <c r="H18" s="21"/>
      <c r="I18" s="21"/>
      <c r="J18" s="21">
        <f>MAX((J5+J16),0)</f>
        <v>12.617321211399227</v>
      </c>
      <c r="K18" s="21"/>
      <c r="L18" s="21">
        <f>MAX((L5+L16),0)</f>
        <v>0</v>
      </c>
      <c r="M18" s="21"/>
      <c r="N18" s="21">
        <f>MAX((N5+N16),0)</f>
        <v>1771.9350989777622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0.17410273207319771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3433.8291937791137</v>
      </c>
      <c r="C22" s="23">
        <f ca="1">C18*C20</f>
        <v>0</v>
      </c>
      <c r="D22" s="23">
        <f>D18*D20</f>
        <v>2465.041864542884</v>
      </c>
      <c r="E22" s="23">
        <f>E18*E20</f>
        <v>62.429963499685435</v>
      </c>
      <c r="F22" s="23">
        <f>F18*F20</f>
        <v>1607.6826933804068</v>
      </c>
      <c r="G22" s="23"/>
      <c r="H22" s="23"/>
      <c r="I22" s="23"/>
      <c r="J22" s="23">
        <f>J18*J20</f>
        <v>4.4665317088353262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6510.4261809999998</v>
      </c>
      <c r="C30" s="39">
        <f>IF(ISERROR(B30*3.6/1000000/'E Balans VL '!Z18*100),0,B30*3.6/1000000/'E Balans VL '!Z18*100)</f>
        <v>0.37756317291728358</v>
      </c>
      <c r="D30" s="232" t="s">
        <v>700</v>
      </c>
    </row>
    <row r="31" spans="1:18">
      <c r="A31" s="6" t="s">
        <v>32</v>
      </c>
      <c r="B31" s="37">
        <f>IF( ISERROR(IND_ander_ele_kWh/1000),0,IND_ander_ele_kWh/1000)</f>
        <v>5318.8432520000006</v>
      </c>
      <c r="C31" s="39">
        <f>IF(ISERROR(B31*3.6/1000000/'E Balans VL '!Z19*100),0,B31*3.6/1000000/'E Balans VL '!Z19*100)</f>
        <v>0.22213490945047595</v>
      </c>
      <c r="D31" s="232" t="s">
        <v>700</v>
      </c>
    </row>
    <row r="32" spans="1:18">
      <c r="A32" s="167" t="s">
        <v>40</v>
      </c>
      <c r="B32" s="37">
        <f>IF( ISERROR(IND_voed_ele_kWh/1000),0,IND_voed_ele_kWh/1000)</f>
        <v>902.26121599999999</v>
      </c>
      <c r="C32" s="39">
        <f>IF(ISERROR(B32*3.6/1000000/'E Balans VL '!Z20*100),0,B32*3.6/1000000/'E Balans VL '!Z20*100)</f>
        <v>2.7984587911002508E-2</v>
      </c>
      <c r="D32" s="232" t="s">
        <v>700</v>
      </c>
    </row>
    <row r="33" spans="1:5">
      <c r="A33" s="167" t="s">
        <v>39</v>
      </c>
      <c r="B33" s="37">
        <f>IF( ISERROR(IND_textiel_ele_kWh/1000),0,IND_textiel_ele_kWh/1000)</f>
        <v>272.16282100000001</v>
      </c>
      <c r="C33" s="39">
        <f>IF(ISERROR(B33*3.6/1000000/'E Balans VL '!Z21*100),0,B33*3.6/1000000/'E Balans VL '!Z21*100)</f>
        <v>3.7721997186251535E-2</v>
      </c>
      <c r="D33" s="232" t="s">
        <v>700</v>
      </c>
    </row>
    <row r="34" spans="1:5">
      <c r="A34" s="167" t="s">
        <v>36</v>
      </c>
      <c r="B34" s="37">
        <f>IF( ISERROR(IND_min_ele_kWh/1000),0,IND_min_ele_kWh/1000)</f>
        <v>6095.9013260000002</v>
      </c>
      <c r="C34" s="39">
        <f>IF(ISERROR(B34*3.6/1000000/'E Balans VL '!Z22*100),0,B34*3.6/1000000/'E Balans VL '!Z22*100)</f>
        <v>1.1407398094624255</v>
      </c>
      <c r="D34" s="232" t="s">
        <v>700</v>
      </c>
    </row>
    <row r="35" spans="1:5">
      <c r="A35" s="167" t="s">
        <v>38</v>
      </c>
      <c r="B35" s="37">
        <f>IF( ISERROR(IND_papier_ele_kWh/1000),0,IND_papier_ele_kWh/1000)</f>
        <v>0</v>
      </c>
      <c r="C35" s="39">
        <f>IF(ISERROR(B35*3.6/1000000/'E Balans VL '!Z22*100),0,B35*3.6/1000000/'E Balans VL '!Z22*100)</f>
        <v>0</v>
      </c>
      <c r="D35" s="232" t="s">
        <v>700</v>
      </c>
    </row>
    <row r="36" spans="1:5">
      <c r="A36" s="167" t="s">
        <v>33</v>
      </c>
      <c r="B36" s="37">
        <f>IF( ISERROR(IND_chemie_ele_kWh/1000),0,IND_chemie_ele_kWh/1000)</f>
        <v>0</v>
      </c>
      <c r="C36" s="39">
        <f>IF(ISERROR(B36*3.6/1000000/'E Balans VL '!Z24*100),0,B36*3.6/1000000/'E Balans VL '!Z24*100)</f>
        <v>0</v>
      </c>
      <c r="D36" s="232" t="s">
        <v>700</v>
      </c>
    </row>
    <row r="37" spans="1:5">
      <c r="A37" s="167" t="s">
        <v>258</v>
      </c>
      <c r="B37" s="37">
        <f>IF( ISERROR(IND_rest_ele_kWh/1000),0,IND_rest_ele_kWh/1000)</f>
        <v>623.41099999999994</v>
      </c>
      <c r="C37" s="39">
        <f>IF(ISERROR(B37*3.6/1000000/'E Balans VL '!Z15*100),0,B37*3.6/1000000/'E Balans VL '!Z15*100)</f>
        <v>4.8606978967630915E-3</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2807.7162619999999</v>
      </c>
      <c r="C5" s="17">
        <f>'Eigen informatie GS &amp; warmtenet'!B60</f>
        <v>0</v>
      </c>
      <c r="D5" s="30">
        <f>IF(ISERROR(SUM(LB_lb_gas_kWh,LB_rest_gas_kWh)/1000),0,SUM(LB_lb_gas_kWh,LB_rest_gas_kWh)/1000)*0.902</f>
        <v>29.276214000000003</v>
      </c>
      <c r="E5" s="17">
        <f>B17*'E Balans VL '!I25/3.6*1000000/100</f>
        <v>91.119622407703659</v>
      </c>
      <c r="F5" s="17">
        <f>B17*('E Balans VL '!L25/3.6*1000000+'E Balans VL '!N25/3.6*1000000)/100</f>
        <v>10358.210119279291</v>
      </c>
      <c r="G5" s="18"/>
      <c r="H5" s="17"/>
      <c r="I5" s="17"/>
      <c r="J5" s="17">
        <f>('E Balans VL '!D25+'E Balans VL '!E25)/3.6*1000000*landbouw!B17/100</f>
        <v>738.40034884179408</v>
      </c>
      <c r="K5" s="17"/>
      <c r="L5" s="17">
        <f>L6*(-1)</f>
        <v>0</v>
      </c>
      <c r="M5" s="17"/>
      <c r="N5" s="17">
        <f>N6*(-1)</f>
        <v>124.71428571428569</v>
      </c>
      <c r="O5" s="17"/>
      <c r="P5" s="17"/>
      <c r="R5" s="32"/>
    </row>
    <row r="6" spans="1:18">
      <c r="A6" s="16" t="s">
        <v>473</v>
      </c>
      <c r="B6" s="17" t="s">
        <v>204</v>
      </c>
      <c r="C6" s="17">
        <f>'lokale energieproductie'!O39+'lokale energieproductie'!O32</f>
        <v>62.357142857142847</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2807.7162619999999</v>
      </c>
      <c r="C8" s="21">
        <f>C5+C6</f>
        <v>62.357142857142847</v>
      </c>
      <c r="D8" s="21">
        <f>MAX((D5+D6),0)</f>
        <v>29.276214000000003</v>
      </c>
      <c r="E8" s="21">
        <f>MAX((E5+E6),0)</f>
        <v>91.119622407703659</v>
      </c>
      <c r="F8" s="21">
        <f>MAX((F5+F6),0)</f>
        <v>10358.210119279291</v>
      </c>
      <c r="G8" s="21"/>
      <c r="H8" s="21"/>
      <c r="I8" s="21"/>
      <c r="J8" s="21">
        <f>MAX((J5+J6),0)</f>
        <v>738.40034884179408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0.17410273207319771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488.83107210054618</v>
      </c>
      <c r="C12" s="23">
        <f ca="1">C8*C10</f>
        <v>0</v>
      </c>
      <c r="D12" s="23">
        <f>D8*D10</f>
        <v>5.9137952280000006</v>
      </c>
      <c r="E12" s="23">
        <f>E8*E10</f>
        <v>20.684154286548733</v>
      </c>
      <c r="F12" s="23">
        <f>F8*F10</f>
        <v>2765.6421018475708</v>
      </c>
      <c r="G12" s="23"/>
      <c r="H12" s="23"/>
      <c r="I12" s="23"/>
      <c r="J12" s="23">
        <f>J8*J10</f>
        <v>261.39372348999507</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0.39842374651892681</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501.20713045825835</v>
      </c>
      <c r="C26" s="242">
        <f>B26*'GWP N2O_CH4'!B5</f>
        <v>10525.349739623425</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203.24080677341524</v>
      </c>
      <c r="C27" s="242">
        <f>B27*'GWP N2O_CH4'!B5</f>
        <v>4268.0569422417202</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8.7724757481081035</v>
      </c>
      <c r="C28" s="242">
        <f>B28*'GWP N2O_CH4'!B4</f>
        <v>2719.4674819135121</v>
      </c>
      <c r="D28" s="50"/>
    </row>
    <row r="29" spans="1:4">
      <c r="A29" s="41" t="s">
        <v>265</v>
      </c>
      <c r="B29" s="242">
        <f>B34*'ha_N2O bodem landbouw'!B4</f>
        <v>33.928612234990688</v>
      </c>
      <c r="C29" s="242">
        <f>B29*'GWP N2O_CH4'!B4</f>
        <v>10517.869792847114</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7.7423923888255411E-3</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3.3642093344398306E-4</v>
      </c>
      <c r="C5" s="427" t="s">
        <v>204</v>
      </c>
      <c r="D5" s="412">
        <f>SUM(D6:D11)</f>
        <v>6.2138015553769355E-4</v>
      </c>
      <c r="E5" s="412">
        <f>SUM(E6:E11)</f>
        <v>1.0589936878577437E-3</v>
      </c>
      <c r="F5" s="425" t="s">
        <v>204</v>
      </c>
      <c r="G5" s="412">
        <f>SUM(G6:G11)</f>
        <v>0.42536771481347901</v>
      </c>
      <c r="H5" s="412">
        <f>SUM(H6:H11)</f>
        <v>0.10666397542429855</v>
      </c>
      <c r="I5" s="427" t="s">
        <v>204</v>
      </c>
      <c r="J5" s="427" t="s">
        <v>204</v>
      </c>
      <c r="K5" s="427" t="s">
        <v>204</v>
      </c>
      <c r="L5" s="427" t="s">
        <v>204</v>
      </c>
      <c r="M5" s="412">
        <f>SUM(M6:M11)</f>
        <v>2.7992541039551233E-2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2.0891606183064582E-4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3.5299743116161837E-4</v>
      </c>
      <c r="E6" s="818">
        <f>vkm_GW_PW*SUMIFS(TableVerdeelsleutelVkm[LPG],TableVerdeelsleutelVkm[Voertuigtype],"Lichte voertuigen")*SUMIFS(TableECFTransport[EnergieConsumptieFactor (PJ per km)],TableECFTransport[Index],CONCATENATE($A6,"_LPG_LPG"))</f>
        <v>6.1361562548739633E-4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0.18584789927296458</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6.1203122700078702E-2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1.2660120251731936E-2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3.1152927012995733E-6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0.10006395162086568</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1.9963675338399885E-6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5.8463015051983414E-3</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1.2406257698732899E-4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2.6838272437607513E-4</v>
      </c>
      <c r="E8" s="415">
        <f>vkm_NGW_PW*SUMIFS(TableVerdeelsleutelVkm[LPG],TableVerdeelsleutelVkm[Voertuigtype],"Lichte voertuigen")*SUMIFS(TableECFTransport[EnergieConsumptieFactor (PJ per km)],TableECFTransport[Index],CONCATENATE($A8,"_LPG_LPG"))</f>
        <v>4.4537806237034735E-4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0.12597933128287028</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4.5458603421996535E-2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8.6987445605693214E-3</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3.2700192470870971E-7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1.3476532636778494E-2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2.5293468946440449E-7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7.8737472205163319E-4</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5">
        <f>vkm_SW_PW*SUMIFS(TableVerdeelsleutelVkm[LPG],TableVerdeelsleutelVkm[Voertuigtype],"Lichte voertuigen")*SUMIFS(TableECFTransport[EnergieConsumptieFactor (PJ per km)],TableECFTransport[Index],CONCATENATE($A10,"_LPG_LPG"))</f>
        <v>0</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93.450259289995302</v>
      </c>
      <c r="C14" s="21"/>
      <c r="D14" s="21">
        <f t="shared" ref="D14:M14" si="0">((D5)*10^9/3600)+D12</f>
        <v>172.60559876047043</v>
      </c>
      <c r="E14" s="21">
        <f t="shared" si="0"/>
        <v>294.16491329381768</v>
      </c>
      <c r="F14" s="21"/>
      <c r="G14" s="21">
        <f t="shared" si="0"/>
        <v>118157.69855929972</v>
      </c>
      <c r="H14" s="21">
        <f t="shared" si="0"/>
        <v>29628.882062305154</v>
      </c>
      <c r="I14" s="21"/>
      <c r="J14" s="21"/>
      <c r="K14" s="21"/>
      <c r="L14" s="21"/>
      <c r="M14" s="21">
        <f t="shared" si="0"/>
        <v>7775.7058443197866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0.17410273207319771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16.269945455336906</v>
      </c>
      <c r="C18" s="23"/>
      <c r="D18" s="23">
        <f t="shared" ref="D18:M18" si="1">D14*D16</f>
        <v>34.866330949615026</v>
      </c>
      <c r="E18" s="23">
        <f t="shared" si="1"/>
        <v>66.775435317696619</v>
      </c>
      <c r="F18" s="23"/>
      <c r="G18" s="23">
        <f t="shared" si="1"/>
        <v>31548.105515333027</v>
      </c>
      <c r="H18" s="23">
        <f t="shared" si="1"/>
        <v>7377.5916335139837</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1.0718256042265116E-4</v>
      </c>
      <c r="C50" s="311">
        <f t="shared" ref="C50:P50" si="2">SUM(C51:C52)</f>
        <v>0</v>
      </c>
      <c r="D50" s="311">
        <f t="shared" si="2"/>
        <v>0</v>
      </c>
      <c r="E50" s="311">
        <f t="shared" si="2"/>
        <v>0</v>
      </c>
      <c r="F50" s="311">
        <f t="shared" si="2"/>
        <v>0</v>
      </c>
      <c r="G50" s="311">
        <f t="shared" si="2"/>
        <v>1.0068737854898122E-2</v>
      </c>
      <c r="H50" s="311">
        <f t="shared" si="2"/>
        <v>0</v>
      </c>
      <c r="I50" s="311">
        <f t="shared" si="2"/>
        <v>0</v>
      </c>
      <c r="J50" s="311">
        <f t="shared" si="2"/>
        <v>0</v>
      </c>
      <c r="K50" s="311">
        <f t="shared" si="2"/>
        <v>0</v>
      </c>
      <c r="L50" s="311">
        <f t="shared" si="2"/>
        <v>0</v>
      </c>
      <c r="M50" s="311">
        <f t="shared" si="2"/>
        <v>5.7982838183380633E-4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1.0718256042265116E-4</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1.0068737854898122E-2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5.7982838183380633E-4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29.772933450736435</v>
      </c>
      <c r="C54" s="21">
        <f t="shared" ref="C54:P54" si="3">(C50)*10^9/3600</f>
        <v>0</v>
      </c>
      <c r="D54" s="21">
        <f t="shared" si="3"/>
        <v>0</v>
      </c>
      <c r="E54" s="21">
        <f t="shared" si="3"/>
        <v>0</v>
      </c>
      <c r="F54" s="21">
        <f t="shared" si="3"/>
        <v>0</v>
      </c>
      <c r="G54" s="21">
        <f t="shared" si="3"/>
        <v>2796.8716263605897</v>
      </c>
      <c r="H54" s="21">
        <f t="shared" si="3"/>
        <v>0</v>
      </c>
      <c r="I54" s="21">
        <f t="shared" si="3"/>
        <v>0</v>
      </c>
      <c r="J54" s="21">
        <f t="shared" si="3"/>
        <v>0</v>
      </c>
      <c r="K54" s="21">
        <f t="shared" si="3"/>
        <v>0</v>
      </c>
      <c r="L54" s="21">
        <f t="shared" si="3"/>
        <v>0</v>
      </c>
      <c r="M54" s="21">
        <f t="shared" si="3"/>
        <v>161.06343939827951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0.17410273207319771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5.1835490556067114</v>
      </c>
      <c r="C58" s="23">
        <f t="shared" ref="C58:P58" ca="1" si="4">C54*C56</f>
        <v>0</v>
      </c>
      <c r="D58" s="23">
        <f t="shared" si="4"/>
        <v>0</v>
      </c>
      <c r="E58" s="23">
        <f t="shared" si="4"/>
        <v>0</v>
      </c>
      <c r="F58" s="23">
        <f t="shared" si="4"/>
        <v>0</v>
      </c>
      <c r="G58" s="23">
        <f t="shared" si="4"/>
        <v>746.76472423827749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70" zoomScaleNormal="70"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19463.027557994825</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N29</f>
        <v>43.649999999999991</v>
      </c>
      <c r="C8" s="534">
        <f>B48</f>
        <v>0</v>
      </c>
      <c r="D8" s="962"/>
      <c r="E8" s="962">
        <f>E48</f>
        <v>0</v>
      </c>
      <c r="F8" s="963"/>
      <c r="G8" s="535"/>
      <c r="H8" s="962">
        <f>I48</f>
        <v>0</v>
      </c>
      <c r="I8" s="962">
        <f>G48+F48</f>
        <v>0</v>
      </c>
      <c r="J8" s="962">
        <f>H48+D48+C48</f>
        <v>51.35294117647058</v>
      </c>
      <c r="K8" s="962"/>
      <c r="L8" s="962"/>
      <c r="M8" s="962"/>
      <c r="N8" s="536"/>
      <c r="O8" s="537">
        <f>C8*$C$12+D8*$D$12+E8*$E$12+F8*$F$12+G8*$G$12+H8*$H$12+I8*$I$12+J8*$J$12</f>
        <v>0</v>
      </c>
      <c r="P8" s="1180"/>
      <c r="Q8" s="1181"/>
      <c r="S8" s="925"/>
      <c r="T8" s="1217"/>
      <c r="U8" s="1217"/>
    </row>
    <row r="9" spans="1:21" s="523" customFormat="1" ht="17.45" customHeight="1" thickBot="1">
      <c r="A9" s="538" t="s">
        <v>236</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19506.677557994826</v>
      </c>
      <c r="C10" s="547">
        <f t="shared" ref="C10:L10" si="0">SUM(C8:C9)</f>
        <v>0</v>
      </c>
      <c r="D10" s="547">
        <f t="shared" si="0"/>
        <v>0</v>
      </c>
      <c r="E10" s="547">
        <f t="shared" si="0"/>
        <v>0</v>
      </c>
      <c r="F10" s="547">
        <f t="shared" si="0"/>
        <v>0</v>
      </c>
      <c r="G10" s="547">
        <f t="shared" si="0"/>
        <v>0</v>
      </c>
      <c r="H10" s="547">
        <f t="shared" si="0"/>
        <v>0</v>
      </c>
      <c r="I10" s="547">
        <f t="shared" si="0"/>
        <v>0</v>
      </c>
      <c r="J10" s="547">
        <f t="shared" si="0"/>
        <v>51.35294117647058</v>
      </c>
      <c r="K10" s="547">
        <f t="shared" si="0"/>
        <v>0</v>
      </c>
      <c r="L10" s="547">
        <f t="shared" si="0"/>
        <v>0</v>
      </c>
      <c r="M10" s="965"/>
      <c r="N10" s="965"/>
      <c r="O10" s="548">
        <f>SUM(O4:O9)</f>
        <v>0</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O29</f>
        <v>62.357142857142847</v>
      </c>
      <c r="C17" s="559">
        <f>B49</f>
        <v>0</v>
      </c>
      <c r="D17" s="560"/>
      <c r="E17" s="560">
        <f>E49</f>
        <v>0</v>
      </c>
      <c r="F17" s="968"/>
      <c r="G17" s="561"/>
      <c r="H17" s="559">
        <f>I49</f>
        <v>0</v>
      </c>
      <c r="I17" s="560">
        <f>G49+F49</f>
        <v>0</v>
      </c>
      <c r="J17" s="560">
        <f>H49+D49+C49</f>
        <v>73.361344537815114</v>
      </c>
      <c r="K17" s="560"/>
      <c r="L17" s="560"/>
      <c r="M17" s="560"/>
      <c r="N17" s="969"/>
      <c r="O17" s="562">
        <f>C17*$C$22+E17*$E$22+H17*$H$22+I17*$I$22+J17*$J$22+D17*$D$22+F17*$F$22+G17*$G$22+K17*$K$22+L17*$L$22</f>
        <v>0</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62.357142857142847</v>
      </c>
      <c r="C20" s="546">
        <f>SUM(C17:C19)</f>
        <v>0</v>
      </c>
      <c r="D20" s="546">
        <f t="shared" ref="D20:L20" si="1">SUM(D17:D19)</f>
        <v>0</v>
      </c>
      <c r="E20" s="546">
        <f t="shared" si="1"/>
        <v>0</v>
      </c>
      <c r="F20" s="546">
        <f t="shared" si="1"/>
        <v>0</v>
      </c>
      <c r="G20" s="546">
        <f t="shared" si="1"/>
        <v>0</v>
      </c>
      <c r="H20" s="546">
        <f t="shared" si="1"/>
        <v>0</v>
      </c>
      <c r="I20" s="546">
        <f t="shared" si="1"/>
        <v>0</v>
      </c>
      <c r="J20" s="546">
        <f t="shared" si="1"/>
        <v>73.361344537815114</v>
      </c>
      <c r="K20" s="546">
        <f t="shared" si="1"/>
        <v>0</v>
      </c>
      <c r="L20" s="546">
        <f t="shared" si="1"/>
        <v>0</v>
      </c>
      <c r="M20" s="546"/>
      <c r="N20" s="546"/>
      <c r="O20" s="565">
        <f>SUM(O17:O19)</f>
        <v>0</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72040</v>
      </c>
      <c r="C28" s="724">
        <v>3670</v>
      </c>
      <c r="D28" s="617"/>
      <c r="E28" s="616"/>
      <c r="F28" s="616"/>
      <c r="G28" s="616" t="s">
        <v>878</v>
      </c>
      <c r="H28" s="616" t="s">
        <v>879</v>
      </c>
      <c r="I28" s="616"/>
      <c r="J28" s="723"/>
      <c r="K28" s="723"/>
      <c r="L28" s="616" t="s">
        <v>880</v>
      </c>
      <c r="M28" s="616">
        <v>9.6999999999999993</v>
      </c>
      <c r="N28" s="616">
        <v>43.649999999999991</v>
      </c>
      <c r="O28" s="616">
        <v>62.357142857142847</v>
      </c>
      <c r="P28" s="616">
        <v>0</v>
      </c>
      <c r="Q28" s="616">
        <v>124.71428571428569</v>
      </c>
      <c r="R28" s="616">
        <v>0</v>
      </c>
      <c r="S28" s="616">
        <v>0</v>
      </c>
      <c r="T28" s="616">
        <v>0</v>
      </c>
      <c r="U28" s="616">
        <v>0</v>
      </c>
      <c r="V28" s="616">
        <v>0</v>
      </c>
      <c r="W28" s="616">
        <v>0</v>
      </c>
      <c r="X28" s="616"/>
      <c r="Y28" s="616">
        <v>10</v>
      </c>
      <c r="Z28" s="616" t="s">
        <v>105</v>
      </c>
      <c r="AA28" s="618" t="s">
        <v>105</v>
      </c>
    </row>
    <row r="29" spans="1:27" s="554" customFormat="1" hidden="1">
      <c r="A29" s="572" t="s">
        <v>268</v>
      </c>
      <c r="B29" s="573"/>
      <c r="C29" s="573"/>
      <c r="D29" s="573"/>
      <c r="E29" s="573"/>
      <c r="F29" s="573"/>
      <c r="G29" s="573"/>
      <c r="H29" s="573"/>
      <c r="I29" s="573"/>
      <c r="J29" s="573"/>
      <c r="K29" s="573"/>
      <c r="L29" s="574"/>
      <c r="M29" s="574">
        <f>SUM(M28:M28)</f>
        <v>9.6999999999999993</v>
      </c>
      <c r="N29" s="574">
        <f>SUM(N28:N28)</f>
        <v>43.649999999999991</v>
      </c>
      <c r="O29" s="574">
        <f>SUM(O28:O28)</f>
        <v>62.357142857142847</v>
      </c>
      <c r="P29" s="574">
        <f>SUM(P28:P28)</f>
        <v>0</v>
      </c>
      <c r="Q29" s="574">
        <f>SUM(Q28:Q28)</f>
        <v>124.71428571428569</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275</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276</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277</v>
      </c>
      <c r="B32" s="578"/>
      <c r="C32" s="578"/>
      <c r="D32" s="578"/>
      <c r="E32" s="578"/>
      <c r="F32" s="578"/>
      <c r="G32" s="578"/>
      <c r="H32" s="578"/>
      <c r="I32" s="578"/>
      <c r="J32" s="578"/>
      <c r="K32" s="578"/>
      <c r="L32" s="579"/>
      <c r="M32" s="579">
        <f>SUMIF($AA$28:$AA$28,"landbouw",M28:M28)</f>
        <v>9.6999999999999993</v>
      </c>
      <c r="N32" s="579">
        <f>SUMIF($AA$28:$AA$28,"landbouw",N28:N28)</f>
        <v>43.649999999999991</v>
      </c>
      <c r="O32" s="579">
        <f>SUMIF($AA$28:$AA$28,"landbouw",O28:O28)</f>
        <v>62.357142857142847</v>
      </c>
      <c r="P32" s="579">
        <f>SUMIF($AA$28:$AA$28,"landbouw",P28:P28)</f>
        <v>0</v>
      </c>
      <c r="Q32" s="579">
        <f>SUMIF($AA$28:$AA$28,"landbouw",Q28:Q28)</f>
        <v>124.71428571428569</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269</v>
      </c>
      <c r="B34" s="613" t="s">
        <v>89</v>
      </c>
      <c r="C34" s="613" t="s">
        <v>90</v>
      </c>
      <c r="D34" s="613"/>
      <c r="E34" s="613"/>
      <c r="F34" s="613"/>
      <c r="G34" s="613" t="s">
        <v>91</v>
      </c>
      <c r="H34" s="613" t="s">
        <v>92</v>
      </c>
      <c r="I34" s="613"/>
      <c r="J34" s="613"/>
      <c r="K34" s="613"/>
      <c r="L34" s="613" t="s">
        <v>93</v>
      </c>
      <c r="M34" s="614" t="s">
        <v>286</v>
      </c>
      <c r="N34" s="614" t="s">
        <v>94</v>
      </c>
      <c r="O34" s="614" t="s">
        <v>95</v>
      </c>
      <c r="P34" s="614" t="s">
        <v>518</v>
      </c>
      <c r="Q34" s="614" t="s">
        <v>96</v>
      </c>
      <c r="R34" s="614" t="s">
        <v>97</v>
      </c>
      <c r="S34" s="614" t="s">
        <v>98</v>
      </c>
      <c r="T34" s="614" t="s">
        <v>99</v>
      </c>
      <c r="U34" s="614" t="s">
        <v>100</v>
      </c>
      <c r="V34" s="614" t="s">
        <v>101</v>
      </c>
      <c r="W34" s="613" t="s">
        <v>102</v>
      </c>
      <c r="X34" s="613" t="s">
        <v>877</v>
      </c>
      <c r="Y34" s="613" t="s">
        <v>287</v>
      </c>
      <c r="Z34" s="613" t="s">
        <v>103</v>
      </c>
      <c r="AA34" s="615" t="s">
        <v>288</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268</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275</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276</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277</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270</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271</v>
      </c>
      <c r="C44" s="596" t="s">
        <v>272</v>
      </c>
      <c r="D44" s="596"/>
      <c r="E44" s="596"/>
      <c r="F44" s="596"/>
      <c r="G44" s="596"/>
      <c r="H44" s="596"/>
      <c r="I44" s="597"/>
      <c r="J44" s="596"/>
      <c r="K44" s="596"/>
      <c r="L44" s="596"/>
      <c r="M44" s="596"/>
      <c r="N44" s="596"/>
      <c r="O44" s="596"/>
      <c r="P44" s="591"/>
    </row>
    <row r="45" spans="1:28">
      <c r="A45" s="593" t="s">
        <v>268</v>
      </c>
      <c r="B45" s="598">
        <f>IF(ISERROR(O29/(O29+N29)),0,O29/(O29+N29))</f>
        <v>0.58823529411764708</v>
      </c>
      <c r="C45" s="599">
        <f>IF(ISERROR(N29/(O29+N29)),0,N29/(N29+O29))</f>
        <v>0.41176470588235292</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518</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273</v>
      </c>
      <c r="B48" s="608">
        <f t="shared" ref="B48:I48" si="2">$C$45*P29</f>
        <v>0</v>
      </c>
      <c r="C48" s="608">
        <f t="shared" si="2"/>
        <v>51.35294117647058</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274</v>
      </c>
      <c r="B49" s="611">
        <f t="shared" ref="B49:I49" si="3">$B$45*P29</f>
        <v>0</v>
      </c>
      <c r="C49" s="611">
        <f t="shared" si="3"/>
        <v>73.361344537815114</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2022-07-26T10:54:28Z</dcterms:modified>
</cp:coreProperties>
</file>