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232B8E4-4FD2-42C3-9DF4-972AD76F144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<sst xmlns="http://schemas.openxmlformats.org/spreadsheetml/2006/main" count="2397" uniqueCount="878">
  <si>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</si>
  <si>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</si>
  <si>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</si>
  <si>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</si>
  <si>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</si>
  <si>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</si>
  <si>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</si>
  <si>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</si>
  <si>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</si>
  <si>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</si>
  <si>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</si>
  <si>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</si>
  <si>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</si>
  <si>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</si>
  <si>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</si>
  <si>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</si>
  <si>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</si>
  <si>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</si>
  <si>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</si>
  <si>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</si>
  <si>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</si>
  <si>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</si>
  <si>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</si>
  <si>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</si>
  <si>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</si>
  <si>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</si>
  <si>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</si>
  <si>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</si>
  <si>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</si>
  <si>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</si>
  <si>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</si>
  <si>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</si>
  <si>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</si>
  <si>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</si>
  <si>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</si>
  <si>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</si>
  <si>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</si>
  <si>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</si>
  <si>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</si>
  <si>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</si>
  <si>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</si>
  <si>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</si>
  <si>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</si>
  <si>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</si>
  <si>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</si>
  <si>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</si>
  <si>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</si>
  <si>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</si>
  <si>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</si>
  <si>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</si>
  <si>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</si>
  <si>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</si>
  <si>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</si>
  <si>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</si>
  <si>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</si>
  <si>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</si>
  <si>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</si>
  <si>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</si>
  <si>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</si>
  <si>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</si>
  <si>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</si>
  <si>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</si>
  <si>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</si>
  <si>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</si>
  <si>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</si>
  <si>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</si>
  <si>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</si>
  <si>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</si>
  <si>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</si>
  <si>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</si>
  <si>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</si>
  <si>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</si>
  <si>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</si>
  <si>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</si>
  <si>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</si>
  <si>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</si>
  <si>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</si>
  <si>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</si>
  <si>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</si>
  <si>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</si>
  <si>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</si>
  <si>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</si>
  <si>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</si>
  <si>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</si>
  <si>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</si>
  <si>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</si>
  <si>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</si>
  <si>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</si>
  <si>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</si>
  <si>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</si>
  <si>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</si>
  <si>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</si>
  <si>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</si>
  <si>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</si>
  <si>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</si>
  <si>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</si>
  <si>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</si>
  <si>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</si>
  <si>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</si>
  <si>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</si>
  <si>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</si>
  <si>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</si>
  <si>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</si>
  <si>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</si>
  <si>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</si>
  <si>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</si>
  <si>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</si>
  <si>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</si>
  <si>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</si>
  <si>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</si>
  <si>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</si>
  <si>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</si>
  <si>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</si>
  <si>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</si>
  <si>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</si>
  <si>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</si>
  <si>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</si>
  <si>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</si>
  <si>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</si>
  <si>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</si>
  <si>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</si>
  <si>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</si>
  <si>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</si>
  <si>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</si>
  <si>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</si>
  <si>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</si>
  <si>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</si>
  <si>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</si>
  <si>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</si>
  <si>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</si>
  <si>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</si>
  <si>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</si>
  <si>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</si>
  <si>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</si>
  <si>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</si>
  <si>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</si>
  <si>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</si>
  <si>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</si>
  <si>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</si>
  <si>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</si>
  <si>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</si>
  <si>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</si>
  <si>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</si>
  <si>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</si>
  <si>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</si>
  <si>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</si>
  <si>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</si>
  <si>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</si>
  <si>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</si>
  <si>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</si>
  <si>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</si>
  <si>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</si>
  <si>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</si>
  <si>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</si>
  <si>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</si>
  <si>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</si>
  <si>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</si>
  <si>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</si>
  <si>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</si>
  <si>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</si>
  <si>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</si>
  <si>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</si>
  <si>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</si>
  <si>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</si>
  <si>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</si>
  <si>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</si>
  <si>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</si>
  <si>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</si>
  <si>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</si>
  <si>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</si>
  <si>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</si>
  <si>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</si>
  <si>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</si>
  <si>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</si>
  <si>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</si>
  <si>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</si>
  <si>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</si>
  <si>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</si>
  <si>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</si>
  <si>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</si>
  <si>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</si>
  <si>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</si>
  <si>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</si>
  <si>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</si>
  <si>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</si>
  <si>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</si>
  <si>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</si>
  <si>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</si>
  <si>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</si>
  <si>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</si>
  <si>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</si>
  <si>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</si>
  <si>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</si>
  <si>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</si>
  <si>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</si>
  <si>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</si>
  <si>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</si>
  <si>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</si>
  <si>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</si>
  <si>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</si>
  <si>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</si>
  <si>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</si>
  <si>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</si>
  <si>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</si>
  <si>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</si>
  <si>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</si>
  <si>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</si>
  <si>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</si>
  <si>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</si>
  <si>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</si>
  <si>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</si>
  <si>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</si>
  <si>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</si>
  <si>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</si>
  <si>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</si>
  <si>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</si>
  <si>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</si>
  <si>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</si>
  <si>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</si>
  <si>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</si>
  <si>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</si>
  <si>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</si>
  <si>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</si>
  <si>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</si>
  <si>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</si>
  <si>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</si>
  <si>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</si>
  <si>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</si>
  <si>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</si>
  <si>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</si>
  <si>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</si>
  <si>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</si>
  <si>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</si>
  <si>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</si>
  <si>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</si>
  <si>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</si>
  <si>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</si>
  <si>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</si>
  <si>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</si>
  <si>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</si>
  <si>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</si>
  <si>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</si>
  <si>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</si>
  <si>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</si>
  <si>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</si>
  <si>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</si>
  <si>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</si>
  <si>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</si>
  <si>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</si>
  <si>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</si>
  <si>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</si>
  <si>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</si>
  <si>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</si>
  <si>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</si>
  <si>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</si>
  <si>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</si>
  <si>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</si>
  <si>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</si>
  <si>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</si>
  <si>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</si>
  <si>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</si>
  <si>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</si>
  <si>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</si>
  <si>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</si>
  <si>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</si>
  <si>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</si>
  <si>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</si>
  <si>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</si>
  <si>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</si>
  <si>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</si>
  <si>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</si>
  <si>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</si>
  <si>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</si>
  <si>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</si>
  <si>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</si>
  <si>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</si>
  <si>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</si>
  <si>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</si>
  <si>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</si>
  <si>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</si>
  <si>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</si>
  <si>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</si>
  <si>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</si>
  <si>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</si>
  <si>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</si>
  <si>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</si>
  <si>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</si>
  <si>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</si>
  <si>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</si>
  <si>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</si>
  <si>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</si>
  <si>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</si>
  <si>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</si>
  <si>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</si>
  <si>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</si>
  <si>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</si>
  <si>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</si>
  <si>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</si>
  <si>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</si>
  <si>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</si>
  <si>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</si>
  <si>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</si>
  <si>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</si>
  <si>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</si>
  <si>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</si>
  <si>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</si>
  <si>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</si>
  <si>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</si>
  <si>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</si>
  <si>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</si>
  <si>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</si>
  <si>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</si>
  <si>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</si>
  <si>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</si>
  <si>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</si>
  <si>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</si>
  <si>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</si>
  <si>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</si>
  <si>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</si>
  <si>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</si>
  <si>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</si>
  <si>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</si>
  <si>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</si>
  <si>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</si>
  <si>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</si>
  <si>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</si>
  <si>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</si>
  <si>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</si>
  <si>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</si>
  <si>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</si>
  <si>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</si>
  <si>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</si>
  <si>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</si>
  <si>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</si>
  <si>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</si>
  <si>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</si>
  <si>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</si>
  <si>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</si>
  <si>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</si>
  <si>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</si>
  <si>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</si>
  <si>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</si>
  <si>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</si>
  <si>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</si>
  <si>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</si>
  <si>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</si>
  <si>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</si>
  <si>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</si>
  <si>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</si>
  <si>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</si>
  <si>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</si>
  <si>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</si>
  <si>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</si>
  <si>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</si>
  <si>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</si>
  <si>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</si>
  <si>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</si>
  <si>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</si>
  <si>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</si>
  <si>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</si>
  <si>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</si>
  <si>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</si>
  <si>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</si>
  <si>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</si>
  <si>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</si>
  <si>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</si>
  <si>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</si>
  <si>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</si>
  <si>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</si>
  <si>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</si>
  <si>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</si>
  <si>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</si>
  <si>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</si>
  <si>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</si>
  <si>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</si>
  <si>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</si>
  <si>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</si>
  <si>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</si>
  <si>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</si>
  <si>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</si>
  <si>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</si>
  <si>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</si>
  <si>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</si>
  <si>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</si>
  <si>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</si>
  <si>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</si>
  <si>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</si>
  <si>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</si>
  <si>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</si>
  <si>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</si>
  <si>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</si>
  <si>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</si>
  <si>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</si>
  <si>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</si>
  <si>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</si>
  <si>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</si>
  <si>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</si>
  <si>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</si>
  <si>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</si>
  <si>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</si>
  <si>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</si>
  <si>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</si>
  <si>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</si>
  <si>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</si>
  <si>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</si>
  <si>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</si>
  <si>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</si>
  <si>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</si>
  <si>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</si>
  <si>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</si>
  <si>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</si>
  <si>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</si>
  <si>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</si>
  <si>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</si>
  <si>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</si>
  <si>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</si>
  <si>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</si>
  <si>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</si>
  <si>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</si>
  <si>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</si>
  <si>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</si>
  <si>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</si>
  <si>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</si>
  <si>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</si>
  <si>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</si>
  <si>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</si>
  <si>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</si>
  <si>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</si>
  <si>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</si>
  <si>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</si>
  <si>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</si>
  <si>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</si>
  <si>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</si>
  <si>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</si>
  <si>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</si>
  <si>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</si>
  <si>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</si>
  <si>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</si>
  <si>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</si>
  <si>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</si>
  <si>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</si>
  <si>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</si>
  <si>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</si>
  <si>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</si>
  <si>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</si>
  <si>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</si>
  <si>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</si>
  <si>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</si>
  <si>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</si>
  <si>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</si>
  <si>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</si>
  <si>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</si>
  <si>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</si>
  <si>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</si>
  <si>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</si>
  <si>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</si>
  <si>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</si>
  <si>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</si>
  <si>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</si>
  <si>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</si>
  <si>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</si>
  <si>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</si>
  <si>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</si>
  <si>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</si>
  <si>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</si>
  <si>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</si>
  <si>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</si>
  <si>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</si>
  <si>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</si>
  <si>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</si>
  <si>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</si>
  <si>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</si>
  <si>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</si>
  <si>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</si>
  <si>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</si>
  <si>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</si>
  <si>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</si>
  <si>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</si>
  <si>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</si>
  <si>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</si>
  <si>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</si>
  <si>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</si>
  <si>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</si>
  <si>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</si>
  <si>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</si>
  <si>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</si>
  <si>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</si>
  <si>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</si>
  <si>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</si>
  <si>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</si>
  <si>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</si>
  <si>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</si>
  <si>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</si>
  <si>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</si>
  <si>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</si>
  <si>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</si>
  <si>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</si>
  <si>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</si>
  <si>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</si>
  <si>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</si>
  <si>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</si>
  <si>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</si>
  <si>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</si>
  <si>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</si>
  <si>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</si>
  <si>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</si>
  <si>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</si>
  <si>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</si>
  <si>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</si>
  <si>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</si>
  <si>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</si>
  <si>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</si>
  <si>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</si>
  <si>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</si>
  <si>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</si>
  <si>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</si>
  <si>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</si>
  <si>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</si>
  <si>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</si>
  <si>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</si>
  <si>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</si>
  <si>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</si>
  <si>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</si>
  <si>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</si>
  <si>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</si>
  <si>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</si>
  <si>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</si>
  <si>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</si>
  <si>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</si>
  <si>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</si>
  <si>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</si>
  <si>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</si>
  <si>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</si>
  <si>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</si>
  <si>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</si>
  <si>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</si>
  <si>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</si>
  <si>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</si>
  <si>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</si>
  <si>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</si>
  <si>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</si>
  <si>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</si>
  <si>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</si>
  <si>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</si>
  <si>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</si>
  <si>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</si>
  <si>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</si>
  <si>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</si>
  <si>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</si>
  <si>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</si>
  <si>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</si>
  <si>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</si>
  <si>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</si>
  <si>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</si>
  <si>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</si>
  <si>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</si>
  <si>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</si>
  <si>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</si>
  <si>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</si>
  <si>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</si>
  <si>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</si>
  <si>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</si>
  <si>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</si>
  <si>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</si>
  <si>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</si>
  <si>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</si>
  <si>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</si>
  <si>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</si>
  <si>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</si>
  <si>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</si>
  <si>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</si>
  <si>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</si>
  <si>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</si>
  <si>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</si>
  <si>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</si>
  <si>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</si>
  <si>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</si>
  <si>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</si>
  <si>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</si>
  <si>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</si>
  <si>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</si>
  <si>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</si>
  <si>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</si>
  <si>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</si>
  <si>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</si>
  <si>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</si>
  <si>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</si>
  <si>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</si>
  <si>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</si>
  <si>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</si>
  <si>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</si>
  <si>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</si>
  <si>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</si>
  <si>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</si>
  <si>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</si>
  <si>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</si>
  <si>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</si>
  <si>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</si>
  <si>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</si>
  <si>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</si>
  <si>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</si>
  <si>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</si>
  <si>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</si>
  <si>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</si>
  <si>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</si>
  <si>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</si>
  <si>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</si>
  <si>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</si>
  <si>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</si>
  <si>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</si>
  <si>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</si>
  <si>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</si>
  <si>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</si>
  <si>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</si>
  <si>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</si>
  <si>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</si>
  <si>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</si>
  <si>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</si>
  <si>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</si>
  <si>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</si>
  <si>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</si>
  <si>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</si>
  <si>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</si>
  <si>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</si>
  <si>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</si>
  <si>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</si>
  <si>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</si>
  <si>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</si>
  <si>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</si>
  <si>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</si>
  <si>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</si>
  <si>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</si>
  <si>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</si>
  <si>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</si>
  <si>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</si>
  <si>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</si>
  <si>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</si>
  <si>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</si>
  <si>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</si>
  <si>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</si>
  <si>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</si>
  <si>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</si>
  <si>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</si>
  <si>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</si>
  <si>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</si>
  <si>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</si>
  <si>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</si>
  <si>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</si>
  <si>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</si>
  <si>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</si>
  <si>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</si>
  <si>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</si>
  <si>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</si>
  <si>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</si>
  <si>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</si>
  <si>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</si>
  <si>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</si>
  <si>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</si>
  <si>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</si>
  <si>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</si>
  <si>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</si>
  <si>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</si>
  <si>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</si>
  <si>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</si>
  <si>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</si>
  <si>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</si>
  <si>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</si>
  <si>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</si>
  <si>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</si>
  <si>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</si>
  <si>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</si>
  <si>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</si>
  <si>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</si>
  <si>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</si>
  <si>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</si>
  <si>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</si>
  <si>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</si>
  <si>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</si>
  <si>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</si>
  <si>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</si>
  <si>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</si>
  <si>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</si>
  <si>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</si>
  <si>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</si>
  <si>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</si>
  <si>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</si>
  <si>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</si>
  <si>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</si>
  <si>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</si>
  <si>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</si>
  <si>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</si>
  <si>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</si>
  <si>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</si>
  <si>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</si>
  <si>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</si>
  <si>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</si>
  <si>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</si>
  <si>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</si>
  <si>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</si>
  <si>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</si>
  <si>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</si>
  <si>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</si>
  <si>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</si>
  <si>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</si>
  <si>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</si>
  <si>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</si>
  <si>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</si>
  <si>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</si>
  <si>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</si>
  <si>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</si>
  <si>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</si>
  <si>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</si>
  <si>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</si>
  <si>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</si>
  <si>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</si>
  <si>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</si>
  <si>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</si>
  <si>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</si>
  <si>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</si>
  <si>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</si>
  <si>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</si>
  <si>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</si>
  <si>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</si>
  <si>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</si>
  <si>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</si>
  <si>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</si>
  <si>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</si>
  <si>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</si>
  <si>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</si>
  <si>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</si>
  <si>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</si>
  <si>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</si>
  <si>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</si>
  <si>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</si>
  <si>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</si>
  <si>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</si>
  <si>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</si>
  <si>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</si>
  <si>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</si>
  <si>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</si>
  <si>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</si>
  <si>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</si>
  <si>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</si>
  <si>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</si>
  <si>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</si>
  <si>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</si>
  <si>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</si>
  <si>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</si>
  <si>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</si>
  <si>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</si>
  <si>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</si>
  <si>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</si>
  <si>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</si>
  <si>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</si>
  <si>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</si>
  <si>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</si>
  <si>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</si>
  <si>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</si>
  <si>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</si>
  <si>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</si>
  <si>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</si>
  <si>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</si>
  <si>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</si>
  <si>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</si>
  <si>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</si>
  <si>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</si>
  <si>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</si>
  <si>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</si>
  <si>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</si>
  <si>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</si>
  <si>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</si>
  <si>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</si>
  <si>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</si>
  <si>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</si>
  <si>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</si>
  <si>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</si>
  <si>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</si>
  <si>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</si>
  <si>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</si>
  <si>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</si>
  <si>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</si>
  <si>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</si>
  <si>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</si>
  <si>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</si>
  <si>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</si>
  <si>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</si>
  <si>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</si>
  <si>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</si>
  <si>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</si>
  <si>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</si>
  <si>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</si>
  <si>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</si>
  <si>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</si>
  <si>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</si>
  <si>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</si>
  <si>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</si>
  <si>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</si>
  <si>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</si>
  <si>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</si>
  <si>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</si>
  <si>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</si>
  <si>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</si>
  <si>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</si>
  <si>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</si>
  <si>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</si>
  <si>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</si>
  <si>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</si>
  <si>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</si>
  <si>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</si>
  <si>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</si>
  <si>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</si>
  <si>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</si>
  <si>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</si>
  <si>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</si>
  <si>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</si>
  <si>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</si>
  <si>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</si>
  <si>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</si>
  <si>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</si>
  <si>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</si>
  <si>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</si>
  <si>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</si>
  <si>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</si>
  <si>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</si>
  <si>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</si>
  <si>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</si>
  <si>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</si>
  <si>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</si>
  <si>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</si>
  <si>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</si>
  <si>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</si>
  <si>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</si>
  <si>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</si>
  <si>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</si>
  <si>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</si>
  <si>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</si>
  <si>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</si>
  <si>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</si>
  <si>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</si>
  <si>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</si>
  <si>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</si>
  <si>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</si>
  <si>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</si>
  <si>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</si>
  <si>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</si>
  <si>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</si>
  <si>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</si>
  <si>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</si>
  <si>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</si>
  <si>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</si>
  <si>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</si>
  <si>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</si>
  <si>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</si>
  <si>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</si>
  <si>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</si>
  <si>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</si>
  <si>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</si>
  <si>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</si>
  <si>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</si>
  <si>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</si>
  <si>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</si>
  <si>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</si>
  <si>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</si>
  <si>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</si>
  <si>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</si>
  <si>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</si>
  <si>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</si>
  <si>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</si>
  <si>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</si>
  <si>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</si>
  <si>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</si>
  <si>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</si>
  <si>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</si>
  <si>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</si>
  <si>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</si>
  <si>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72041</t>
  </si>
  <si>
    <t>DILSEN-STOKKEM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</si>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</sst>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E7D29939-ED2A-4C95-920C-3B273355655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164531.08447850015</c:v>
                </c:pt>
                <c:pt idx="1">
                  <c:v>41719.303816440472</c:v>
                </c:pt>
                <c:pt idx="2">
                  <c:v>1119.2280000000001</c:v>
                </c:pt>
                <c:pt idx="3">
                  <c:v>5497.8858113380011</c:v>
                </c:pt>
                <c:pt idx="4">
                  <c:v>135609.12433043399</c:v>
                </c:pt>
                <c:pt idx="5">
                  <c:v>117877.25764683298</c:v>
                </c:pt>
                <c:pt idx="6">
                  <c:v>2277.2570853569746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164531.08447850015</c:v>
                </c:pt>
                <c:pt idx="1">
                  <c:v>41719.303816440472</c:v>
                </c:pt>
                <c:pt idx="2">
                  <c:v>1119.2280000000001</c:v>
                </c:pt>
                <c:pt idx="3">
                  <c:v>5497.8858113380011</c:v>
                </c:pt>
                <c:pt idx="4">
                  <c:v>135609.12433043399</c:v>
                </c:pt>
                <c:pt idx="5">
                  <c:v>117877.25764683298</c:v>
                </c:pt>
                <c:pt idx="6">
                  <c:v>2277.2570853569746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32774.664470952521</c:v>
                </c:pt>
                <c:pt idx="2">
                  <c:v>7560.5180932192361</c:v>
                </c:pt>
                <c:pt idx="3">
                  <c:v>173.83982549649735</c:v>
                </c:pt>
                <c:pt idx="4">
                  <c:v>1361.9733839804417</c:v>
                </c:pt>
                <c:pt idx="5">
                  <c:v>25765.334921623489</c:v>
                </c:pt>
                <c:pt idx="6">
                  <c:v>29499.12041933681</c:v>
                </c:pt>
                <c:pt idx="7">
                  <c:v>572.7153166932917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32774.664470952521</c:v>
                </c:pt>
                <c:pt idx="2">
                  <c:v>7560.5180932192361</c:v>
                </c:pt>
                <c:pt idx="3">
                  <c:v>173.83982549649735</c:v>
                </c:pt>
                <c:pt idx="4">
                  <c:v>1361.9733839804417</c:v>
                </c:pt>
                <c:pt idx="5">
                  <c:v>25765.334921623489</c:v>
                </c:pt>
                <c:pt idx="6">
                  <c:v>29499.12041933681</c:v>
                </c:pt>
                <c:pt idx="7">
                  <c:v>572.7153166932917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72041</v>
      </c>
      <c r="B6" s="380"/>
      <c r="C6" s="381"/>
    </row>
    <row r="7" spans="1:7" s="378" customFormat="1" ht="15.75" customHeight="1">
      <c r="A7" s="382" t="str">
        <f>txtMunicipality</f>
        <v>DILSEN-STOKKEM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0.15532119058538327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0.15532119058538327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8153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2103.6999999999998</v>
      </c>
      <c r="C14" s="322"/>
      <c r="D14" s="322"/>
      <c r="E14" s="322"/>
      <c r="F14" s="322"/>
    </row>
    <row r="15" spans="1:6">
      <c r="A15" s="1248" t="s">
        <v>177</v>
      </c>
      <c r="B15" s="1249">
        <v>16</v>
      </c>
      <c r="C15" s="322"/>
      <c r="D15" s="322"/>
      <c r="E15" s="322"/>
      <c r="F15" s="322"/>
    </row>
    <row r="16" spans="1:6">
      <c r="A16" s="1248" t="s">
        <v>6</v>
      </c>
      <c r="B16" s="1249">
        <v>814</v>
      </c>
      <c r="C16" s="322"/>
      <c r="D16" s="322"/>
      <c r="E16" s="322"/>
      <c r="F16" s="322"/>
    </row>
    <row r="17" spans="1:6">
      <c r="A17" s="1248" t="s">
        <v>7</v>
      </c>
      <c r="B17" s="1249">
        <v>481</v>
      </c>
      <c r="C17" s="322"/>
      <c r="D17" s="322"/>
      <c r="E17" s="322"/>
      <c r="F17" s="322"/>
    </row>
    <row r="18" spans="1:6">
      <c r="A18" s="1248" t="s">
        <v>8</v>
      </c>
      <c r="B18" s="1249">
        <v>802</v>
      </c>
      <c r="C18" s="322"/>
      <c r="D18" s="322"/>
      <c r="E18" s="322"/>
      <c r="F18" s="322"/>
    </row>
    <row r="19" spans="1:6">
      <c r="A19" s="1248" t="s">
        <v>9</v>
      </c>
      <c r="B19" s="1249">
        <v>733</v>
      </c>
      <c r="C19" s="322"/>
      <c r="D19" s="322"/>
      <c r="E19" s="322"/>
      <c r="F19" s="322"/>
    </row>
    <row r="20" spans="1:6">
      <c r="A20" s="1248" t="s">
        <v>10</v>
      </c>
      <c r="B20" s="1249">
        <v>482</v>
      </c>
      <c r="C20" s="322"/>
      <c r="D20" s="322"/>
      <c r="E20" s="322"/>
      <c r="F20" s="322"/>
    </row>
    <row r="21" spans="1:6">
      <c r="A21" s="1248" t="s">
        <v>11</v>
      </c>
      <c r="B21" s="1249">
        <v>2557</v>
      </c>
      <c r="C21" s="322"/>
      <c r="D21" s="322"/>
      <c r="E21" s="322"/>
      <c r="F21" s="322"/>
    </row>
    <row r="22" spans="1:6">
      <c r="A22" s="1248" t="s">
        <v>12</v>
      </c>
      <c r="B22" s="1249">
        <v>2508</v>
      </c>
      <c r="C22" s="322"/>
      <c r="D22" s="322"/>
      <c r="E22" s="322"/>
      <c r="F22" s="322"/>
    </row>
    <row r="23" spans="1:6">
      <c r="A23" s="1248" t="s">
        <v>13</v>
      </c>
      <c r="B23" s="1249">
        <v>152</v>
      </c>
      <c r="C23" s="322"/>
      <c r="D23" s="322"/>
      <c r="E23" s="322"/>
      <c r="F23" s="322"/>
    </row>
    <row r="24" spans="1:6">
      <c r="A24" s="1248" t="s">
        <v>14</v>
      </c>
      <c r="B24" s="1249">
        <v>4</v>
      </c>
      <c r="C24" s="322"/>
      <c r="D24" s="322"/>
      <c r="E24" s="322"/>
      <c r="F24" s="322"/>
    </row>
    <row r="25" spans="1:6">
      <c r="A25" s="1248" t="s">
        <v>15</v>
      </c>
      <c r="B25" s="1249">
        <v>665</v>
      </c>
      <c r="C25" s="322"/>
      <c r="D25" s="322"/>
      <c r="E25" s="322"/>
      <c r="F25" s="322"/>
    </row>
    <row r="26" spans="1:6">
      <c r="A26" s="1248" t="s">
        <v>16</v>
      </c>
      <c r="B26" s="1249">
        <v>622</v>
      </c>
      <c r="C26" s="322"/>
      <c r="D26" s="322"/>
      <c r="E26" s="322"/>
      <c r="F26" s="322"/>
    </row>
    <row r="27" spans="1:6">
      <c r="A27" s="1248" t="s">
        <v>17</v>
      </c>
      <c r="B27" s="1249">
        <v>624</v>
      </c>
      <c r="C27" s="322"/>
      <c r="D27" s="322"/>
      <c r="E27" s="322"/>
      <c r="F27" s="322"/>
    </row>
    <row r="28" spans="1:6">
      <c r="A28" s="1248" t="s">
        <v>18</v>
      </c>
      <c r="B28" s="1250">
        <v>165855</v>
      </c>
      <c r="C28" s="322"/>
      <c r="D28" s="322"/>
      <c r="E28" s="322"/>
      <c r="F28" s="322"/>
    </row>
    <row r="29" spans="1:6">
      <c r="A29" s="1248" t="s">
        <v>691</v>
      </c>
      <c r="B29" s="1250">
        <v>205</v>
      </c>
      <c r="C29" s="322"/>
      <c r="D29" s="322"/>
      <c r="E29" s="322"/>
      <c r="F29" s="322"/>
    </row>
    <row r="30" spans="1:6">
      <c r="A30" s="1243" t="s">
        <v>692</v>
      </c>
      <c r="B30" s="1251">
        <v>43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12512</v>
      </c>
    </row>
    <row r="36" spans="1:6">
      <c r="A36" s="1248" t="s">
        <v>24</v>
      </c>
      <c r="B36" s="1248" t="s">
        <v>26</v>
      </c>
      <c r="C36" s="1249">
        <v>0</v>
      </c>
      <c r="D36" s="1249">
        <v>0</v>
      </c>
      <c r="E36" s="1249">
        <v>20</v>
      </c>
      <c r="F36" s="1249">
        <v>626112</v>
      </c>
    </row>
    <row r="37" spans="1:6">
      <c r="A37" s="1248" t="s">
        <v>24</v>
      </c>
      <c r="B37" s="1248" t="s">
        <v>27</v>
      </c>
      <c r="C37" s="1249">
        <v>0</v>
      </c>
      <c r="D37" s="1249">
        <v>0</v>
      </c>
      <c r="E37" s="1249">
        <v>0</v>
      </c>
      <c r="F37" s="1249">
        <v>0</v>
      </c>
    </row>
    <row r="38" spans="1:6">
      <c r="A38" s="1248" t="s">
        <v>24</v>
      </c>
      <c r="B38" s="1248" t="s">
        <v>28</v>
      </c>
      <c r="C38" s="1249">
        <v>2</v>
      </c>
      <c r="D38" s="1249">
        <v>594636.42099999997</v>
      </c>
      <c r="E38" s="1249">
        <v>0</v>
      </c>
      <c r="F38" s="1249">
        <v>0</v>
      </c>
    </row>
    <row r="39" spans="1:6">
      <c r="A39" s="1248" t="s">
        <v>29</v>
      </c>
      <c r="B39" s="1248" t="s">
        <v>30</v>
      </c>
      <c r="C39" s="1249">
        <v>4076</v>
      </c>
      <c r="D39" s="1249">
        <v>62046697.549999997</v>
      </c>
      <c r="E39" s="1249">
        <v>8073</v>
      </c>
      <c r="F39" s="1249">
        <v>26591344.350000001</v>
      </c>
    </row>
    <row r="40" spans="1:6">
      <c r="A40" s="1248" t="s">
        <v>29</v>
      </c>
      <c r="B40" s="1248" t="s">
        <v>28</v>
      </c>
      <c r="C40" s="1249">
        <v>0</v>
      </c>
      <c r="D40" s="1249">
        <v>0</v>
      </c>
      <c r="E40" s="1249">
        <v>0</v>
      </c>
      <c r="F40" s="1249">
        <v>0</v>
      </c>
    </row>
    <row r="41" spans="1:6">
      <c r="A41" s="1248" t="s">
        <v>31</v>
      </c>
      <c r="B41" s="1248" t="s">
        <v>32</v>
      </c>
      <c r="C41" s="1249">
        <v>69</v>
      </c>
      <c r="D41" s="1249">
        <v>24492577.721000001</v>
      </c>
      <c r="E41" s="1249">
        <v>149</v>
      </c>
      <c r="F41" s="1249">
        <v>14046314.023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14</v>
      </c>
      <c r="D44" s="1249">
        <v>49854453</v>
      </c>
      <c r="E44" s="1249">
        <v>42</v>
      </c>
      <c r="F44" s="1249">
        <v>19790833</v>
      </c>
    </row>
    <row r="45" spans="1:6">
      <c r="A45" s="1248" t="s">
        <v>31</v>
      </c>
      <c r="B45" s="1248" t="s">
        <v>36</v>
      </c>
      <c r="C45" s="1249">
        <v>4</v>
      </c>
      <c r="D45" s="1249">
        <v>238119</v>
      </c>
      <c r="E45" s="1249">
        <v>13</v>
      </c>
      <c r="F45" s="1249">
        <v>4156878.2069999999</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v>
      </c>
      <c r="D48" s="1249">
        <v>20185</v>
      </c>
      <c r="E48" s="1249">
        <v>5</v>
      </c>
      <c r="F48" s="1249">
        <v>527465</v>
      </c>
    </row>
    <row r="49" spans="1:6">
      <c r="A49" s="1248" t="s">
        <v>31</v>
      </c>
      <c r="B49" s="1248" t="s">
        <v>39</v>
      </c>
      <c r="C49" s="1249">
        <v>0</v>
      </c>
      <c r="D49" s="1249">
        <v>0</v>
      </c>
      <c r="E49" s="1249">
        <v>0</v>
      </c>
      <c r="F49" s="1249">
        <v>0</v>
      </c>
    </row>
    <row r="50" spans="1:6">
      <c r="A50" s="1248" t="s">
        <v>31</v>
      </c>
      <c r="B50" s="1248" t="s">
        <v>40</v>
      </c>
      <c r="C50" s="1249">
        <v>8</v>
      </c>
      <c r="D50" s="1249">
        <v>10269641</v>
      </c>
      <c r="E50" s="1249">
        <v>20</v>
      </c>
      <c r="F50" s="1249">
        <v>5371918.5880000005</v>
      </c>
    </row>
    <row r="51" spans="1:6">
      <c r="A51" s="1248" t="s">
        <v>41</v>
      </c>
      <c r="B51" s="1248" t="s">
        <v>42</v>
      </c>
      <c r="C51" s="1249">
        <v>7</v>
      </c>
      <c r="D51" s="1249">
        <v>155656</v>
      </c>
      <c r="E51" s="1249">
        <v>51</v>
      </c>
      <c r="F51" s="1249">
        <v>1074799.2490000001</v>
      </c>
    </row>
    <row r="52" spans="1:6">
      <c r="A52" s="1248" t="s">
        <v>41</v>
      </c>
      <c r="B52" s="1248" t="s">
        <v>28</v>
      </c>
      <c r="C52" s="1249">
        <v>0</v>
      </c>
      <c r="D52" s="1249">
        <v>0</v>
      </c>
      <c r="E52" s="1249">
        <v>0</v>
      </c>
      <c r="F52" s="1249">
        <v>0</v>
      </c>
    </row>
    <row r="53" spans="1:6">
      <c r="A53" s="1248" t="s">
        <v>43</v>
      </c>
      <c r="B53" s="1248" t="s">
        <v>44</v>
      </c>
      <c r="C53" s="1249">
        <v>59</v>
      </c>
      <c r="D53" s="1249">
        <v>2868916.05</v>
      </c>
      <c r="E53" s="1249">
        <v>147</v>
      </c>
      <c r="F53" s="1249">
        <v>686881.65</v>
      </c>
    </row>
    <row r="54" spans="1:6">
      <c r="A54" s="1248" t="s">
        <v>45</v>
      </c>
      <c r="B54" s="1248" t="s">
        <v>46</v>
      </c>
      <c r="C54" s="1249">
        <v>0</v>
      </c>
      <c r="D54" s="1249">
        <v>0</v>
      </c>
      <c r="E54" s="1249">
        <v>3</v>
      </c>
      <c r="F54" s="1249">
        <v>1119228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2365067</v>
      </c>
      <c r="E57" s="1249">
        <v>73</v>
      </c>
      <c r="F57" s="1249">
        <v>3711910.6889999998</v>
      </c>
    </row>
    <row r="58" spans="1:6">
      <c r="A58" s="1248" t="s">
        <v>48</v>
      </c>
      <c r="B58" s="1248" t="s">
        <v>50</v>
      </c>
      <c r="C58" s="1249">
        <v>34</v>
      </c>
      <c r="D58" s="1249">
        <v>2339615</v>
      </c>
      <c r="E58" s="1249">
        <v>44</v>
      </c>
      <c r="F58" s="1249">
        <v>820381.49199999997</v>
      </c>
    </row>
    <row r="59" spans="1:6">
      <c r="A59" s="1248" t="s">
        <v>48</v>
      </c>
      <c r="B59" s="1248" t="s">
        <v>51</v>
      </c>
      <c r="C59" s="1249">
        <v>95</v>
      </c>
      <c r="D59" s="1249">
        <v>3669089</v>
      </c>
      <c r="E59" s="1249">
        <v>224</v>
      </c>
      <c r="F59" s="1249">
        <v>6399509.9380000001</v>
      </c>
    </row>
    <row r="60" spans="1:6">
      <c r="A60" s="1248" t="s">
        <v>48</v>
      </c>
      <c r="B60" s="1248" t="s">
        <v>52</v>
      </c>
      <c r="C60" s="1249">
        <v>45</v>
      </c>
      <c r="D60" s="1249">
        <v>1772180</v>
      </c>
      <c r="E60" s="1249">
        <v>79</v>
      </c>
      <c r="F60" s="1249">
        <v>1871145</v>
      </c>
    </row>
    <row r="61" spans="1:6">
      <c r="A61" s="1248" t="s">
        <v>48</v>
      </c>
      <c r="B61" s="1248" t="s">
        <v>53</v>
      </c>
      <c r="C61" s="1249">
        <v>128</v>
      </c>
      <c r="D61" s="1249">
        <v>10419098.5</v>
      </c>
      <c r="E61" s="1249">
        <v>276</v>
      </c>
      <c r="F61" s="1249">
        <v>3208331.8339999998</v>
      </c>
    </row>
    <row r="62" spans="1:6">
      <c r="A62" s="1248" t="s">
        <v>48</v>
      </c>
      <c r="B62" s="1248" t="s">
        <v>54</v>
      </c>
      <c r="C62" s="1249">
        <v>7</v>
      </c>
      <c r="D62" s="1249">
        <v>1374074</v>
      </c>
      <c r="E62" s="1249">
        <v>15</v>
      </c>
      <c r="F62" s="1249">
        <v>272396</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82937</v>
      </c>
      <c r="E65" s="1249">
        <v>0</v>
      </c>
      <c r="F65" s="1249">
        <v>0</v>
      </c>
    </row>
    <row r="66" spans="1:6">
      <c r="A66" s="1248" t="s">
        <v>55</v>
      </c>
      <c r="B66" s="1248" t="s">
        <v>57</v>
      </c>
      <c r="C66" s="1249">
        <v>0</v>
      </c>
      <c r="D66" s="1249">
        <v>0</v>
      </c>
      <c r="E66" s="1249">
        <v>30</v>
      </c>
      <c r="F66" s="1249">
        <v>799373</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95120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114460377</v>
      </c>
      <c r="E73" s="439"/>
      <c r="F73" s="322"/>
    </row>
    <row r="74" spans="1:6">
      <c r="A74" s="1248" t="s">
        <v>63</v>
      </c>
      <c r="B74" s="1248" t="s">
        <v>617</v>
      </c>
      <c r="C74" s="1261" t="s">
        <v>619</v>
      </c>
      <c r="D74" s="1249">
        <v>10797478.5</v>
      </c>
      <c r="E74" s="439"/>
      <c r="F74" s="322"/>
    </row>
    <row r="75" spans="1:6">
      <c r="A75" s="1248" t="s">
        <v>64</v>
      </c>
      <c r="B75" s="1248" t="s">
        <v>616</v>
      </c>
      <c r="C75" s="1261" t="s">
        <v>620</v>
      </c>
      <c r="D75" s="1249">
        <v>17601435</v>
      </c>
      <c r="E75" s="439"/>
      <c r="F75" s="322"/>
    </row>
    <row r="76" spans="1:6">
      <c r="A76" s="1248" t="s">
        <v>64</v>
      </c>
      <c r="B76" s="1248" t="s">
        <v>617</v>
      </c>
      <c r="C76" s="1261" t="s">
        <v>621</v>
      </c>
      <c r="D76" s="1249">
        <v>526478.5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619383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10334.688751527792</v>
      </c>
      <c r="C90" s="322"/>
      <c r="D90" s="322"/>
      <c r="E90" s="322"/>
      <c r="F90" s="322"/>
    </row>
    <row r="91" spans="1:6">
      <c r="A91" s="1248" t="s">
        <v>67</v>
      </c>
      <c r="B91" s="1249">
        <v>6749.3735389806907</v>
      </c>
      <c r="C91" s="322"/>
      <c r="D91" s="322"/>
      <c r="E91" s="322"/>
      <c r="F91" s="322"/>
    </row>
    <row r="92" spans="1:6">
      <c r="A92" s="1243" t="s">
        <v>68</v>
      </c>
      <c r="B92" s="1244">
        <v>11591.553755363155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1144</v>
      </c>
      <c r="C97" s="322"/>
      <c r="D97" s="322"/>
      <c r="E97" s="322"/>
      <c r="F97" s="322"/>
    </row>
    <row r="98" spans="1:6">
      <c r="A98" s="1248" t="s">
        <v>71</v>
      </c>
      <c r="B98" s="1249">
        <v>4</v>
      </c>
      <c r="C98" s="322"/>
      <c r="D98" s="322"/>
      <c r="E98" s="322"/>
      <c r="F98" s="322"/>
    </row>
    <row r="99" spans="1:6">
      <c r="A99" s="1248" t="s">
        <v>72</v>
      </c>
      <c r="B99" s="1249">
        <v>64</v>
      </c>
      <c r="C99" s="322"/>
      <c r="D99" s="322"/>
      <c r="E99" s="322"/>
      <c r="F99" s="322"/>
    </row>
    <row r="100" spans="1:6">
      <c r="A100" s="1248" t="s">
        <v>73</v>
      </c>
      <c r="B100" s="1249">
        <v>163</v>
      </c>
      <c r="C100" s="322"/>
      <c r="D100" s="322"/>
      <c r="E100" s="322"/>
      <c r="F100" s="322"/>
    </row>
    <row r="101" spans="1:6">
      <c r="A101" s="1248" t="s">
        <v>74</v>
      </c>
      <c r="B101" s="1249">
        <v>49</v>
      </c>
      <c r="C101" s="322"/>
      <c r="D101" s="322"/>
      <c r="E101" s="322"/>
      <c r="F101" s="322"/>
    </row>
    <row r="102" spans="1:6">
      <c r="A102" s="1248" t="s">
        <v>75</v>
      </c>
      <c r="B102" s="1249">
        <v>96</v>
      </c>
      <c r="C102" s="322"/>
      <c r="D102" s="322"/>
      <c r="E102" s="322"/>
      <c r="F102" s="322"/>
    </row>
    <row r="103" spans="1:6">
      <c r="A103" s="1248" t="s">
        <v>76</v>
      </c>
      <c r="B103" s="1249">
        <v>174</v>
      </c>
      <c r="C103" s="322"/>
      <c r="D103" s="322"/>
      <c r="E103" s="322"/>
      <c r="F103" s="322"/>
    </row>
    <row r="104" spans="1:6">
      <c r="A104" s="1248" t="s">
        <v>77</v>
      </c>
      <c r="B104" s="1249">
        <v>5008</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21</v>
      </c>
      <c r="C123" s="1249">
        <v>20</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233</v>
      </c>
      <c r="C129" s="322"/>
      <c r="D129" s="322"/>
      <c r="E129" s="322"/>
      <c r="F129" s="322"/>
    </row>
    <row r="130" spans="1:6">
      <c r="A130" s="1248" t="s">
        <v>283</v>
      </c>
      <c r="B130" s="1249">
        <v>3</v>
      </c>
      <c r="C130" s="322"/>
      <c r="D130" s="322"/>
      <c r="E130" s="322"/>
      <c r="F130" s="322"/>
    </row>
    <row r="131" spans="1:6">
      <c r="A131" s="1248" t="s">
        <v>284</v>
      </c>
      <c r="B131" s="1249">
        <v>5</v>
      </c>
      <c r="C131" s="322"/>
      <c r="D131" s="322"/>
      <c r="E131" s="322"/>
      <c r="F131" s="322"/>
    </row>
    <row r="132" spans="1:6">
      <c r="A132" s="1243" t="s">
        <v>285</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96489.43399889447</v>
      </c>
      <c r="C3" s="43" t="s">
        <v>163</v>
      </c>
      <c r="D3" s="43"/>
      <c r="E3" s="153"/>
      <c r="F3" s="43"/>
      <c r="G3" s="43"/>
      <c r="H3" s="43"/>
      <c r="I3" s="43"/>
      <c r="J3" s="43"/>
      <c r="K3" s="96"/>
    </row>
    <row r="4" spans="1:11">
      <c r="A4" s="348" t="s">
        <v>164</v>
      </c>
      <c r="B4" s="49">
        <f>IF(ISERROR('SEAP template'!B78+'SEAP template'!C78),0,'SEAP template'!B78+'SEAP template'!C78)</f>
        <v>28675.616045871637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0.15532119058538327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1119.2280000000001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1119.2280000000001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0.15532119058538327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173.83982549649735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26591.344350000003</v>
      </c>
      <c r="C5" s="17">
        <f>IF(ISERROR('Eigen informatie GS &amp; warmtenet'!B57),0,'Eigen informatie GS &amp; warmtenet'!B57)</f>
        <v>0</v>
      </c>
      <c r="D5" s="30">
        <f>(SUM(HH_hh_gas_kWh,HH_rest_gas_kWh)/1000)*0.902</f>
        <v>55966.121190099999</v>
      </c>
      <c r="E5" s="17">
        <f>B32*B41</f>
        <v>2522.5975457483273</v>
      </c>
      <c r="F5" s="17">
        <f>B36*B45</f>
        <v>58471.848488687698</v>
      </c>
      <c r="G5" s="18"/>
      <c r="H5" s="17"/>
      <c r="I5" s="17"/>
      <c r="J5" s="17">
        <f>B35*B44+C35*C44</f>
        <v>300.49379576261822</v>
      </c>
      <c r="K5" s="17"/>
      <c r="L5" s="17"/>
      <c r="M5" s="17"/>
      <c r="N5" s="17">
        <f>B34*B43+C34*C43</f>
        <v>12617.018902554124</v>
      </c>
      <c r="O5" s="17">
        <f>B52*B53*B54</f>
        <v>397.08666666666664</v>
      </c>
      <c r="P5" s="17">
        <f>B60*B61*B62/1000-B60*B61*B62/1000/B63</f>
        <v>915.2</v>
      </c>
    </row>
    <row r="6" spans="1:16">
      <c r="A6" s="16" t="s">
        <v>582</v>
      </c>
      <c r="B6" s="716">
        <f>kWh_PV_kleiner_dan_10kW</f>
        <v>6749.3735389806907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33340.717888980696</v>
      </c>
      <c r="C8" s="21">
        <f>C5</f>
        <v>0</v>
      </c>
      <c r="D8" s="21">
        <f>D5</f>
        <v>55966.121190099999</v>
      </c>
      <c r="E8" s="21">
        <f>E5</f>
        <v>2522.5975457483273</v>
      </c>
      <c r="F8" s="21">
        <f>F5</f>
        <v>58471.848488687698</v>
      </c>
      <c r="G8" s="21"/>
      <c r="H8" s="21"/>
      <c r="I8" s="21"/>
      <c r="J8" s="21">
        <f>J5</f>
        <v>300.49379576261822</v>
      </c>
      <c r="K8" s="21"/>
      <c r="L8" s="21">
        <f>L5</f>
        <v>0</v>
      </c>
      <c r="M8" s="21">
        <f>M5</f>
        <v>0</v>
      </c>
      <c r="N8" s="21">
        <f>N5</f>
        <v>12617.018902554124</v>
      </c>
      <c r="O8" s="21">
        <f>O5</f>
        <v>397.08666666666664</v>
      </c>
      <c r="P8" s="21">
        <f>P5</f>
        <v>915.2</v>
      </c>
    </row>
    <row r="9" spans="1:16">
      <c r="B9" s="19"/>
      <c r="C9" s="19"/>
      <c r="D9" s="253"/>
      <c r="E9" s="19"/>
      <c r="F9" s="19"/>
      <c r="G9" s="19"/>
      <c r="H9" s="19"/>
      <c r="I9" s="19"/>
      <c r="J9" s="19"/>
      <c r="K9" s="19"/>
      <c r="L9" s="19"/>
      <c r="M9" s="19"/>
      <c r="N9" s="19"/>
      <c r="O9" s="19"/>
      <c r="P9" s="19"/>
    </row>
    <row r="10" spans="1:16">
      <c r="A10" s="24" t="s">
        <v>207</v>
      </c>
      <c r="B10" s="25">
        <f ca="1">'EF ele_warmte'!B12</f>
        <v>0.15532119058538327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5178.5199974878678</v>
      </c>
      <c r="C12" s="23">
        <f ca="1">C10*C8</f>
        <v>0</v>
      </c>
      <c r="D12" s="23">
        <f>D8*D10</f>
        <v>11305.156480400201</v>
      </c>
      <c r="E12" s="23">
        <f>E10*E8</f>
        <v>572.62964288487035</v>
      </c>
      <c r="F12" s="23">
        <f>F10*F8</f>
        <v>15611.983546479616</v>
      </c>
      <c r="G12" s="23"/>
      <c r="H12" s="23"/>
      <c r="I12" s="23"/>
      <c r="J12" s="23">
        <f>J10*J8</f>
        <v>106.37480369996685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8153</v>
      </c>
      <c r="C26" s="36"/>
      <c r="D26" s="224"/>
    </row>
    <row r="27" spans="1:5" s="15" customFormat="1">
      <c r="A27" s="226" t="s">
        <v>736</v>
      </c>
      <c r="B27" s="37">
        <f>SUM(HH_hh_gas_aantal,HH_rest_gas_aantal)</f>
        <v>4076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3872.2</v>
      </c>
      <c r="C31" s="34" t="s">
        <v>104</v>
      </c>
      <c r="D31" s="170"/>
    </row>
    <row r="32" spans="1:5">
      <c r="A32" s="167" t="s">
        <v>72</v>
      </c>
      <c r="B32" s="33">
        <f>IF((B21*($B$26-($B$27-0.05*$B$27)-$B$60))&lt;0,0,B21*($B$26-($B$27-0.05*$B$27)-$B$60))</f>
        <v>46.615119706747535</v>
      </c>
      <c r="C32" s="34" t="s">
        <v>104</v>
      </c>
      <c r="D32" s="170"/>
    </row>
    <row r="33" spans="1:6">
      <c r="A33" s="167" t="s">
        <v>73</v>
      </c>
      <c r="B33" s="33">
        <f>IF((B22*($B$26-($B$27-0.05*$B$27)-$B$60))&lt;0,0,B22*($B$26-($B$27-0.05*$B$27)-$B$60))</f>
        <v>969.16748464895318</v>
      </c>
      <c r="C33" s="34" t="s">
        <v>104</v>
      </c>
      <c r="D33" s="170"/>
    </row>
    <row r="34" spans="1:6">
      <c r="A34" s="167" t="s">
        <v>74</v>
      </c>
      <c r="B34" s="33">
        <f>IF((B24*($B$26-($B$27-0.05*$B$27)-$B$60))&lt;0,0,B24*($B$26-($B$27-0.05*$B$27)-$B$60))</f>
        <v>378.26274671623543</v>
      </c>
      <c r="C34" s="33">
        <f>B26*C24</f>
        <v>1444.0971797870839</v>
      </c>
      <c r="D34" s="229"/>
    </row>
    <row r="35" spans="1:6">
      <c r="A35" s="167" t="s">
        <v>76</v>
      </c>
      <c r="B35" s="33">
        <f>IF((B19*($B$26-($B$27-0.05*$B$27)-$B$60))&lt;0,0,B19*($B$26-($B$27-0.05*$B$27)-$B$60))</f>
        <v>35.282619078068834</v>
      </c>
      <c r="C35" s="33">
        <f>B35/2</f>
        <v>17.641309539034417</v>
      </c>
      <c r="D35" s="229"/>
    </row>
    <row r="36" spans="1:6">
      <c r="A36" s="167" t="s">
        <v>77</v>
      </c>
      <c r="B36" s="33">
        <f>IF((B18*($B$26-($B$27-0.05*$B$27)-$B$60))&lt;0,0,B18*($B$26-($B$27-0.05*$B$27)-$B$60))</f>
        <v>2803.4720298499951</v>
      </c>
      <c r="C36" s="34" t="s">
        <v>104</v>
      </c>
      <c r="D36" s="170"/>
    </row>
    <row r="37" spans="1:6">
      <c r="A37" s="167" t="s">
        <v>78</v>
      </c>
      <c r="B37" s="33">
        <f>B60</f>
        <v>48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254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16283.674953000002</v>
      </c>
      <c r="C5" s="17">
        <f>IF(ISERROR('Eigen informatie GS &amp; warmtenet'!B58),0,'Eigen informatie GS &amp; warmtenet'!B58)</f>
        <v>0</v>
      </c>
      <c r="D5" s="30">
        <f>SUM(D6:D12)</f>
        <v>19789.089396999996</v>
      </c>
      <c r="E5" s="17">
        <f>SUM(E6:E12)</f>
        <v>263.13630050494282</v>
      </c>
      <c r="F5" s="17">
        <f>SUM(F6:F12)</f>
        <v>3648.5988338254933</v>
      </c>
      <c r="G5" s="18"/>
      <c r="H5" s="17"/>
      <c r="I5" s="17"/>
      <c r="J5" s="17">
        <f>SUM(J6:J12)</f>
        <v>4.0749643680507229E-2</v>
      </c>
      <c r="K5" s="17"/>
      <c r="L5" s="17"/>
      <c r="M5" s="17"/>
      <c r="N5" s="17">
        <f>SUM(N6:N12)</f>
        <v>1615.6735824663524</v>
      </c>
      <c r="O5" s="17">
        <f>B38*B39*B40</f>
        <v>4.6900000000000004</v>
      </c>
      <c r="P5" s="17">
        <f>B46*B47*B48/1000-B46*B47*B48/1000/B49</f>
        <v>114.4</v>
      </c>
      <c r="R5" s="32"/>
    </row>
    <row r="6" spans="1:18">
      <c r="A6" s="32" t="s">
        <v>53</v>
      </c>
      <c r="B6" s="37">
        <f>B26</f>
        <v>3208.3318339999996</v>
      </c>
      <c r="C6" s="33"/>
      <c r="D6" s="37">
        <f>IF(ISERROR(TER_kantoor_gas_kWh/1000),0,TER_kantoor_gas_kWh/1000)*0.902</f>
        <v>9398.026847000001</v>
      </c>
      <c r="E6" s="33">
        <f>$C$26*'E Balans VL '!I12/100/3.6*1000000</f>
        <v>-2.6344580517330293E-4</v>
      </c>
      <c r="F6" s="33">
        <f>$C$26*('E Balans VL '!L12+'E Balans VL '!N12)/100/3.6*1000000</f>
        <v>406.59632246673505</v>
      </c>
      <c r="G6" s="34"/>
      <c r="H6" s="33"/>
      <c r="I6" s="33"/>
      <c r="J6" s="33">
        <f>$C$26*('E Balans VL '!D12+'E Balans VL '!E12)/100/3.6*1000000</f>
        <v>0</v>
      </c>
      <c r="K6" s="33"/>
      <c r="L6" s="33"/>
      <c r="M6" s="33"/>
      <c r="N6" s="33">
        <f>$C$26*'E Balans VL '!Y12/100/3.6*1000000</f>
        <v>3.9352087647951208</v>
      </c>
      <c r="O6" s="33"/>
      <c r="P6" s="33"/>
      <c r="R6" s="32"/>
    </row>
    <row r="7" spans="1:18">
      <c r="A7" s="32" t="s">
        <v>52</v>
      </c>
      <c r="B7" s="37">
        <f t="shared" ref="B7:B12" si="0">B27</f>
        <v>1871.145</v>
      </c>
      <c r="C7" s="33"/>
      <c r="D7" s="37">
        <f>IF(ISERROR(TER_horeca_gas_kWh/1000),0,TER_horeca_gas_kWh/1000)*0.902</f>
        <v>1598.5063600000001</v>
      </c>
      <c r="E7" s="33">
        <f>$C$27*'E Balans VL '!I9/100/3.6*1000000</f>
        <v>21.537795321007351</v>
      </c>
      <c r="F7" s="33">
        <f>$C$27*('E Balans VL '!L9+'E Balans VL '!N9)/100/3.6*1000000</f>
        <v>241.25390407395088</v>
      </c>
      <c r="G7" s="34"/>
      <c r="H7" s="33"/>
      <c r="I7" s="33"/>
      <c r="J7" s="33">
        <f>$C$27*('E Balans VL '!D9+'E Balans VL '!E9)/100/3.6*1000000</f>
        <v>0</v>
      </c>
      <c r="K7" s="33"/>
      <c r="L7" s="33"/>
      <c r="M7" s="33"/>
      <c r="N7" s="33">
        <f>$C$27*'E Balans VL '!Y9/100/3.6*1000000</f>
        <v>19.749506682445574</v>
      </c>
      <c r="O7" s="33"/>
      <c r="P7" s="33"/>
      <c r="R7" s="32"/>
    </row>
    <row r="8" spans="1:18">
      <c r="A8" s="6" t="s">
        <v>51</v>
      </c>
      <c r="B8" s="37">
        <f t="shared" si="0"/>
        <v>6399.5099380000001</v>
      </c>
      <c r="C8" s="33"/>
      <c r="D8" s="37">
        <f>IF(ISERROR(TER_handel_gas_kWh/1000),0,TER_handel_gas_kWh/1000)*0.902</f>
        <v>3309.518278</v>
      </c>
      <c r="E8" s="33">
        <f>$C$28*'E Balans VL '!I13/100/3.6*1000000</f>
        <v>180.55836510687067</v>
      </c>
      <c r="F8" s="33">
        <f>$C$28*('E Balans VL '!L13+'E Balans VL '!N13)/100/3.6*1000000</f>
        <v>643.65350193766926</v>
      </c>
      <c r="G8" s="34"/>
      <c r="H8" s="33"/>
      <c r="I8" s="33"/>
      <c r="J8" s="33">
        <f>$C$28*('E Balans VL '!D13+'E Balans VL '!E13)/100/3.6*1000000</f>
        <v>0</v>
      </c>
      <c r="K8" s="33"/>
      <c r="L8" s="33"/>
      <c r="M8" s="33"/>
      <c r="N8" s="33">
        <f>$C$28*'E Balans VL '!Y13/100/3.6*1000000</f>
        <v>8.8338066520008258</v>
      </c>
      <c r="O8" s="33"/>
      <c r="P8" s="33"/>
      <c r="R8" s="32"/>
    </row>
    <row r="9" spans="1:18">
      <c r="A9" s="32" t="s">
        <v>50</v>
      </c>
      <c r="B9" s="37">
        <f t="shared" si="0"/>
        <v>820.38149199999998</v>
      </c>
      <c r="C9" s="33"/>
      <c r="D9" s="37">
        <f>IF(ISERROR(TER_gezond_gas_kWh/1000),0,TER_gezond_gas_kWh/1000)*0.902</f>
        <v>2110.3327300000001</v>
      </c>
      <c r="E9" s="33">
        <f>$C$29*'E Balans VL '!I10/100/3.6*1000000</f>
        <v>1.6388696533636373</v>
      </c>
      <c r="F9" s="33">
        <f>$C$29*('E Balans VL '!L10+'E Balans VL '!N10)/100/3.6*1000000</f>
        <v>71.881874751906452</v>
      </c>
      <c r="G9" s="34"/>
      <c r="H9" s="33"/>
      <c r="I9" s="33"/>
      <c r="J9" s="33">
        <f>$C$29*('E Balans VL '!D10+'E Balans VL '!E10)/100/3.6*1000000</f>
        <v>0</v>
      </c>
      <c r="K9" s="33"/>
      <c r="L9" s="33"/>
      <c r="M9" s="33"/>
      <c r="N9" s="33">
        <f>$C$29*'E Balans VL '!Y10/100/3.6*1000000</f>
        <v>12.409449301335943</v>
      </c>
      <c r="O9" s="33"/>
      <c r="P9" s="33"/>
      <c r="R9" s="32"/>
    </row>
    <row r="10" spans="1:18">
      <c r="A10" s="32" t="s">
        <v>49</v>
      </c>
      <c r="B10" s="37">
        <f t="shared" si="0"/>
        <v>3711.9106889999998</v>
      </c>
      <c r="C10" s="33"/>
      <c r="D10" s="37">
        <f>IF(ISERROR(TER_ander_gas_kWh/1000),0,TER_ander_gas_kWh/1000)*0.902</f>
        <v>2133.290434</v>
      </c>
      <c r="E10" s="33">
        <f>$C$30*'E Balans VL '!I14/100/3.6*1000000</f>
        <v>52.291864377825981</v>
      </c>
      <c r="F10" s="33">
        <f>$C$30*('E Balans VL '!L14+'E Balans VL '!N14)/100/3.6*1000000</f>
        <v>2251.6926138333488</v>
      </c>
      <c r="G10" s="34"/>
      <c r="H10" s="33"/>
      <c r="I10" s="33"/>
      <c r="J10" s="33">
        <f>$C$30*('E Balans VL '!D14+'E Balans VL '!E14)/100/3.6*1000000</f>
        <v>4.0749643680507229E-2</v>
      </c>
      <c r="K10" s="33"/>
      <c r="L10" s="33"/>
      <c r="M10" s="33"/>
      <c r="N10" s="33">
        <f>$C$30*'E Balans VL '!Y14/100/3.6*1000000</f>
        <v>1569.883013297806</v>
      </c>
      <c r="O10" s="33"/>
      <c r="P10" s="33"/>
      <c r="R10" s="32"/>
    </row>
    <row r="11" spans="1:18">
      <c r="A11" s="32" t="s">
        <v>54</v>
      </c>
      <c r="B11" s="37">
        <f t="shared" si="0"/>
        <v>272.39600000000002</v>
      </c>
      <c r="C11" s="33"/>
      <c r="D11" s="37">
        <f>IF(ISERROR(TER_onderwijs_gas_kWh/1000),0,TER_onderwijs_gas_kWh/1000)*0.902</f>
        <v>1239.4147480000001</v>
      </c>
      <c r="E11" s="33">
        <f>$C$31*'E Balans VL '!I11/100/3.6*1000000</f>
        <v>7.1096694916803793</v>
      </c>
      <c r="F11" s="33">
        <f>$C$31*('E Balans VL '!L11+'E Balans VL '!N11)/100/3.6*1000000</f>
        <v>33.520616761882842</v>
      </c>
      <c r="G11" s="34"/>
      <c r="H11" s="33"/>
      <c r="I11" s="33"/>
      <c r="J11" s="33">
        <f>$C$31*('E Balans VL '!D11+'E Balans VL '!E11)/100/3.6*1000000</f>
        <v>0</v>
      </c>
      <c r="K11" s="33"/>
      <c r="L11" s="33"/>
      <c r="M11" s="33"/>
      <c r="N11" s="33">
        <f>$C$31*'E Balans VL '!Y11/100/3.6*1000000</f>
        <v>0.86259776796888332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16283.674953000002</v>
      </c>
      <c r="C16" s="21">
        <f t="shared" ca="1" si="1"/>
        <v>0</v>
      </c>
      <c r="D16" s="21">
        <f t="shared" ca="1" si="1"/>
        <v>19789.089396999996</v>
      </c>
      <c r="E16" s="21">
        <f t="shared" si="1"/>
        <v>263.13630050494282</v>
      </c>
      <c r="F16" s="21">
        <f t="shared" ca="1" si="1"/>
        <v>3648.5988338254933</v>
      </c>
      <c r="G16" s="21">
        <f t="shared" si="1"/>
        <v>0</v>
      </c>
      <c r="H16" s="21">
        <f t="shared" si="1"/>
        <v>0</v>
      </c>
      <c r="I16" s="21">
        <f t="shared" si="1"/>
        <v>0</v>
      </c>
      <c r="J16" s="21">
        <f t="shared" si="1"/>
        <v>4.0749643680507229E-2</v>
      </c>
      <c r="K16" s="21">
        <f t="shared" si="1"/>
        <v>0</v>
      </c>
      <c r="L16" s="21">
        <f t="shared" ca="1" si="1"/>
        <v>0</v>
      </c>
      <c r="M16" s="21">
        <f t="shared" si="1"/>
        <v>0</v>
      </c>
      <c r="N16" s="21">
        <f t="shared" ca="1" si="1"/>
        <v>1615.6735824663524</v>
      </c>
      <c r="O16" s="21">
        <f>O5</f>
        <v>4.6900000000000004</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0.15532119058538327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2529.1997808053452</v>
      </c>
      <c r="C20" s="23">
        <f t="shared" ref="C20:P20" ca="1" si="2">C16*C18</f>
        <v>0</v>
      </c>
      <c r="D20" s="23">
        <f t="shared" ca="1" si="2"/>
        <v>3997.3960581939996</v>
      </c>
      <c r="E20" s="23">
        <f t="shared" si="2"/>
        <v>59.731940214622021</v>
      </c>
      <c r="F20" s="23">
        <f t="shared" ca="1" si="2"/>
        <v>974.17588863140679</v>
      </c>
      <c r="G20" s="23">
        <f t="shared" si="2"/>
        <v>0</v>
      </c>
      <c r="H20" s="23">
        <f t="shared" si="2"/>
        <v>0</v>
      </c>
      <c r="I20" s="23">
        <f t="shared" si="2"/>
        <v>0</v>
      </c>
      <c r="J20" s="23">
        <f t="shared" si="2"/>
        <v>1.4425373862899559E-2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3208.3318339999996</v>
      </c>
      <c r="C26" s="39">
        <f>IF(ISERROR(B26*3.6/1000000/'E Balans VL '!Z12*100),0,B26*3.6/1000000/'E Balans VL '!Z12*100)</f>
        <v>8.6980633254277878E-2</v>
      </c>
      <c r="D26" s="232" t="s">
        <v>700</v>
      </c>
      <c r="F26" s="6"/>
    </row>
    <row r="27" spans="1:18">
      <c r="A27" s="227" t="s">
        <v>52</v>
      </c>
      <c r="B27" s="33">
        <f>IF(ISERROR(TER_horeca_ele_kWh/1000),0,TER_horeca_ele_kWh/1000)</f>
        <v>1871.145</v>
      </c>
      <c r="C27" s="39">
        <f>IF(ISERROR(B27*3.6/1000000/'E Balans VL '!Z9*100),0,B27*3.6/1000000/'E Balans VL '!Z9*100)</f>
        <v>0.14473502854450002</v>
      </c>
      <c r="D27" s="232" t="s">
        <v>700</v>
      </c>
      <c r="F27" s="6"/>
    </row>
    <row r="28" spans="1:18">
      <c r="A28" s="167" t="s">
        <v>51</v>
      </c>
      <c r="B28" s="33">
        <f>IF(ISERROR(TER_handel_ele_kWh/1000),0,TER_handel_ele_kWh/1000)</f>
        <v>6399.5099380000001</v>
      </c>
      <c r="C28" s="39">
        <f>IF(ISERROR(B28*3.6/1000000/'E Balans VL '!Z13*100),0,B28*3.6/1000000/'E Balans VL '!Z13*100)</f>
        <v>0.18509037850018586</v>
      </c>
      <c r="D28" s="232" t="s">
        <v>700</v>
      </c>
      <c r="F28" s="6"/>
    </row>
    <row r="29" spans="1:18">
      <c r="A29" s="227" t="s">
        <v>50</v>
      </c>
      <c r="B29" s="33">
        <f>IF(ISERROR(TER_gezond_ele_kWh/1000),0,TER_gezond_ele_kWh/1000)</f>
        <v>820.38149199999998</v>
      </c>
      <c r="C29" s="39">
        <f>IF(ISERROR(B29*3.6/1000000/'E Balans VL '!Z10*100),0,B29*3.6/1000000/'E Balans VL '!Z10*100)</f>
        <v>8.4491248206513284E-2</v>
      </c>
      <c r="D29" s="232" t="s">
        <v>700</v>
      </c>
      <c r="F29" s="6"/>
    </row>
    <row r="30" spans="1:18">
      <c r="A30" s="227" t="s">
        <v>49</v>
      </c>
      <c r="B30" s="33">
        <f>IF(ISERROR(TER_ander_ele_kWh/1000),0,TER_ander_ele_kWh/1000)</f>
        <v>3711.9106889999998</v>
      </c>
      <c r="C30" s="39">
        <f>IF(ISERROR(B30*3.6/1000000/'E Balans VL '!Z14*100),0,B30*3.6/1000000/'E Balans VL '!Z14*100)</f>
        <v>0.16689273862323778</v>
      </c>
      <c r="D30" s="232" t="s">
        <v>700</v>
      </c>
      <c r="F30" s="6"/>
    </row>
    <row r="31" spans="1:18">
      <c r="A31" s="227" t="s">
        <v>54</v>
      </c>
      <c r="B31" s="33">
        <f>IF(ISERROR(TER_onderwijs_ele_kWh/1000),0,TER_onderwijs_ele_kWh/1000)</f>
        <v>272.39600000000002</v>
      </c>
      <c r="C31" s="39">
        <f>IF(ISERROR(B31*3.6/1000000/'E Balans VL '!Z11*100),0,B31*3.6/1000000/'E Balans VL '!Z11*100)</f>
        <v>7.6125673401443508E-2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6</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43893.408817999996</v>
      </c>
      <c r="C5" s="17">
        <f>IF(ISERROR('Eigen informatie GS &amp; warmtenet'!B59),0,'Eigen informatie GS &amp; warmtenet'!B59)</f>
        <v>0</v>
      </c>
      <c r="D5" s="30">
        <f>SUM(D6:D15)</f>
        <v>76557.228100341992</v>
      </c>
      <c r="E5" s="17">
        <f>SUM(E6:E15)</f>
        <v>402.37160797688665</v>
      </c>
      <c r="F5" s="17">
        <f>SUM(F6:F15)</f>
        <v>12691.710067786755</v>
      </c>
      <c r="G5" s="18"/>
      <c r="H5" s="17"/>
      <c r="I5" s="17"/>
      <c r="J5" s="17">
        <f>SUM(J6:J15)</f>
        <v>8.9643666154516346</v>
      </c>
      <c r="K5" s="17"/>
      <c r="L5" s="17"/>
      <c r="M5" s="17"/>
      <c r="N5" s="17">
        <f>SUM(N6:N15)</f>
        <v>2055.4413697129112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19790.832999999999</v>
      </c>
      <c r="C8" s="33"/>
      <c r="D8" s="37">
        <f>IF( ISERROR(IND_metaal_Gas_kWH/1000),0,IND_metaal_Gas_kWH/1000)*0.902</f>
        <v>44968.716606000002</v>
      </c>
      <c r="E8" s="33">
        <f>C30*'E Balans VL '!I18/100/3.6*1000000</f>
        <v>179.60787305758203</v>
      </c>
      <c r="F8" s="33">
        <f>C30*'E Balans VL '!L18/100/3.6*1000000+C30*'E Balans VL '!N18/100/3.6*1000000</f>
        <v>1821.5895076859608</v>
      </c>
      <c r="G8" s="34"/>
      <c r="H8" s="33"/>
      <c r="I8" s="33"/>
      <c r="J8" s="40">
        <f>C30*'E Balans VL '!D18/100/3.6*1000000+C30*'E Balans VL '!E18/100/3.6*1000000</f>
        <v>0</v>
      </c>
      <c r="K8" s="33"/>
      <c r="L8" s="33"/>
      <c r="M8" s="33"/>
      <c r="N8" s="33">
        <f>C30*'E Balans VL '!Y18/100/3.6*1000000</f>
        <v>288.93057677438628</v>
      </c>
      <c r="O8" s="33"/>
      <c r="P8" s="33"/>
      <c r="R8" s="32"/>
    </row>
    <row r="9" spans="1:18">
      <c r="A9" s="6" t="s">
        <v>32</v>
      </c>
      <c r="B9" s="37">
        <f t="shared" si="0"/>
        <v>14046.314023000001</v>
      </c>
      <c r="C9" s="33"/>
      <c r="D9" s="37">
        <f>IF( ISERROR(IND_andere_gas_kWh/1000),0,IND_andere_gas_kWh/1000)*0.902</f>
        <v>22092.305104342002</v>
      </c>
      <c r="E9" s="33">
        <f>C31*'E Balans VL '!I19/100/3.6*1000000</f>
        <v>81.527981004244566</v>
      </c>
      <c r="F9" s="33">
        <f>C31*'E Balans VL '!L19/100/3.6*1000000+C31*'E Balans VL '!N19/100/3.6*1000000</f>
        <v>9263.3863756919582</v>
      </c>
      <c r="G9" s="34"/>
      <c r="H9" s="33"/>
      <c r="I9" s="33"/>
      <c r="J9" s="40">
        <f>C31*'E Balans VL '!D19/100/3.6*1000000+C31*'E Balans VL '!E19/100/3.6*1000000</f>
        <v>0</v>
      </c>
      <c r="K9" s="33"/>
      <c r="L9" s="33"/>
      <c r="M9" s="33"/>
      <c r="N9" s="33">
        <f>C31*'E Balans VL '!Y19/100/3.6*1000000</f>
        <v>650.49701228569529</v>
      </c>
      <c r="O9" s="33"/>
      <c r="P9" s="33"/>
      <c r="R9" s="32"/>
    </row>
    <row r="10" spans="1:18">
      <c r="A10" s="6" t="s">
        <v>40</v>
      </c>
      <c r="B10" s="37">
        <f t="shared" si="0"/>
        <v>5371.9185880000005</v>
      </c>
      <c r="C10" s="33"/>
      <c r="D10" s="37">
        <f>IF( ISERROR(IND_voed_gas_kWh/1000),0,IND_voed_gas_kWh/1000)*0.902</f>
        <v>9263.2161820000001</v>
      </c>
      <c r="E10" s="33">
        <f>C32*'E Balans VL '!I20/100/3.6*1000000</f>
        <v>11.38434852637519</v>
      </c>
      <c r="F10" s="33">
        <f>C32*'E Balans VL '!L20/100/3.6*1000000+C32*'E Balans VL '!N20/100/3.6*1000000</f>
        <v>341.40761678559835</v>
      </c>
      <c r="G10" s="34"/>
      <c r="H10" s="33"/>
      <c r="I10" s="33"/>
      <c r="J10" s="40">
        <f>C32*'E Balans VL '!D20/100/3.6*1000000+C32*'E Balans VL '!E20/100/3.6*1000000</f>
        <v>0</v>
      </c>
      <c r="K10" s="33"/>
      <c r="L10" s="33"/>
      <c r="M10" s="33"/>
      <c r="N10" s="33">
        <f>C32*'E Balans VL '!Y20/100/3.6*1000000</f>
        <v>155.72596999702876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4156.8782069999997</v>
      </c>
      <c r="C12" s="33"/>
      <c r="D12" s="37">
        <f>IF( ISERROR(IND_min_gas_kWh/1000),0,IND_min_gas_kWh/1000)*0.902</f>
        <v>214.78333800000001</v>
      </c>
      <c r="E12" s="33">
        <f>C34*'E Balans VL '!I22/100/3.6*1000000</f>
        <v>101.31564505102841</v>
      </c>
      <c r="F12" s="33">
        <f>C34*'E Balans VL '!L22/100/3.6*1000000+C34*'E Balans VL '!N22/100/3.6*1000000</f>
        <v>1172.6168541992911</v>
      </c>
      <c r="G12" s="34"/>
      <c r="H12" s="33"/>
      <c r="I12" s="33"/>
      <c r="J12" s="40">
        <f>C34*'E Balans VL '!D22/100/3.6*1000000+C34*'E Balans VL '!E22/100/3.6*1000000</f>
        <v>7.1068531599832836</v>
      </c>
      <c r="K12" s="33"/>
      <c r="L12" s="33"/>
      <c r="M12" s="33"/>
      <c r="N12" s="33">
        <f>C34*'E Balans VL '!Y22/100/3.6*1000000</f>
        <v>946.75693533877632</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527.46500000000003</v>
      </c>
      <c r="C15" s="33"/>
      <c r="D15" s="37">
        <f>IF( ISERROR(IND_rest_gas_kWh/1000),0,IND_rest_gas_kWh/1000)*0.902</f>
        <v>18.206869999999999</v>
      </c>
      <c r="E15" s="33">
        <f>C37*'E Balans VL '!I15/100/3.6*1000000</f>
        <v>28.535760337656491</v>
      </c>
      <c r="F15" s="33">
        <f>C37*'E Balans VL '!L15/100/3.6*1000000+C37*'E Balans VL '!N15/100/3.6*1000000</f>
        <v>92.709713423946511</v>
      </c>
      <c r="G15" s="34"/>
      <c r="H15" s="33"/>
      <c r="I15" s="33"/>
      <c r="J15" s="40">
        <f>C37*'E Balans VL '!D15/100/3.6*1000000+C37*'E Balans VL '!E15/100/3.6*1000000</f>
        <v>1.8575134554683517</v>
      </c>
      <c r="K15" s="33"/>
      <c r="L15" s="33"/>
      <c r="M15" s="33"/>
      <c r="N15" s="33">
        <f>C37*'E Balans VL '!Y15/100/3.6*1000000</f>
        <v>13.530875317024817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43893.408817999996</v>
      </c>
      <c r="C18" s="21">
        <f>C5+C16</f>
        <v>0</v>
      </c>
      <c r="D18" s="21">
        <f>MAX((D5+D16),0)</f>
        <v>76557.228100341992</v>
      </c>
      <c r="E18" s="21">
        <f>MAX((E5+E16),0)</f>
        <v>402.37160797688665</v>
      </c>
      <c r="F18" s="21">
        <f>MAX((F5+F16),0)</f>
        <v>12691.710067786755</v>
      </c>
      <c r="G18" s="21"/>
      <c r="H18" s="21"/>
      <c r="I18" s="21"/>
      <c r="J18" s="21">
        <f>MAX((J5+J16),0)</f>
        <v>8.9643666154516346</v>
      </c>
      <c r="K18" s="21"/>
      <c r="L18" s="21">
        <f>MAX((L5+L16),0)</f>
        <v>0</v>
      </c>
      <c r="M18" s="21"/>
      <c r="N18" s="21">
        <f>MAX((N5+N16),0)</f>
        <v>2055.4413697129112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0.15532119058538327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6817.5765164627201</v>
      </c>
      <c r="C22" s="23">
        <f ca="1">C18*C20</f>
        <v>0</v>
      </c>
      <c r="D22" s="23">
        <f>D18*D20</f>
        <v>15464.560076269083</v>
      </c>
      <c r="E22" s="23">
        <f>E18*E20</f>
        <v>91.338355010753276</v>
      </c>
      <c r="F22" s="23">
        <f>F18*F20</f>
        <v>3388.6865880990636</v>
      </c>
      <c r="G22" s="23"/>
      <c r="H22" s="23"/>
      <c r="I22" s="23"/>
      <c r="J22" s="23">
        <f>J18*J20</f>
        <v>3.1733857818698783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19790.832999999999</v>
      </c>
      <c r="C30" s="39">
        <f>IF(ISERROR(B30*3.6/1000000/'E Balans VL '!Z18*100),0,B30*3.6/1000000/'E Balans VL '!Z18*100)</f>
        <v>1.1477420209391485</v>
      </c>
      <c r="D30" s="232" t="s">
        <v>700</v>
      </c>
    </row>
    <row r="31" spans="1:18">
      <c r="A31" s="6" t="s">
        <v>32</v>
      </c>
      <c r="B31" s="37">
        <f>IF( ISERROR(IND_ander_ele_kWh/1000),0,IND_ander_ele_kWh/1000)</f>
        <v>14046.314023000001</v>
      </c>
      <c r="C31" s="39">
        <f>IF(ISERROR(B31*3.6/1000000/'E Balans VL '!Z19*100),0,B31*3.6/1000000/'E Balans VL '!Z19*100)</f>
        <v>0.5866269310415948</v>
      </c>
      <c r="D31" s="232" t="s">
        <v>700</v>
      </c>
    </row>
    <row r="32" spans="1:18">
      <c r="A32" s="167" t="s">
        <v>40</v>
      </c>
      <c r="B32" s="37">
        <f>IF( ISERROR(IND_voed_ele_kWh/1000),0,IND_voed_ele_kWh/1000)</f>
        <v>5371.9185880000005</v>
      </c>
      <c r="C32" s="39">
        <f>IF(ISERROR(B32*3.6/1000000/'E Balans VL '!Z20*100),0,B32*3.6/1000000/'E Balans VL '!Z20*100)</f>
        <v>0.16661574864438647</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4156.8782069999997</v>
      </c>
      <c r="C34" s="39">
        <f>IF(ISERROR(B34*3.6/1000000/'E Balans VL '!Z22*100),0,B34*3.6/1000000/'E Balans VL '!Z22*100)</f>
        <v>0.77788602541623375</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527.46500000000003</v>
      </c>
      <c r="C37" s="39">
        <f>IF(ISERROR(B37*3.6/1000000/'E Balans VL '!Z15*100),0,B37*3.6/1000000/'E Balans VL '!Z15*100)</f>
        <v>4.1126127323966762E-3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1074.7992490000001</v>
      </c>
      <c r="C5" s="17">
        <f>'Eigen informatie GS &amp; warmtenet'!B60</f>
        <v>0</v>
      </c>
      <c r="D5" s="30">
        <f>IF(ISERROR(SUM(LB_lb_gas_kWh,LB_rest_gas_kWh)/1000),0,SUM(LB_lb_gas_kWh,LB_rest_gas_kWh)/1000)*0.902</f>
        <v>140.401712</v>
      </c>
      <c r="E5" s="17">
        <f>B17*'E Balans VL '!I25/3.6*1000000/100</f>
        <v>34.880768779392945</v>
      </c>
      <c r="F5" s="17">
        <f>B17*('E Balans VL '!L25/3.6*1000000+'E Balans VL '!N25/3.6*1000000)/100</f>
        <v>3965.1429910710758</v>
      </c>
      <c r="G5" s="18"/>
      <c r="H5" s="17"/>
      <c r="I5" s="17"/>
      <c r="J5" s="17">
        <f>('E Balans VL '!D25+'E Balans VL '!E25)/3.6*1000000*landbouw!B17/100</f>
        <v>282.66109048753236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1074.7992490000001</v>
      </c>
      <c r="C8" s="21">
        <f>C5+C6</f>
        <v>0</v>
      </c>
      <c r="D8" s="21">
        <f>MAX((D5+D6),0)</f>
        <v>140.401712</v>
      </c>
      <c r="E8" s="21">
        <f>MAX((E5+E6),0)</f>
        <v>34.880768779392945</v>
      </c>
      <c r="F8" s="21">
        <f>MAX((F5+F6),0)</f>
        <v>3965.1429910710758</v>
      </c>
      <c r="G8" s="21"/>
      <c r="H8" s="21"/>
      <c r="I8" s="21"/>
      <c r="J8" s="21">
        <f>MAX((J5+J6),0)</f>
        <v>282.66109048753236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0.15532119058538327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166.93909899495583</v>
      </c>
      <c r="C12" s="23">
        <f ca="1">C8*C10</f>
        <v>0</v>
      </c>
      <c r="D12" s="23">
        <f>D8*D10</f>
        <v>28.361145824000001</v>
      </c>
      <c r="E12" s="23">
        <f>E8*E10</f>
        <v>7.9179345129221987</v>
      </c>
      <c r="F12" s="23">
        <f>F8*F10</f>
        <v>1058.6931786159773</v>
      </c>
      <c r="G12" s="23"/>
      <c r="H12" s="23"/>
      <c r="I12" s="23"/>
      <c r="J12" s="23">
        <f>J8*J10</f>
        <v>100.06202603258645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0.15251738551290581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239.72545250692772</v>
      </c>
      <c r="C26" s="242">
        <f>B26*'GWP N2O_CH4'!B5</f>
        <v>5034.2345026454823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63.166171917321059</v>
      </c>
      <c r="C27" s="242">
        <f>B27*'GWP N2O_CH4'!B5</f>
        <v>1326.4896102637422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3.4119566284413243</v>
      </c>
      <c r="C28" s="242">
        <f>B28*'GWP N2O_CH4'!B4</f>
        <v>1057.7065548168105</v>
      </c>
      <c r="D28" s="50"/>
    </row>
    <row r="29" spans="1:4">
      <c r="A29" s="41" t="s">
        <v>265</v>
      </c>
      <c r="B29" s="242">
        <f>B34*'ha_N2O bodem landbouw'!B4</f>
        <v>13.687177897964997</v>
      </c>
      <c r="C29" s="242">
        <f>B29*'GWP N2O_CH4'!B4</f>
        <v>4243.0251483691491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3.1233668282022041E-3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2.4490890166334111E-4</v>
      </c>
      <c r="C5" s="427" t="s">
        <v>204</v>
      </c>
      <c r="D5" s="412">
        <f>SUM(D6:D11)</f>
        <v>4.2755399113381885E-4</v>
      </c>
      <c r="E5" s="412">
        <f>SUM(E6:E11)</f>
        <v>7.3625643532814139E-4</v>
      </c>
      <c r="F5" s="425" t="s">
        <v>204</v>
      </c>
      <c r="G5" s="412">
        <f>SUM(G6:G11)</f>
        <v>0.32784433735789154</v>
      </c>
      <c r="H5" s="412">
        <f>SUM(H6:H11)</f>
        <v>7.3778553316609E-2</v>
      </c>
      <c r="I5" s="427" t="s">
        <v>204</v>
      </c>
      <c r="J5" s="427" t="s">
        <v>204</v>
      </c>
      <c r="K5" s="427" t="s">
        <v>204</v>
      </c>
      <c r="L5" s="427" t="s">
        <v>204</v>
      </c>
      <c r="M5" s="412">
        <f>SUM(M6:M11)</f>
        <v>2.1326517525972907E-2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2.0076869303577239E-4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3.3923113559719201E-4</v>
      </c>
      <c r="E6" s="818">
        <f>vkm_GW_PW*SUMIFS(TableVerdeelsleutelVkm[LPG],TableVerdeelsleutelVkm[Voertuigtype],"Lichte voertuigen")*SUMIFS(TableECFTransport[EnergieConsumptieFactor (PJ per km)],TableECFTransport[Index],CONCATENATE($A6,"_LPG_LPG"))</f>
        <v>5.8968566646301374E-4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0.17860014933042181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5.8816305680525434E-2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1.2166397233145075E-2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3.1581051094317607E-6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0.10143909647782402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2.0238029339245309E-6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5.9266452385496136E-3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4.0828116229266157E-5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8.8322855536626825E-5</v>
      </c>
      <c r="E8" s="415">
        <f>vkm_NGW_PW*SUMIFS(TableVerdeelsleutelVkm[LPG],TableVerdeelsleutelVkm[Voertuigtype],"Lichte voertuigen")*SUMIFS(TableECFTransport[EnergieConsumptieFactor (PJ per km)],TableECFTransport[Index],CONCATENATE($A8,"_LPG_LPG"))</f>
        <v>1.465707688651276E-4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4.1458906505122663E-2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1.4960104724593548E-2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2.8626952832351235E-3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1.5398728887082009E-7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6.3461850445229858E-3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1.1910855609397894E-7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3.7077977104309418E-4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68.030250462039206</v>
      </c>
      <c r="C14" s="21"/>
      <c r="D14" s="21">
        <f t="shared" ref="D14:M14" si="0">((D5)*10^9/3600)+D12</f>
        <v>118.76499753717191</v>
      </c>
      <c r="E14" s="21">
        <f t="shared" si="0"/>
        <v>204.51567648003928</v>
      </c>
      <c r="F14" s="21"/>
      <c r="G14" s="21">
        <f t="shared" si="0"/>
        <v>91067.871488303208</v>
      </c>
      <c r="H14" s="21">
        <f t="shared" si="0"/>
        <v>20494.042587946944</v>
      </c>
      <c r="I14" s="21"/>
      <c r="J14" s="21"/>
      <c r="K14" s="21"/>
      <c r="L14" s="21"/>
      <c r="M14" s="21">
        <f t="shared" si="0"/>
        <v>5924.0326461035847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0.15532119058538327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10.566539497585749</v>
      </c>
      <c r="C18" s="23"/>
      <c r="D18" s="23">
        <f t="shared" ref="D18:M18" si="1">D14*D16</f>
        <v>23.990529502508728</v>
      </c>
      <c r="E18" s="23">
        <f t="shared" si="1"/>
        <v>46.425058560968914</v>
      </c>
      <c r="F18" s="23"/>
      <c r="G18" s="23">
        <f t="shared" si="1"/>
        <v>24315.121687376959</v>
      </c>
      <c r="H18" s="23">
        <f t="shared" si="1"/>
        <v>5103.0166043987892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8.1695482026274333E-5</v>
      </c>
      <c r="C50" s="311">
        <f t="shared" ref="C50:P50" si="2">SUM(C51:C52)</f>
        <v>0</v>
      </c>
      <c r="D50" s="311">
        <f t="shared" si="2"/>
        <v>0</v>
      </c>
      <c r="E50" s="311">
        <f t="shared" si="2"/>
        <v>0</v>
      </c>
      <c r="F50" s="311">
        <f t="shared" si="2"/>
        <v>0</v>
      </c>
      <c r="G50" s="311">
        <f t="shared" si="2"/>
        <v>7.6744797773860771E-3</v>
      </c>
      <c r="H50" s="311">
        <f t="shared" si="2"/>
        <v>0</v>
      </c>
      <c r="I50" s="311">
        <f t="shared" si="2"/>
        <v>0</v>
      </c>
      <c r="J50" s="311">
        <f t="shared" si="2"/>
        <v>0</v>
      </c>
      <c r="K50" s="311">
        <f t="shared" si="2"/>
        <v>0</v>
      </c>
      <c r="L50" s="311">
        <f t="shared" si="2"/>
        <v>0</v>
      </c>
      <c r="M50" s="311">
        <f t="shared" si="2"/>
        <v>4.4195024787275724E-4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8.1695482026274333E-5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7.6744797773860771E-3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4.4195024787275724E-4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22.693189451742871</v>
      </c>
      <c r="C54" s="21">
        <f t="shared" ref="C54:P54" si="3">(C50)*10^9/3600</f>
        <v>0</v>
      </c>
      <c r="D54" s="21">
        <f t="shared" si="3"/>
        <v>0</v>
      </c>
      <c r="E54" s="21">
        <f t="shared" si="3"/>
        <v>0</v>
      </c>
      <c r="F54" s="21">
        <f t="shared" si="3"/>
        <v>0</v>
      </c>
      <c r="G54" s="21">
        <f t="shared" si="3"/>
        <v>2131.7999381627992</v>
      </c>
      <c r="H54" s="21">
        <f t="shared" si="3"/>
        <v>0</v>
      </c>
      <c r="I54" s="21">
        <f t="shared" si="3"/>
        <v>0</v>
      </c>
      <c r="J54" s="21">
        <f t="shared" si="3"/>
        <v>0</v>
      </c>
      <c r="K54" s="21">
        <f t="shared" si="3"/>
        <v>0</v>
      </c>
      <c r="L54" s="21">
        <f t="shared" si="3"/>
        <v>0</v>
      </c>
      <c r="M54" s="21">
        <f t="shared" si="3"/>
        <v>122.76395774243257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0.15532119058538327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3.5247332038243635</v>
      </c>
      <c r="C58" s="23">
        <f t="shared" ref="C58:P58" ca="1" si="4">C54*C56</f>
        <v>0</v>
      </c>
      <c r="D58" s="23">
        <f t="shared" si="4"/>
        <v>0</v>
      </c>
      <c r="E58" s="23">
        <f t="shared" si="4"/>
        <v>0</v>
      </c>
      <c r="F58" s="23">
        <f t="shared" si="4"/>
        <v>0</v>
      </c>
      <c r="G58" s="23">
        <f t="shared" si="4"/>
        <v>569.19058348946737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10334.688751527792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18340.927294343845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28675.616045871637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17402.902953000001</v>
      </c>
      <c r="D10" s="931">
        <f ca="1">tertiair!C16</f>
        <v>0</v>
      </c>
      <c r="E10" s="931">
        <f ca="1">tertiair!D16</f>
        <v>19789.089396999996</v>
      </c>
      <c r="F10" s="931">
        <f>tertiair!E16</f>
        <v>263.13630050494282</v>
      </c>
      <c r="G10" s="931">
        <f ca="1">tertiair!F16</f>
        <v>3648.5988338254933</v>
      </c>
      <c r="H10" s="931">
        <f>tertiair!G16</f>
        <v>0</v>
      </c>
      <c r="I10" s="931">
        <f>tertiair!H16</f>
        <v>0</v>
      </c>
      <c r="J10" s="931">
        <f>tertiair!I16</f>
        <v>0</v>
      </c>
      <c r="K10" s="931">
        <f>tertiair!J16</f>
        <v>4.0749643680507229E-2</v>
      </c>
      <c r="L10" s="931">
        <f>tertiair!K16</f>
        <v>0</v>
      </c>
      <c r="M10" s="931">
        <f ca="1">tertiair!L16</f>
        <v>0</v>
      </c>
      <c r="N10" s="931">
        <f>tertiair!M16</f>
        <v>0</v>
      </c>
      <c r="O10" s="931">
        <f ca="1">tertiair!N16</f>
        <v>1615.6735824663524</v>
      </c>
      <c r="P10" s="931">
        <f>tertiair!O16</f>
        <v>4.6900000000000004</v>
      </c>
      <c r="Q10" s="932">
        <f>tertiair!P16</f>
        <v>114.4</v>
      </c>
      <c r="R10" s="628">
        <f ca="1">SUM(C10:Q10)</f>
        <v>42838.531816440474</v>
      </c>
      <c r="S10" s="67"/>
    </row>
    <row r="11" spans="1:19" s="437" customFormat="1">
      <c r="A11" s="736" t="s">
        <v>213</v>
      </c>
      <c r="B11" s="741"/>
      <c r="C11" s="931">
        <f>huishoudens!B8</f>
        <v>33340.717888980696</v>
      </c>
      <c r="D11" s="931">
        <f>huishoudens!C8</f>
        <v>0</v>
      </c>
      <c r="E11" s="931">
        <f>huishoudens!D8</f>
        <v>55966.121190099999</v>
      </c>
      <c r="F11" s="931">
        <f>huishoudens!E8</f>
        <v>2522.5975457483273</v>
      </c>
      <c r="G11" s="931">
        <f>huishoudens!F8</f>
        <v>58471.848488687698</v>
      </c>
      <c r="H11" s="931">
        <f>huishoudens!G8</f>
        <v>0</v>
      </c>
      <c r="I11" s="931">
        <f>huishoudens!H8</f>
        <v>0</v>
      </c>
      <c r="J11" s="931">
        <f>huishoudens!I8</f>
        <v>0</v>
      </c>
      <c r="K11" s="931">
        <f>huishoudens!J8</f>
        <v>300.49379576261822</v>
      </c>
      <c r="L11" s="931">
        <f>huishoudens!K8</f>
        <v>0</v>
      </c>
      <c r="M11" s="931">
        <f>huishoudens!L8</f>
        <v>0</v>
      </c>
      <c r="N11" s="931">
        <f>huishoudens!M8</f>
        <v>0</v>
      </c>
      <c r="O11" s="931">
        <f>huishoudens!N8</f>
        <v>12617.018902554124</v>
      </c>
      <c r="P11" s="931">
        <f>huishoudens!O8</f>
        <v>397.08666666666664</v>
      </c>
      <c r="Q11" s="932">
        <f>huishoudens!P8</f>
        <v>915.2</v>
      </c>
      <c r="R11" s="628">
        <f>SUM(C11:Q11)</f>
        <v>164531.08447850015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43893.408817999996</v>
      </c>
      <c r="D13" s="931">
        <f>industrie!C18</f>
        <v>0</v>
      </c>
      <c r="E13" s="931">
        <f>industrie!D18</f>
        <v>76557.228100341992</v>
      </c>
      <c r="F13" s="931">
        <f>industrie!E18</f>
        <v>402.37160797688665</v>
      </c>
      <c r="G13" s="931">
        <f>industrie!F18</f>
        <v>12691.710067786755</v>
      </c>
      <c r="H13" s="931">
        <f>industrie!G18</f>
        <v>0</v>
      </c>
      <c r="I13" s="931">
        <f>industrie!H18</f>
        <v>0</v>
      </c>
      <c r="J13" s="931">
        <f>industrie!I18</f>
        <v>0</v>
      </c>
      <c r="K13" s="931">
        <f>industrie!J18</f>
        <v>8.9643666154516346</v>
      </c>
      <c r="L13" s="931">
        <f>industrie!K18</f>
        <v>0</v>
      </c>
      <c r="M13" s="931">
        <f>industrie!L18</f>
        <v>0</v>
      </c>
      <c r="N13" s="931">
        <f>industrie!M18</f>
        <v>0</v>
      </c>
      <c r="O13" s="931">
        <f>industrie!N18</f>
        <v>2055.4413697129112</v>
      </c>
      <c r="P13" s="931">
        <f>industrie!O18</f>
        <v>0</v>
      </c>
      <c r="Q13" s="932">
        <f>industrie!P18</f>
        <v>0</v>
      </c>
      <c r="R13" s="628">
        <f>SUM(C13:Q13)</f>
        <v>135609.12433043399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94637.02965998069</v>
      </c>
      <c r="D16" s="660">
        <f t="shared" ref="D16:R16" ca="1" si="0">SUM(D9:D15)</f>
        <v>0</v>
      </c>
      <c r="E16" s="660">
        <f t="shared" ca="1" si="0"/>
        <v>152312.43868744199</v>
      </c>
      <c r="F16" s="660">
        <f t="shared" si="0"/>
        <v>3188.1054542301567</v>
      </c>
      <c r="G16" s="660">
        <f t="shared" ca="1" si="0"/>
        <v>74812.157390299937</v>
      </c>
      <c r="H16" s="660">
        <f t="shared" si="0"/>
        <v>0</v>
      </c>
      <c r="I16" s="660">
        <f t="shared" si="0"/>
        <v>0</v>
      </c>
      <c r="J16" s="660">
        <f t="shared" si="0"/>
        <v>0</v>
      </c>
      <c r="K16" s="660">
        <f t="shared" si="0"/>
        <v>309.49891202175036</v>
      </c>
      <c r="L16" s="660">
        <f t="shared" si="0"/>
        <v>0</v>
      </c>
      <c r="M16" s="660">
        <f t="shared" ca="1" si="0"/>
        <v>0</v>
      </c>
      <c r="N16" s="660">
        <f t="shared" si="0"/>
        <v>0</v>
      </c>
      <c r="O16" s="660">
        <f t="shared" ca="1" si="0"/>
        <v>16288.133854733387</v>
      </c>
      <c r="P16" s="660">
        <f t="shared" si="0"/>
        <v>401.77666666666664</v>
      </c>
      <c r="Q16" s="660">
        <f t="shared" si="0"/>
        <v>1029.6000000000001</v>
      </c>
      <c r="R16" s="660">
        <f t="shared" ca="1" si="0"/>
        <v>342978.7406253746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22.693189451742871</v>
      </c>
      <c r="D19" s="931">
        <f>transport!C54</f>
        <v>0</v>
      </c>
      <c r="E19" s="931">
        <f>transport!D54</f>
        <v>0</v>
      </c>
      <c r="F19" s="931">
        <f>transport!E54</f>
        <v>0</v>
      </c>
      <c r="G19" s="931">
        <f>transport!F54</f>
        <v>0</v>
      </c>
      <c r="H19" s="931">
        <f>transport!G54</f>
        <v>2131.7999381627992</v>
      </c>
      <c r="I19" s="931">
        <f>transport!H54</f>
        <v>0</v>
      </c>
      <c r="J19" s="931">
        <f>transport!I54</f>
        <v>0</v>
      </c>
      <c r="K19" s="931">
        <f>transport!J54</f>
        <v>0</v>
      </c>
      <c r="L19" s="931">
        <f>transport!K54</f>
        <v>0</v>
      </c>
      <c r="M19" s="931">
        <f>transport!L54</f>
        <v>0</v>
      </c>
      <c r="N19" s="931">
        <f>transport!M54</f>
        <v>122.76395774243257</v>
      </c>
      <c r="O19" s="931">
        <f>transport!N54</f>
        <v>0</v>
      </c>
      <c r="P19" s="931">
        <f>transport!O54</f>
        <v>0</v>
      </c>
      <c r="Q19" s="932">
        <f>transport!P54</f>
        <v>0</v>
      </c>
      <c r="R19" s="628">
        <f>SUM(C19:Q19)</f>
        <v>2277.2570853569746</v>
      </c>
      <c r="S19" s="67"/>
    </row>
    <row r="20" spans="1:19" s="437" customFormat="1">
      <c r="A20" s="736" t="s">
        <v>295</v>
      </c>
      <c r="B20" s="741"/>
      <c r="C20" s="931">
        <f>transport!B14</f>
        <v>68.030250462039206</v>
      </c>
      <c r="D20" s="931">
        <f>transport!C14</f>
        <v>0</v>
      </c>
      <c r="E20" s="931">
        <f>transport!D14</f>
        <v>118.76499753717191</v>
      </c>
      <c r="F20" s="931">
        <f>transport!E14</f>
        <v>204.51567648003928</v>
      </c>
      <c r="G20" s="931">
        <f>transport!F14</f>
        <v>0</v>
      </c>
      <c r="H20" s="931">
        <f>transport!G14</f>
        <v>91067.871488303208</v>
      </c>
      <c r="I20" s="931">
        <f>transport!H14</f>
        <v>20494.042587946944</v>
      </c>
      <c r="J20" s="931">
        <f>transport!I14</f>
        <v>0</v>
      </c>
      <c r="K20" s="931">
        <f>transport!J14</f>
        <v>0</v>
      </c>
      <c r="L20" s="931">
        <f>transport!K14</f>
        <v>0</v>
      </c>
      <c r="M20" s="931">
        <f>transport!L14</f>
        <v>0</v>
      </c>
      <c r="N20" s="931">
        <f>transport!M14</f>
        <v>5924.0326461035847</v>
      </c>
      <c r="O20" s="931">
        <f>transport!N14</f>
        <v>0</v>
      </c>
      <c r="P20" s="931">
        <f>transport!O14</f>
        <v>0</v>
      </c>
      <c r="Q20" s="932">
        <f>transport!P14</f>
        <v>0</v>
      </c>
      <c r="R20" s="628">
        <f>SUM(C20:Q20)</f>
        <v>117877.25764683298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90.723439913782073</v>
      </c>
      <c r="D22" s="739">
        <f t="shared" ref="D22:R22" si="1">SUM(D18:D21)</f>
        <v>0</v>
      </c>
      <c r="E22" s="739">
        <f t="shared" si="1"/>
        <v>118.76499753717191</v>
      </c>
      <c r="F22" s="739">
        <f t="shared" si="1"/>
        <v>204.51567648003928</v>
      </c>
      <c r="G22" s="739">
        <f t="shared" si="1"/>
        <v>0</v>
      </c>
      <c r="H22" s="739">
        <f t="shared" si="1"/>
        <v>93199.671426466011</v>
      </c>
      <c r="I22" s="739">
        <f t="shared" si="1"/>
        <v>20494.042587946944</v>
      </c>
      <c r="J22" s="739">
        <f t="shared" si="1"/>
        <v>0</v>
      </c>
      <c r="K22" s="739">
        <f t="shared" si="1"/>
        <v>0</v>
      </c>
      <c r="L22" s="739">
        <f t="shared" si="1"/>
        <v>0</v>
      </c>
      <c r="M22" s="739">
        <f t="shared" si="1"/>
        <v>0</v>
      </c>
      <c r="N22" s="739">
        <f t="shared" si="1"/>
        <v>6046.7966038460172</v>
      </c>
      <c r="O22" s="739">
        <f t="shared" si="1"/>
        <v>0</v>
      </c>
      <c r="P22" s="739">
        <f t="shared" si="1"/>
        <v>0</v>
      </c>
      <c r="Q22" s="739">
        <f t="shared" si="1"/>
        <v>0</v>
      </c>
      <c r="R22" s="739">
        <f t="shared" si="1"/>
        <v>120154.51473218996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1074.7992490000001</v>
      </c>
      <c r="D24" s="931">
        <f>+landbouw!C8</f>
        <v>0</v>
      </c>
      <c r="E24" s="931">
        <f>+landbouw!D8</f>
        <v>140.401712</v>
      </c>
      <c r="F24" s="931">
        <f>+landbouw!E8</f>
        <v>34.880768779392945</v>
      </c>
      <c r="G24" s="931">
        <f>+landbouw!F8</f>
        <v>3965.1429910710758</v>
      </c>
      <c r="H24" s="931">
        <f>+landbouw!G8</f>
        <v>0</v>
      </c>
      <c r="I24" s="931">
        <f>+landbouw!H8</f>
        <v>0</v>
      </c>
      <c r="J24" s="931">
        <f>+landbouw!I8</f>
        <v>0</v>
      </c>
      <c r="K24" s="931">
        <f>+landbouw!J8</f>
        <v>282.66109048753236</v>
      </c>
      <c r="L24" s="931">
        <f>+landbouw!K8</f>
        <v>0</v>
      </c>
      <c r="M24" s="931">
        <f>+landbouw!L8</f>
        <v>0</v>
      </c>
      <c r="N24" s="931">
        <f>+landbouw!M8</f>
        <v>0</v>
      </c>
      <c r="O24" s="931">
        <f>+landbouw!N8</f>
        <v>0</v>
      </c>
      <c r="P24" s="931">
        <f>+landbouw!O8</f>
        <v>0</v>
      </c>
      <c r="Q24" s="932">
        <f>+landbouw!P8</f>
        <v>0</v>
      </c>
      <c r="R24" s="628">
        <f>SUM(C24:Q24)</f>
        <v>5497.8858113380011</v>
      </c>
      <c r="S24" s="67"/>
    </row>
    <row r="25" spans="1:19" s="437" customFormat="1" ht="15" thickBot="1">
      <c r="A25" s="758" t="s">
        <v>775</v>
      </c>
      <c r="B25" s="934"/>
      <c r="C25" s="935">
        <f>IF(Onbekend_ele_kWh="---",0,Onbekend_ele_kWh)/1000+IF(REST_rest_ele_kWh="---",0,REST_rest_ele_kWh)/1000</f>
        <v>686.88165000000004</v>
      </c>
      <c r="D25" s="935"/>
      <c r="E25" s="935">
        <f>IF(onbekend_gas_kWh="---",0,onbekend_gas_kWh)/1000+IF(REST_rest_gas_kWh="---",0,REST_rest_gas_kWh)/1000</f>
        <v>2868.9160499999998</v>
      </c>
      <c r="F25" s="935"/>
      <c r="G25" s="935"/>
      <c r="H25" s="935"/>
      <c r="I25" s="935"/>
      <c r="J25" s="935"/>
      <c r="K25" s="935"/>
      <c r="L25" s="935"/>
      <c r="M25" s="935"/>
      <c r="N25" s="935"/>
      <c r="O25" s="935"/>
      <c r="P25" s="935"/>
      <c r="Q25" s="936"/>
      <c r="R25" s="628">
        <f>SUM(C25:Q25)</f>
        <v>3555.7977000000001</v>
      </c>
      <c r="S25" s="67"/>
    </row>
    <row r="26" spans="1:19" s="437" customFormat="1" ht="15.75" thickBot="1">
      <c r="A26" s="633" t="s">
        <v>776</v>
      </c>
      <c r="B26" s="744"/>
      <c r="C26" s="739">
        <f>SUM(C24:C25)</f>
        <v>1761.6808990000002</v>
      </c>
      <c r="D26" s="739">
        <f t="shared" ref="D26:R26" si="2">SUM(D24:D25)</f>
        <v>0</v>
      </c>
      <c r="E26" s="739">
        <f t="shared" si="2"/>
        <v>3009.3177619999997</v>
      </c>
      <c r="F26" s="739">
        <f t="shared" si="2"/>
        <v>34.880768779392945</v>
      </c>
      <c r="G26" s="739">
        <f t="shared" si="2"/>
        <v>3965.1429910710758</v>
      </c>
      <c r="H26" s="739">
        <f t="shared" si="2"/>
        <v>0</v>
      </c>
      <c r="I26" s="739">
        <f t="shared" si="2"/>
        <v>0</v>
      </c>
      <c r="J26" s="739">
        <f t="shared" si="2"/>
        <v>0</v>
      </c>
      <c r="K26" s="739">
        <f t="shared" si="2"/>
        <v>282.66109048753236</v>
      </c>
      <c r="L26" s="739">
        <f t="shared" si="2"/>
        <v>0</v>
      </c>
      <c r="M26" s="739">
        <f t="shared" si="2"/>
        <v>0</v>
      </c>
      <c r="N26" s="739">
        <f t="shared" si="2"/>
        <v>0</v>
      </c>
      <c r="O26" s="739">
        <f t="shared" si="2"/>
        <v>0</v>
      </c>
      <c r="P26" s="739">
        <f t="shared" si="2"/>
        <v>0</v>
      </c>
      <c r="Q26" s="739">
        <f t="shared" si="2"/>
        <v>0</v>
      </c>
      <c r="R26" s="739">
        <f t="shared" si="2"/>
        <v>9053.6835113380002</v>
      </c>
      <c r="S26" s="67"/>
    </row>
    <row r="27" spans="1:19" s="437" customFormat="1" ht="17.25" thickTop="1" thickBot="1">
      <c r="A27" s="634" t="s">
        <v>109</v>
      </c>
      <c r="B27" s="732"/>
      <c r="C27" s="635">
        <f ca="1">C22+C16+C26</f>
        <v>96489.43399889447</v>
      </c>
      <c r="D27" s="635">
        <f t="shared" ref="D27:R27" ca="1" si="3">D22+D16+D26</f>
        <v>0</v>
      </c>
      <c r="E27" s="635">
        <f t="shared" ca="1" si="3"/>
        <v>155440.52144697914</v>
      </c>
      <c r="F27" s="635">
        <f t="shared" si="3"/>
        <v>3427.5018994895891</v>
      </c>
      <c r="G27" s="635">
        <f t="shared" ca="1" si="3"/>
        <v>78777.300381371009</v>
      </c>
      <c r="H27" s="635">
        <f t="shared" si="3"/>
        <v>93199.671426466011</v>
      </c>
      <c r="I27" s="635">
        <f t="shared" si="3"/>
        <v>20494.042587946944</v>
      </c>
      <c r="J27" s="635">
        <f t="shared" si="3"/>
        <v>0</v>
      </c>
      <c r="K27" s="635">
        <f t="shared" si="3"/>
        <v>592.16000250928278</v>
      </c>
      <c r="L27" s="635">
        <f t="shared" si="3"/>
        <v>0</v>
      </c>
      <c r="M27" s="635">
        <f t="shared" ca="1" si="3"/>
        <v>0</v>
      </c>
      <c r="N27" s="635">
        <f t="shared" si="3"/>
        <v>6046.7966038460172</v>
      </c>
      <c r="O27" s="635">
        <f t="shared" ca="1" si="3"/>
        <v>16288.133854733387</v>
      </c>
      <c r="P27" s="635">
        <f t="shared" si="3"/>
        <v>401.77666666666664</v>
      </c>
      <c r="Q27" s="635">
        <f t="shared" si="3"/>
        <v>1029.6000000000001</v>
      </c>
      <c r="R27" s="635">
        <f t="shared" ca="1" si="3"/>
        <v>472186.93886890257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2703.0396063018425</v>
      </c>
      <c r="D40" s="931">
        <f ca="1">tertiair!C20</f>
        <v>0</v>
      </c>
      <c r="E40" s="931">
        <f ca="1">tertiair!D20</f>
        <v>3997.3960581939996</v>
      </c>
      <c r="F40" s="931">
        <f>tertiair!E20</f>
        <v>59.731940214622021</v>
      </c>
      <c r="G40" s="931">
        <f ca="1">tertiair!F20</f>
        <v>974.17588863140679</v>
      </c>
      <c r="H40" s="931">
        <f>tertiair!G20</f>
        <v>0</v>
      </c>
      <c r="I40" s="931">
        <f>tertiair!H20</f>
        <v>0</v>
      </c>
      <c r="J40" s="931">
        <f>tertiair!I20</f>
        <v>0</v>
      </c>
      <c r="K40" s="931">
        <f>tertiair!J20</f>
        <v>1.4425373862899559E-2</v>
      </c>
      <c r="L40" s="931">
        <f>tertiair!K20</f>
        <v>0</v>
      </c>
      <c r="M40" s="931">
        <f ca="1">tertiair!L20</f>
        <v>0</v>
      </c>
      <c r="N40" s="931">
        <f>tertiair!M20</f>
        <v>0</v>
      </c>
      <c r="O40" s="931">
        <f ca="1">tertiair!N20</f>
        <v>0</v>
      </c>
      <c r="P40" s="931">
        <f>tertiair!O20</f>
        <v>0</v>
      </c>
      <c r="Q40" s="702">
        <f>tertiair!P20</f>
        <v>0</v>
      </c>
      <c r="R40" s="777">
        <f t="shared" ca="1" si="4"/>
        <v>7734.3579187157338</v>
      </c>
    </row>
    <row r="41" spans="1:18">
      <c r="A41" s="749" t="s">
        <v>213</v>
      </c>
      <c r="B41" s="756"/>
      <c r="C41" s="931">
        <f ca="1">huishoudens!B12</f>
        <v>5178.5199974878678</v>
      </c>
      <c r="D41" s="931">
        <f ca="1">huishoudens!C12</f>
        <v>0</v>
      </c>
      <c r="E41" s="931">
        <f>huishoudens!D12</f>
        <v>11305.156480400201</v>
      </c>
      <c r="F41" s="931">
        <f>huishoudens!E12</f>
        <v>572.62964288487035</v>
      </c>
      <c r="G41" s="931">
        <f>huishoudens!F12</f>
        <v>15611.983546479616</v>
      </c>
      <c r="H41" s="931">
        <f>huishoudens!G12</f>
        <v>0</v>
      </c>
      <c r="I41" s="931">
        <f>huishoudens!H12</f>
        <v>0</v>
      </c>
      <c r="J41" s="931">
        <f>huishoudens!I12</f>
        <v>0</v>
      </c>
      <c r="K41" s="931">
        <f>huishoudens!J12</f>
        <v>106.37480369996685</v>
      </c>
      <c r="L41" s="931">
        <f>huishoudens!K12</f>
        <v>0</v>
      </c>
      <c r="M41" s="931">
        <f>huishoudens!L12</f>
        <v>0</v>
      </c>
      <c r="N41" s="931">
        <f>huishoudens!M12</f>
        <v>0</v>
      </c>
      <c r="O41" s="931">
        <f>huishoudens!N12</f>
        <v>0</v>
      </c>
      <c r="P41" s="931">
        <f>huishoudens!O12</f>
        <v>0</v>
      </c>
      <c r="Q41" s="702">
        <f>huishoudens!P12</f>
        <v>0</v>
      </c>
      <c r="R41" s="777">
        <f t="shared" ca="1" si="4"/>
        <v>32774.664470952521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6817.5765164627201</v>
      </c>
      <c r="D43" s="931">
        <f ca="1">industrie!C22</f>
        <v>0</v>
      </c>
      <c r="E43" s="931">
        <f>industrie!D22</f>
        <v>15464.560076269083</v>
      </c>
      <c r="F43" s="931">
        <f>industrie!E22</f>
        <v>91.338355010753276</v>
      </c>
      <c r="G43" s="931">
        <f>industrie!F22</f>
        <v>3388.6865880990636</v>
      </c>
      <c r="H43" s="931">
        <f>industrie!G22</f>
        <v>0</v>
      </c>
      <c r="I43" s="931">
        <f>industrie!H22</f>
        <v>0</v>
      </c>
      <c r="J43" s="931">
        <f>industrie!I22</f>
        <v>0</v>
      </c>
      <c r="K43" s="931">
        <f>industrie!J22</f>
        <v>3.1733857818698783</v>
      </c>
      <c r="L43" s="931">
        <f>industrie!K22</f>
        <v>0</v>
      </c>
      <c r="M43" s="931">
        <f>industrie!L22</f>
        <v>0</v>
      </c>
      <c r="N43" s="931">
        <f>industrie!M22</f>
        <v>0</v>
      </c>
      <c r="O43" s="931">
        <f>industrie!N22</f>
        <v>0</v>
      </c>
      <c r="P43" s="931">
        <f>industrie!O22</f>
        <v>0</v>
      </c>
      <c r="Q43" s="702">
        <f>industrie!P22</f>
        <v>0</v>
      </c>
      <c r="R43" s="776">
        <f t="shared" ca="1" si="4"/>
        <v>25765.334921623489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14699.136120252431</v>
      </c>
      <c r="D46" s="660">
        <f t="shared" ref="D46:Q46" ca="1" si="5">SUM(D39:D45)</f>
        <v>0</v>
      </c>
      <c r="E46" s="660">
        <f t="shared" ca="1" si="5"/>
        <v>30767.112614863283</v>
      </c>
      <c r="F46" s="660">
        <f t="shared" si="5"/>
        <v>723.69993811024563</v>
      </c>
      <c r="G46" s="660">
        <f t="shared" ca="1" si="5"/>
        <v>19974.846023210084</v>
      </c>
      <c r="H46" s="660">
        <f t="shared" si="5"/>
        <v>0</v>
      </c>
      <c r="I46" s="660">
        <f t="shared" si="5"/>
        <v>0</v>
      </c>
      <c r="J46" s="660">
        <f t="shared" si="5"/>
        <v>0</v>
      </c>
      <c r="K46" s="660">
        <f t="shared" si="5"/>
        <v>109.56261485569964</v>
      </c>
      <c r="L46" s="660">
        <f t="shared" si="5"/>
        <v>0</v>
      </c>
      <c r="M46" s="660">
        <f t="shared" ca="1" si="5"/>
        <v>0</v>
      </c>
      <c r="N46" s="660">
        <f t="shared" si="5"/>
        <v>0</v>
      </c>
      <c r="O46" s="660">
        <f t="shared" ca="1" si="5"/>
        <v>0</v>
      </c>
      <c r="P46" s="660">
        <f t="shared" si="5"/>
        <v>0</v>
      </c>
      <c r="Q46" s="660">
        <f t="shared" si="5"/>
        <v>0</v>
      </c>
      <c r="R46" s="660">
        <f ca="1">SUM(R39:R45)</f>
        <v>66274.357311291751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3.5247332038243635</v>
      </c>
      <c r="D49" s="931">
        <f ca="1">transport!C58</f>
        <v>0</v>
      </c>
      <c r="E49" s="931">
        <f>transport!D58</f>
        <v>0</v>
      </c>
      <c r="F49" s="931">
        <f>transport!E58</f>
        <v>0</v>
      </c>
      <c r="G49" s="931">
        <f>transport!F58</f>
        <v>0</v>
      </c>
      <c r="H49" s="931">
        <f>transport!G58</f>
        <v>569.19058348946737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572.7153166932917</v>
      </c>
    </row>
    <row r="50" spans="1:18">
      <c r="A50" s="752" t="s">
        <v>295</v>
      </c>
      <c r="B50" s="762"/>
      <c r="C50" s="631">
        <f ca="1">transport!B18</f>
        <v>10.566539497585749</v>
      </c>
      <c r="D50" s="631">
        <f>transport!C18</f>
        <v>0</v>
      </c>
      <c r="E50" s="631">
        <f>transport!D18</f>
        <v>23.990529502508728</v>
      </c>
      <c r="F50" s="631">
        <f>transport!E18</f>
        <v>46.425058560968914</v>
      </c>
      <c r="G50" s="631">
        <f>transport!F18</f>
        <v>0</v>
      </c>
      <c r="H50" s="631">
        <f>transport!G18</f>
        <v>24315.121687376959</v>
      </c>
      <c r="I50" s="631">
        <f>transport!H18</f>
        <v>5103.0166043987892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29499.12041933681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14.091272701410112</v>
      </c>
      <c r="D52" s="660">
        <f t="shared" ref="D52:Q52" ca="1" si="6">SUM(D48:D51)</f>
        <v>0</v>
      </c>
      <c r="E52" s="660">
        <f t="shared" si="6"/>
        <v>23.990529502508728</v>
      </c>
      <c r="F52" s="660">
        <f t="shared" si="6"/>
        <v>46.425058560968914</v>
      </c>
      <c r="G52" s="660">
        <f t="shared" si="6"/>
        <v>0</v>
      </c>
      <c r="H52" s="660">
        <f t="shared" si="6"/>
        <v>24884.312270866427</v>
      </c>
      <c r="I52" s="660">
        <f t="shared" si="6"/>
        <v>5103.0166043987892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30071.835736030102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166.93909899495583</v>
      </c>
      <c r="D54" s="631">
        <f ca="1">+landbouw!C12</f>
        <v>0</v>
      </c>
      <c r="E54" s="631">
        <f>+landbouw!D12</f>
        <v>28.361145824000001</v>
      </c>
      <c r="F54" s="631">
        <f>+landbouw!E12</f>
        <v>7.9179345129221987</v>
      </c>
      <c r="G54" s="631">
        <f>+landbouw!F12</f>
        <v>1058.6931786159773</v>
      </c>
      <c r="H54" s="631">
        <f>+landbouw!G12</f>
        <v>0</v>
      </c>
      <c r="I54" s="631">
        <f>+landbouw!H12</f>
        <v>0</v>
      </c>
      <c r="J54" s="631">
        <f>+landbouw!I12</f>
        <v>0</v>
      </c>
      <c r="K54" s="631">
        <f>+landbouw!J12</f>
        <v>100.06202603258645</v>
      </c>
      <c r="L54" s="631">
        <f>+landbouw!K12</f>
        <v>0</v>
      </c>
      <c r="M54" s="631">
        <f>+landbouw!L12</f>
        <v>0</v>
      </c>
      <c r="N54" s="631">
        <f>+landbouw!M12</f>
        <v>0</v>
      </c>
      <c r="O54" s="631">
        <f>+landbouw!N12</f>
        <v>0</v>
      </c>
      <c r="P54" s="631">
        <f>+landbouw!O12</f>
        <v>0</v>
      </c>
      <c r="Q54" s="632">
        <f>+landbouw!P12</f>
        <v>0</v>
      </c>
      <c r="R54" s="659">
        <f ca="1">SUM(C54:Q54)</f>
        <v>1361.9733839804417</v>
      </c>
    </row>
    <row r="55" spans="1:18" ht="15" thickBot="1">
      <c r="A55" s="752" t="s">
        <v>775</v>
      </c>
      <c r="B55" s="762"/>
      <c r="C55" s="631">
        <f ca="1">C25*'EF ele_warmte'!B12</f>
        <v>106.68727566925253</v>
      </c>
      <c r="D55" s="631"/>
      <c r="E55" s="631">
        <f>E25*EF_CO2_aardgas</f>
        <v>579.52104210000005</v>
      </c>
      <c r="F55" s="631"/>
      <c r="G55" s="631"/>
      <c r="H55" s="631"/>
      <c r="I55" s="631"/>
      <c r="J55" s="631"/>
      <c r="K55" s="631"/>
      <c r="L55" s="631"/>
      <c r="M55" s="631"/>
      <c r="N55" s="631"/>
      <c r="O55" s="631"/>
      <c r="P55" s="631"/>
      <c r="Q55" s="632"/>
      <c r="R55" s="659">
        <f ca="1">SUM(C55:Q55)</f>
        <v>686.20831776925252</v>
      </c>
    </row>
    <row r="56" spans="1:18" ht="15.75" thickBot="1">
      <c r="A56" s="750" t="s">
        <v>776</v>
      </c>
      <c r="B56" s="763"/>
      <c r="C56" s="660">
        <f ca="1">SUM(C54:C55)</f>
        <v>273.62637466420836</v>
      </c>
      <c r="D56" s="660">
        <f t="shared" ref="D56:Q56" ca="1" si="7">SUM(D54:D55)</f>
        <v>0</v>
      </c>
      <c r="E56" s="660">
        <f t="shared" si="7"/>
        <v>607.88218792400005</v>
      </c>
      <c r="F56" s="660">
        <f t="shared" si="7"/>
        <v>7.9179345129221987</v>
      </c>
      <c r="G56" s="660">
        <f t="shared" si="7"/>
        <v>1058.6931786159773</v>
      </c>
      <c r="H56" s="660">
        <f t="shared" si="7"/>
        <v>0</v>
      </c>
      <c r="I56" s="660">
        <f t="shared" si="7"/>
        <v>0</v>
      </c>
      <c r="J56" s="660">
        <f t="shared" si="7"/>
        <v>0</v>
      </c>
      <c r="K56" s="660">
        <f t="shared" si="7"/>
        <v>100.06202603258645</v>
      </c>
      <c r="L56" s="660">
        <f t="shared" si="7"/>
        <v>0</v>
      </c>
      <c r="M56" s="660">
        <f t="shared" si="7"/>
        <v>0</v>
      </c>
      <c r="N56" s="660">
        <f t="shared" si="7"/>
        <v>0</v>
      </c>
      <c r="O56" s="660">
        <f t="shared" si="7"/>
        <v>0</v>
      </c>
      <c r="P56" s="660">
        <f t="shared" si="7"/>
        <v>0</v>
      </c>
      <c r="Q56" s="661">
        <f t="shared" si="7"/>
        <v>0</v>
      </c>
      <c r="R56" s="662">
        <f ca="1">SUM(R54:R55)</f>
        <v>2048.1817017496942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14986.853767618049</v>
      </c>
      <c r="D61" s="668">
        <f t="shared" ref="D61:Q61" ca="1" si="8">D46+D52+D56</f>
        <v>0</v>
      </c>
      <c r="E61" s="668">
        <f t="shared" ca="1" si="8"/>
        <v>31398.985332289791</v>
      </c>
      <c r="F61" s="668">
        <f t="shared" si="8"/>
        <v>778.04293118413671</v>
      </c>
      <c r="G61" s="668">
        <f t="shared" ca="1" si="8"/>
        <v>21033.539201826061</v>
      </c>
      <c r="H61" s="668">
        <f t="shared" si="8"/>
        <v>24884.312270866427</v>
      </c>
      <c r="I61" s="668">
        <f t="shared" si="8"/>
        <v>5103.0166043987892</v>
      </c>
      <c r="J61" s="668">
        <f t="shared" si="8"/>
        <v>0</v>
      </c>
      <c r="K61" s="668">
        <f t="shared" si="8"/>
        <v>209.62464088828608</v>
      </c>
      <c r="L61" s="668">
        <f t="shared" si="8"/>
        <v>0</v>
      </c>
      <c r="M61" s="668">
        <f t="shared" ca="1" si="8"/>
        <v>0</v>
      </c>
      <c r="N61" s="668">
        <f t="shared" si="8"/>
        <v>0</v>
      </c>
      <c r="O61" s="668">
        <f t="shared" ca="1" si="8"/>
        <v>0</v>
      </c>
      <c r="P61" s="668">
        <f t="shared" si="8"/>
        <v>0</v>
      </c>
      <c r="Q61" s="668">
        <f t="shared" si="8"/>
        <v>0</v>
      </c>
      <c r="R61" s="668">
        <f ca="1">R46+R52+R56</f>
        <v>98394.374749071547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0.1553211905853833</v>
      </c>
      <c r="D63" s="709">
        <f t="shared" ca="1" si="9"/>
        <v>0</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10334.688751527792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18340.927294343845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28675.616045871637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33340.717888980696</v>
      </c>
      <c r="C4" s="441">
        <f>huishoudens!C8</f>
        <v>0</v>
      </c>
      <c r="D4" s="441">
        <f>huishoudens!D8</f>
        <v>55966.121190099999</v>
      </c>
      <c r="E4" s="441">
        <f>huishoudens!E8</f>
        <v>2522.5975457483273</v>
      </c>
      <c r="F4" s="441">
        <f>huishoudens!F8</f>
        <v>58471.848488687698</v>
      </c>
      <c r="G4" s="441">
        <f>huishoudens!G8</f>
        <v>0</v>
      </c>
      <c r="H4" s="441">
        <f>huishoudens!H8</f>
        <v>0</v>
      </c>
      <c r="I4" s="441">
        <f>huishoudens!I8</f>
        <v>0</v>
      </c>
      <c r="J4" s="441">
        <f>huishoudens!J8</f>
        <v>300.49379576261822</v>
      </c>
      <c r="K4" s="441">
        <f>huishoudens!K8</f>
        <v>0</v>
      </c>
      <c r="L4" s="441">
        <f>huishoudens!L8</f>
        <v>0</v>
      </c>
      <c r="M4" s="441">
        <f>huishoudens!M8</f>
        <v>0</v>
      </c>
      <c r="N4" s="441">
        <f>huishoudens!N8</f>
        <v>12617.018902554124</v>
      </c>
      <c r="O4" s="441">
        <f>huishoudens!O8</f>
        <v>397.08666666666664</v>
      </c>
      <c r="P4" s="442">
        <f>huishoudens!P8</f>
        <v>915.2</v>
      </c>
      <c r="Q4" s="443">
        <f>SUM(B4:P4)</f>
        <v>164531.08447850015</v>
      </c>
    </row>
    <row r="5" spans="1:17">
      <c r="A5" s="440" t="s">
        <v>149</v>
      </c>
      <c r="B5" s="441">
        <f ca="1">tertiair!B16</f>
        <v>16283.674953000002</v>
      </c>
      <c r="C5" s="441">
        <f ca="1">tertiair!C16</f>
        <v>0</v>
      </c>
      <c r="D5" s="441">
        <f ca="1">tertiair!D16</f>
        <v>19789.089396999996</v>
      </c>
      <c r="E5" s="441">
        <f>tertiair!E16</f>
        <v>263.13630050494282</v>
      </c>
      <c r="F5" s="441">
        <f ca="1">tertiair!F16</f>
        <v>3648.5988338254933</v>
      </c>
      <c r="G5" s="441">
        <f>tertiair!G16</f>
        <v>0</v>
      </c>
      <c r="H5" s="441">
        <f>tertiair!H16</f>
        <v>0</v>
      </c>
      <c r="I5" s="441">
        <f>tertiair!I16</f>
        <v>0</v>
      </c>
      <c r="J5" s="441">
        <f>tertiair!J16</f>
        <v>4.0749643680507229E-2</v>
      </c>
      <c r="K5" s="441">
        <f>tertiair!K16</f>
        <v>0</v>
      </c>
      <c r="L5" s="441">
        <f ca="1">tertiair!L16</f>
        <v>0</v>
      </c>
      <c r="M5" s="441">
        <f>tertiair!M16</f>
        <v>0</v>
      </c>
      <c r="N5" s="441">
        <f ca="1">tertiair!N16</f>
        <v>1615.6735824663524</v>
      </c>
      <c r="O5" s="441">
        <f>tertiair!O16</f>
        <v>4.6900000000000004</v>
      </c>
      <c r="P5" s="442">
        <f>tertiair!P16</f>
        <v>114.4</v>
      </c>
      <c r="Q5" s="440">
        <f t="shared" ref="Q5:Q14" ca="1" si="0">SUM(B5:P5)</f>
        <v>41719.303816440472</v>
      </c>
    </row>
    <row r="6" spans="1:17">
      <c r="A6" s="440" t="s">
        <v>187</v>
      </c>
      <c r="B6" s="441">
        <f>'openbare verlichting'!B8</f>
        <v>1119.2280000000001</v>
      </c>
      <c r="C6" s="441"/>
      <c r="D6" s="441"/>
      <c r="E6" s="441"/>
      <c r="F6" s="441"/>
      <c r="G6" s="441"/>
      <c r="H6" s="441"/>
      <c r="I6" s="441"/>
      <c r="J6" s="441"/>
      <c r="K6" s="441"/>
      <c r="L6" s="441"/>
      <c r="M6" s="441"/>
      <c r="N6" s="441"/>
      <c r="O6" s="441"/>
      <c r="P6" s="442"/>
      <c r="Q6" s="440">
        <f t="shared" si="0"/>
        <v>1119.2280000000001</v>
      </c>
    </row>
    <row r="7" spans="1:17">
      <c r="A7" s="440" t="s">
        <v>105</v>
      </c>
      <c r="B7" s="441">
        <f>landbouw!B8</f>
        <v>1074.7992490000001</v>
      </c>
      <c r="C7" s="441">
        <f>landbouw!C8</f>
        <v>0</v>
      </c>
      <c r="D7" s="441">
        <f>landbouw!D8</f>
        <v>140.401712</v>
      </c>
      <c r="E7" s="441">
        <f>landbouw!E8</f>
        <v>34.880768779392945</v>
      </c>
      <c r="F7" s="441">
        <f>landbouw!F8</f>
        <v>3965.1429910710758</v>
      </c>
      <c r="G7" s="441">
        <f>landbouw!G8</f>
        <v>0</v>
      </c>
      <c r="H7" s="441">
        <f>landbouw!H8</f>
        <v>0</v>
      </c>
      <c r="I7" s="441">
        <f>landbouw!I8</f>
        <v>0</v>
      </c>
      <c r="J7" s="441">
        <f>landbouw!J8</f>
        <v>282.66109048753236</v>
      </c>
      <c r="K7" s="441">
        <f>landbouw!K8</f>
        <v>0</v>
      </c>
      <c r="L7" s="441">
        <f>landbouw!L8</f>
        <v>0</v>
      </c>
      <c r="M7" s="441">
        <f>landbouw!M8</f>
        <v>0</v>
      </c>
      <c r="N7" s="441">
        <f>landbouw!N8</f>
        <v>0</v>
      </c>
      <c r="O7" s="441">
        <f>landbouw!O8</f>
        <v>0</v>
      </c>
      <c r="P7" s="442">
        <f>landbouw!P8</f>
        <v>0</v>
      </c>
      <c r="Q7" s="440">
        <f t="shared" si="0"/>
        <v>5497.8858113380011</v>
      </c>
    </row>
    <row r="8" spans="1:17">
      <c r="A8" s="440" t="s">
        <v>596</v>
      </c>
      <c r="B8" s="441">
        <f>industrie!B18</f>
        <v>43893.408817999996</v>
      </c>
      <c r="C8" s="441">
        <f>industrie!C18</f>
        <v>0</v>
      </c>
      <c r="D8" s="441">
        <f>industrie!D18</f>
        <v>76557.228100341992</v>
      </c>
      <c r="E8" s="441">
        <f>industrie!E18</f>
        <v>402.37160797688665</v>
      </c>
      <c r="F8" s="441">
        <f>industrie!F18</f>
        <v>12691.710067786755</v>
      </c>
      <c r="G8" s="441">
        <f>industrie!G18</f>
        <v>0</v>
      </c>
      <c r="H8" s="441">
        <f>industrie!H18</f>
        <v>0</v>
      </c>
      <c r="I8" s="441">
        <f>industrie!I18</f>
        <v>0</v>
      </c>
      <c r="J8" s="441">
        <f>industrie!J18</f>
        <v>8.9643666154516346</v>
      </c>
      <c r="K8" s="441">
        <f>industrie!K18</f>
        <v>0</v>
      </c>
      <c r="L8" s="441">
        <f>industrie!L18</f>
        <v>0</v>
      </c>
      <c r="M8" s="441">
        <f>industrie!M18</f>
        <v>0</v>
      </c>
      <c r="N8" s="441">
        <f>industrie!N18</f>
        <v>2055.4413697129112</v>
      </c>
      <c r="O8" s="441">
        <f>industrie!O18</f>
        <v>0</v>
      </c>
      <c r="P8" s="442">
        <f>industrie!P18</f>
        <v>0</v>
      </c>
      <c r="Q8" s="440">
        <f t="shared" si="0"/>
        <v>135609.12433043399</v>
      </c>
    </row>
    <row r="9" spans="1:17" s="446" customFormat="1">
      <c r="A9" s="444" t="s">
        <v>545</v>
      </c>
      <c r="B9" s="445">
        <f>transport!B14</f>
        <v>68.030250462039206</v>
      </c>
      <c r="C9" s="445">
        <f>transport!C14</f>
        <v>0</v>
      </c>
      <c r="D9" s="445">
        <f>transport!D14</f>
        <v>118.76499753717191</v>
      </c>
      <c r="E9" s="445">
        <f>transport!E14</f>
        <v>204.51567648003928</v>
      </c>
      <c r="F9" s="445">
        <f>transport!F14</f>
        <v>0</v>
      </c>
      <c r="G9" s="445">
        <f>transport!G14</f>
        <v>91067.871488303208</v>
      </c>
      <c r="H9" s="445">
        <f>transport!H14</f>
        <v>20494.042587946944</v>
      </c>
      <c r="I9" s="445">
        <f>transport!I14</f>
        <v>0</v>
      </c>
      <c r="J9" s="445">
        <f>transport!J14</f>
        <v>0</v>
      </c>
      <c r="K9" s="445">
        <f>transport!K14</f>
        <v>0</v>
      </c>
      <c r="L9" s="445">
        <f>transport!L14</f>
        <v>0</v>
      </c>
      <c r="M9" s="445">
        <f>transport!M14</f>
        <v>5924.0326461035847</v>
      </c>
      <c r="N9" s="445">
        <f>transport!N14</f>
        <v>0</v>
      </c>
      <c r="O9" s="445">
        <f>transport!O14</f>
        <v>0</v>
      </c>
      <c r="P9" s="445">
        <f>transport!P14</f>
        <v>0</v>
      </c>
      <c r="Q9" s="444">
        <f>SUM(B9:P9)</f>
        <v>117877.25764683298</v>
      </c>
    </row>
    <row r="10" spans="1:17">
      <c r="A10" s="440" t="s">
        <v>535</v>
      </c>
      <c r="B10" s="441">
        <f>transport!B54</f>
        <v>22.693189451742871</v>
      </c>
      <c r="C10" s="441">
        <f>transport!C54</f>
        <v>0</v>
      </c>
      <c r="D10" s="441">
        <f>transport!D54</f>
        <v>0</v>
      </c>
      <c r="E10" s="441">
        <f>transport!E54</f>
        <v>0</v>
      </c>
      <c r="F10" s="441">
        <f>transport!F54</f>
        <v>0</v>
      </c>
      <c r="G10" s="441">
        <f>transport!G54</f>
        <v>2131.7999381627992</v>
      </c>
      <c r="H10" s="441">
        <f>transport!H54</f>
        <v>0</v>
      </c>
      <c r="I10" s="441">
        <f>transport!I54</f>
        <v>0</v>
      </c>
      <c r="J10" s="441">
        <f>transport!J54</f>
        <v>0</v>
      </c>
      <c r="K10" s="441">
        <f>transport!K54</f>
        <v>0</v>
      </c>
      <c r="L10" s="441">
        <f>transport!L54</f>
        <v>0</v>
      </c>
      <c r="M10" s="441">
        <f>transport!M54</f>
        <v>122.76395774243257</v>
      </c>
      <c r="N10" s="441">
        <f>transport!N54</f>
        <v>0</v>
      </c>
      <c r="O10" s="441">
        <f>transport!O54</f>
        <v>0</v>
      </c>
      <c r="P10" s="442">
        <f>transport!P54</f>
        <v>0</v>
      </c>
      <c r="Q10" s="440">
        <f t="shared" si="0"/>
        <v>2277.2570853569746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686.88165000000004</v>
      </c>
      <c r="C14" s="448"/>
      <c r="D14" s="448">
        <f>'SEAP template'!E25</f>
        <v>2868.9160499999998</v>
      </c>
      <c r="E14" s="448"/>
      <c r="F14" s="448"/>
      <c r="G14" s="448"/>
      <c r="H14" s="448"/>
      <c r="I14" s="448"/>
      <c r="J14" s="448"/>
      <c r="K14" s="448"/>
      <c r="L14" s="448"/>
      <c r="M14" s="448"/>
      <c r="N14" s="448"/>
      <c r="O14" s="448"/>
      <c r="P14" s="449"/>
      <c r="Q14" s="440">
        <f t="shared" si="0"/>
        <v>3555.7977000000001</v>
      </c>
    </row>
    <row r="15" spans="1:17" s="450" customFormat="1">
      <c r="A15" s="957" t="s">
        <v>539</v>
      </c>
      <c r="B15" s="905">
        <f ca="1">SUM(B4:B14)</f>
        <v>96489.433998894485</v>
      </c>
      <c r="C15" s="905">
        <f t="shared" ref="C15:Q15" ca="1" si="1">SUM(C4:C14)</f>
        <v>0</v>
      </c>
      <c r="D15" s="905">
        <f t="shared" ca="1" si="1"/>
        <v>155440.52144697917</v>
      </c>
      <c r="E15" s="905">
        <f t="shared" si="1"/>
        <v>3427.5018994895891</v>
      </c>
      <c r="F15" s="905">
        <f t="shared" ca="1" si="1"/>
        <v>78777.300381371024</v>
      </c>
      <c r="G15" s="905">
        <f t="shared" si="1"/>
        <v>93199.671426466011</v>
      </c>
      <c r="H15" s="905">
        <f t="shared" si="1"/>
        <v>20494.042587946944</v>
      </c>
      <c r="I15" s="905">
        <f t="shared" si="1"/>
        <v>0</v>
      </c>
      <c r="J15" s="905">
        <f t="shared" si="1"/>
        <v>592.16000250928266</v>
      </c>
      <c r="K15" s="905">
        <f t="shared" si="1"/>
        <v>0</v>
      </c>
      <c r="L15" s="905">
        <f t="shared" ca="1" si="1"/>
        <v>0</v>
      </c>
      <c r="M15" s="905">
        <f t="shared" si="1"/>
        <v>6046.7966038460172</v>
      </c>
      <c r="N15" s="905">
        <f t="shared" ca="1" si="1"/>
        <v>16288.133854733387</v>
      </c>
      <c r="O15" s="905">
        <f t="shared" si="1"/>
        <v>401.77666666666664</v>
      </c>
      <c r="P15" s="905">
        <f t="shared" si="1"/>
        <v>1029.6000000000001</v>
      </c>
      <c r="Q15" s="905">
        <f t="shared" ca="1" si="1"/>
        <v>472186.93886890257</v>
      </c>
    </row>
    <row r="17" spans="1:17">
      <c r="A17" s="451" t="s">
        <v>540</v>
      </c>
      <c r="B17" s="714">
        <f ca="1">huishoudens!B10</f>
        <v>0.15532119058538327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5178.5199974878678</v>
      </c>
      <c r="C22" s="441">
        <f t="shared" ref="C22:C32" ca="1" si="3">C4*$C$17</f>
        <v>0</v>
      </c>
      <c r="D22" s="441">
        <f t="shared" ref="D22:D32" si="4">D4*$D$17</f>
        <v>11305.156480400201</v>
      </c>
      <c r="E22" s="441">
        <f t="shared" ref="E22:E32" si="5">E4*$E$17</f>
        <v>572.62964288487035</v>
      </c>
      <c r="F22" s="441">
        <f t="shared" ref="F22:F32" si="6">F4*$F$17</f>
        <v>15611.983546479616</v>
      </c>
      <c r="G22" s="441">
        <f t="shared" ref="G22:G32" si="7">G4*$G$17</f>
        <v>0</v>
      </c>
      <c r="H22" s="441">
        <f t="shared" ref="H22:H32" si="8">H4*$H$17</f>
        <v>0</v>
      </c>
      <c r="I22" s="441">
        <f t="shared" ref="I22:I32" si="9">I4*$I$17</f>
        <v>0</v>
      </c>
      <c r="J22" s="441">
        <f t="shared" ref="J22:J32" si="10">J4*$J$17</f>
        <v>106.37480369996685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32774.664470952521</v>
      </c>
    </row>
    <row r="23" spans="1:17">
      <c r="A23" s="440" t="s">
        <v>149</v>
      </c>
      <c r="B23" s="441">
        <f t="shared" ca="1" si="2"/>
        <v>2529.1997808053452</v>
      </c>
      <c r="C23" s="441">
        <f t="shared" ca="1" si="3"/>
        <v>0</v>
      </c>
      <c r="D23" s="441">
        <f t="shared" ca="1" si="4"/>
        <v>3997.3960581939996</v>
      </c>
      <c r="E23" s="441">
        <f t="shared" si="5"/>
        <v>59.731940214622021</v>
      </c>
      <c r="F23" s="441">
        <f t="shared" ca="1" si="6"/>
        <v>974.17588863140679</v>
      </c>
      <c r="G23" s="441">
        <f t="shared" si="7"/>
        <v>0</v>
      </c>
      <c r="H23" s="441">
        <f t="shared" si="8"/>
        <v>0</v>
      </c>
      <c r="I23" s="441">
        <f t="shared" si="9"/>
        <v>0</v>
      </c>
      <c r="J23" s="441">
        <f t="shared" si="10"/>
        <v>1.4425373862899559E-2</v>
      </c>
      <c r="K23" s="441">
        <f t="shared" si="11"/>
        <v>0</v>
      </c>
      <c r="L23" s="441">
        <f t="shared" ca="1" si="12"/>
        <v>0</v>
      </c>
      <c r="M23" s="441">
        <f t="shared" si="13"/>
        <v>0</v>
      </c>
      <c r="N23" s="441">
        <f t="shared" ca="1" si="14"/>
        <v>0</v>
      </c>
      <c r="O23" s="441">
        <f t="shared" si="15"/>
        <v>0</v>
      </c>
      <c r="P23" s="442">
        <f t="shared" si="16"/>
        <v>0</v>
      </c>
      <c r="Q23" s="440">
        <f t="shared" ref="Q23:Q32" ca="1" si="17">SUM(B23:P23)</f>
        <v>7560.5180932192361</v>
      </c>
    </row>
    <row r="24" spans="1:17">
      <c r="A24" s="440" t="s">
        <v>187</v>
      </c>
      <c r="B24" s="441">
        <f t="shared" ca="1" si="2"/>
        <v>173.83982549649735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173.83982549649735</v>
      </c>
    </row>
    <row r="25" spans="1:17">
      <c r="A25" s="440" t="s">
        <v>105</v>
      </c>
      <c r="B25" s="441">
        <f t="shared" ca="1" si="2"/>
        <v>166.93909899495583</v>
      </c>
      <c r="C25" s="441">
        <f t="shared" ca="1" si="3"/>
        <v>0</v>
      </c>
      <c r="D25" s="441">
        <f t="shared" si="4"/>
        <v>28.361145824000001</v>
      </c>
      <c r="E25" s="441">
        <f t="shared" si="5"/>
        <v>7.9179345129221987</v>
      </c>
      <c r="F25" s="441">
        <f t="shared" si="6"/>
        <v>1058.6931786159773</v>
      </c>
      <c r="G25" s="441">
        <f t="shared" si="7"/>
        <v>0</v>
      </c>
      <c r="H25" s="441">
        <f t="shared" si="8"/>
        <v>0</v>
      </c>
      <c r="I25" s="441">
        <f t="shared" si="9"/>
        <v>0</v>
      </c>
      <c r="J25" s="441">
        <f t="shared" si="10"/>
        <v>100.06202603258645</v>
      </c>
      <c r="K25" s="441">
        <f t="shared" si="11"/>
        <v>0</v>
      </c>
      <c r="L25" s="441">
        <f t="shared" si="12"/>
        <v>0</v>
      </c>
      <c r="M25" s="441">
        <f t="shared" si="13"/>
        <v>0</v>
      </c>
      <c r="N25" s="441">
        <f t="shared" si="14"/>
        <v>0</v>
      </c>
      <c r="O25" s="441">
        <f t="shared" si="15"/>
        <v>0</v>
      </c>
      <c r="P25" s="442">
        <f t="shared" si="16"/>
        <v>0</v>
      </c>
      <c r="Q25" s="440">
        <f t="shared" ca="1" si="17"/>
        <v>1361.9733839804417</v>
      </c>
    </row>
    <row r="26" spans="1:17">
      <c r="A26" s="440" t="s">
        <v>596</v>
      </c>
      <c r="B26" s="441">
        <f t="shared" ca="1" si="2"/>
        <v>6817.5765164627201</v>
      </c>
      <c r="C26" s="441">
        <f t="shared" ca="1" si="3"/>
        <v>0</v>
      </c>
      <c r="D26" s="441">
        <f t="shared" si="4"/>
        <v>15464.560076269083</v>
      </c>
      <c r="E26" s="441">
        <f t="shared" si="5"/>
        <v>91.338355010753276</v>
      </c>
      <c r="F26" s="441">
        <f t="shared" si="6"/>
        <v>3388.6865880990636</v>
      </c>
      <c r="G26" s="441">
        <f t="shared" si="7"/>
        <v>0</v>
      </c>
      <c r="H26" s="441">
        <f t="shared" si="8"/>
        <v>0</v>
      </c>
      <c r="I26" s="441">
        <f t="shared" si="9"/>
        <v>0</v>
      </c>
      <c r="J26" s="441">
        <f t="shared" si="10"/>
        <v>3.1733857818698783</v>
      </c>
      <c r="K26" s="441">
        <f t="shared" si="11"/>
        <v>0</v>
      </c>
      <c r="L26" s="441">
        <f t="shared" si="12"/>
        <v>0</v>
      </c>
      <c r="M26" s="441">
        <f t="shared" si="13"/>
        <v>0</v>
      </c>
      <c r="N26" s="441">
        <f t="shared" si="14"/>
        <v>0</v>
      </c>
      <c r="O26" s="441">
        <f t="shared" si="15"/>
        <v>0</v>
      </c>
      <c r="P26" s="442">
        <f t="shared" si="16"/>
        <v>0</v>
      </c>
      <c r="Q26" s="440">
        <f t="shared" ca="1" si="17"/>
        <v>25765.334921623489</v>
      </c>
    </row>
    <row r="27" spans="1:17" s="446" customFormat="1">
      <c r="A27" s="444" t="s">
        <v>545</v>
      </c>
      <c r="B27" s="708">
        <f t="shared" ca="1" si="2"/>
        <v>10.566539497585749</v>
      </c>
      <c r="C27" s="445">
        <f t="shared" ca="1" si="3"/>
        <v>0</v>
      </c>
      <c r="D27" s="445">
        <f t="shared" si="4"/>
        <v>23.990529502508728</v>
      </c>
      <c r="E27" s="445">
        <f t="shared" si="5"/>
        <v>46.425058560968914</v>
      </c>
      <c r="F27" s="445">
        <f t="shared" si="6"/>
        <v>0</v>
      </c>
      <c r="G27" s="445">
        <f t="shared" si="7"/>
        <v>24315.121687376959</v>
      </c>
      <c r="H27" s="445">
        <f t="shared" si="8"/>
        <v>5103.0166043987892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29499.12041933681</v>
      </c>
    </row>
    <row r="28" spans="1:17">
      <c r="A28" s="440" t="s">
        <v>535</v>
      </c>
      <c r="B28" s="441">
        <f t="shared" ca="1" si="2"/>
        <v>3.5247332038243635</v>
      </c>
      <c r="C28" s="441">
        <f t="shared" ca="1" si="3"/>
        <v>0</v>
      </c>
      <c r="D28" s="441">
        <f t="shared" si="4"/>
        <v>0</v>
      </c>
      <c r="E28" s="441">
        <f t="shared" si="5"/>
        <v>0</v>
      </c>
      <c r="F28" s="441">
        <f t="shared" si="6"/>
        <v>0</v>
      </c>
      <c r="G28" s="441">
        <f t="shared" si="7"/>
        <v>569.19058348946737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572.7153166932917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106.68727566925253</v>
      </c>
      <c r="C32" s="441">
        <f t="shared" ca="1" si="3"/>
        <v>0</v>
      </c>
      <c r="D32" s="441">
        <f t="shared" si="4"/>
        <v>579.52104210000005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686.20831776925252</v>
      </c>
    </row>
    <row r="33" spans="1:17" s="450" customFormat="1">
      <c r="A33" s="957" t="s">
        <v>539</v>
      </c>
      <c r="B33" s="905">
        <f ca="1">SUM(B22:B32)</f>
        <v>14986.853767618049</v>
      </c>
      <c r="C33" s="905">
        <f t="shared" ref="C33:Q33" ca="1" si="18">SUM(C22:C32)</f>
        <v>0</v>
      </c>
      <c r="D33" s="905">
        <f t="shared" ca="1" si="18"/>
        <v>31398.985332289791</v>
      </c>
      <c r="E33" s="905">
        <f t="shared" si="18"/>
        <v>778.04293118413671</v>
      </c>
      <c r="F33" s="905">
        <f t="shared" ca="1" si="18"/>
        <v>21033.539201826061</v>
      </c>
      <c r="G33" s="905">
        <f t="shared" si="18"/>
        <v>24884.312270866427</v>
      </c>
      <c r="H33" s="905">
        <f t="shared" si="18"/>
        <v>5103.0166043987892</v>
      </c>
      <c r="I33" s="905">
        <f t="shared" si="18"/>
        <v>0</v>
      </c>
      <c r="J33" s="905">
        <f t="shared" si="18"/>
        <v>209.62464088828608</v>
      </c>
      <c r="K33" s="905">
        <f t="shared" si="18"/>
        <v>0</v>
      </c>
      <c r="L33" s="905">
        <f t="shared" ca="1" si="18"/>
        <v>0</v>
      </c>
      <c r="M33" s="905">
        <f t="shared" si="18"/>
        <v>0</v>
      </c>
      <c r="N33" s="905">
        <f t="shared" ca="1" si="18"/>
        <v>0</v>
      </c>
      <c r="O33" s="905">
        <f t="shared" si="18"/>
        <v>0</v>
      </c>
      <c r="P33" s="905">
        <f t="shared" si="18"/>
        <v>0</v>
      </c>
      <c r="Q33" s="905">
        <f t="shared" ca="1" si="18"/>
        <v>98394.374749071547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10334.688751527792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18340.927294343845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28675.616045871637</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0.15532119058538327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0.15532119058538327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2022-07-26T10:53:06Z</dcterms:modified>
</cp:coreProperties>
</file>