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FDAFA5CC-974F-4019-AA37-6DDBBEDC9708}"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Q36" i="18"/>
  <c r="R36" i="18"/>
  <c r="J9" i="18"/>
  <c r="J77" i="14"/>
  <c r="J9" i="61"/>
  <c r="U36" i="18"/>
  <c r="T36" i="18"/>
  <c r="I9" i="18"/>
  <c r="S36" i="18"/>
  <c r="E9" i="18"/>
  <c r="P36" i="18"/>
  <c r="C9" i="18"/>
  <c r="O36" i="18"/>
  <c r="N36" i="18"/>
  <c r="B9" i="18"/>
  <c r="M36" i="18"/>
  <c r="W32" i="18"/>
  <c r="V32" i="18"/>
  <c r="U32" i="18"/>
  <c r="T32" i="18"/>
  <c r="S32" i="18"/>
  <c r="R32" i="18"/>
  <c r="Q32" i="18"/>
  <c r="P32" i="18"/>
  <c r="O32" i="18"/>
  <c r="N32" i="18"/>
  <c r="M32" i="18"/>
  <c r="W31" i="18"/>
  <c r="V31" i="18"/>
  <c r="U31" i="18"/>
  <c r="T31" i="18"/>
  <c r="S31" i="18"/>
  <c r="F13" i="15"/>
  <c r="R31" i="18"/>
  <c r="Q31" i="18"/>
  <c r="P31" i="18"/>
  <c r="D13" i="15"/>
  <c r="O31" i="18"/>
  <c r="C13" i="15"/>
  <c r="N31" i="18"/>
  <c r="M31" i="18"/>
  <c r="W30" i="18"/>
  <c r="V30" i="18"/>
  <c r="U30" i="18"/>
  <c r="T30" i="18"/>
  <c r="S30" i="18"/>
  <c r="R30" i="18"/>
  <c r="Q30" i="18"/>
  <c r="P30" i="18"/>
  <c r="O30" i="18"/>
  <c r="N30" i="18"/>
  <c r="M30" i="18"/>
  <c r="W29" i="18"/>
  <c r="V29" i="18"/>
  <c r="U29" i="18"/>
  <c r="T29" i="18"/>
  <c r="S29" i="18"/>
  <c r="R29" i="18"/>
  <c r="Q29" i="18"/>
  <c r="P29" i="18"/>
  <c r="O29" i="18"/>
  <c r="N29" i="18"/>
  <c r="B45" i="18"/>
  <c r="M29"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5"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48" i="18"/>
  <c r="H8" i="18"/>
  <c r="E48" i="18"/>
  <c r="E8" i="18"/>
  <c r="G48" i="18"/>
  <c r="F48" i="18"/>
  <c r="H48" i="18"/>
  <c r="D48" i="18"/>
  <c r="C48" i="18"/>
  <c r="B48" i="18"/>
  <c r="C8" i="18"/>
  <c r="I49" i="18"/>
  <c r="H17" i="18"/>
  <c r="E49" i="18"/>
  <c r="E17" i="18"/>
  <c r="C49" i="18"/>
  <c r="B49" i="18"/>
  <c r="C17" i="18"/>
  <c r="H49" i="18"/>
  <c r="D49" i="18"/>
  <c r="G49" i="18"/>
  <c r="F49"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<sst xmlns="http://schemas.openxmlformats.org/spreadsheetml/2006/main" count="2402" uniqueCount="881">
  <si>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</si>
  <si>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</si>
  <si>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</si>
  <si>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</si>
  <si>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</si>
  <si>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</si>
  <si>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</si>
  <si>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</si>
  <si>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</si>
  <si>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</si>
  <si>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</si>
  <si>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</si>
  <si>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</si>
  <si>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</si>
  <si>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</si>
  <si>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</si>
  <si>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</si>
  <si>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</si>
  <si>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</si>
  <si>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</si>
  <si>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</si>
  <si>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</si>
  <si>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</si>
  <si>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</si>
  <si>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</si>
  <si>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</si>
  <si>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</si>
  <si>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</si>
  <si>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</si>
  <si>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</si>
  <si>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</si>
  <si>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</si>
  <si>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</si>
  <si>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</si>
  <si>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</si>
  <si>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</si>
  <si>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</si>
  <si>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</si>
  <si>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</si>
  <si>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</si>
  <si>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</si>
  <si>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</si>
  <si>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</si>
  <si>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</si>
  <si>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</si>
  <si>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</si>
  <si>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</si>
  <si>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</si>
  <si>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</si>
  <si>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</si>
  <si>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</si>
  <si>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</si>
  <si>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</si>
  <si>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</si>
  <si>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</si>
  <si>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</si>
  <si>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</si>
  <si>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</si>
  <si>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</si>
  <si>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</si>
  <si>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</si>
  <si>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</si>
  <si>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</si>
  <si>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</si>
  <si>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</si>
  <si>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</si>
  <si>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</si>
  <si>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</si>
  <si>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</si>
  <si>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</si>
  <si>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</si>
  <si>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</si>
  <si>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</si>
  <si>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</si>
  <si>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</si>
  <si>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</si>
  <si>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</si>
  <si>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</si>
  <si>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</si>
  <si>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</si>
  <si>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</si>
  <si>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</si>
  <si>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</si>
  <si>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</si>
  <si>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</si>
  <si>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</si>
  <si>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</si>
  <si>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</si>
  <si>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</si>
  <si>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</si>
  <si>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</si>
  <si>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</si>
  <si>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</si>
  <si>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</si>
  <si>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</si>
  <si>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</si>
  <si>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</si>
  <si>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</si>
  <si>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</si>
  <si>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</si>
  <si>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</si>
  <si>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</si>
  <si>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</si>
  <si>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</si>
  <si>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</si>
  <si>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</si>
  <si>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</si>
  <si>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</si>
  <si>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</si>
  <si>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</si>
  <si>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</si>
  <si>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</si>
  <si>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</si>
  <si>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</si>
  <si>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</si>
  <si>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</si>
  <si>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</si>
  <si>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</si>
  <si>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</si>
  <si>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</si>
  <si>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</si>
  <si>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</si>
  <si>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</si>
  <si>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</si>
  <si>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</si>
  <si>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</si>
  <si>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</si>
  <si>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</si>
  <si>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</si>
  <si>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</si>
  <si>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</si>
  <si>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</si>
  <si>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</si>
  <si>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</si>
  <si>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</si>
  <si>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</si>
  <si>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</si>
  <si>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</si>
  <si>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</si>
  <si>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</si>
  <si>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</si>
  <si>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</si>
  <si>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</si>
  <si>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</si>
  <si>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</si>
  <si>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</si>
  <si>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</si>
  <si>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</si>
  <si>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</si>
  <si>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</si>
  <si>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</si>
  <si>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</si>
  <si>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</si>
  <si>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</si>
  <si>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</si>
  <si>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</si>
  <si>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</si>
  <si>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</si>
  <si>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</si>
  <si>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</si>
  <si>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</si>
  <si>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</si>
  <si>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</si>
  <si>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</si>
  <si>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</si>
  <si>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</si>
  <si>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</si>
  <si>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</si>
  <si>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</si>
  <si>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</si>
  <si>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</si>
  <si>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</si>
  <si>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</si>
  <si>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</si>
  <si>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</si>
  <si>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</si>
  <si>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</si>
  <si>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</si>
  <si>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</si>
  <si>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</si>
  <si>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</si>
  <si>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</si>
  <si>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</si>
  <si>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</si>
  <si>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</si>
  <si>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</si>
  <si>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</si>
  <si>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</si>
  <si>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</si>
  <si>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</si>
  <si>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</si>
  <si>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</si>
  <si>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</si>
  <si>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</si>
  <si>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</si>
  <si>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</si>
  <si>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</si>
  <si>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</si>
  <si>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</si>
  <si>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</si>
  <si>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</si>
  <si>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</si>
  <si>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</si>
  <si>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</si>
  <si>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</si>
  <si>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</si>
  <si>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</si>
  <si>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</si>
  <si>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</si>
  <si>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</si>
  <si>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</si>
  <si>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</si>
  <si>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</si>
  <si>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</si>
  <si>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</si>
  <si>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</si>
  <si>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</si>
  <si>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</si>
  <si>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</si>
  <si>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</si>
  <si>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</si>
  <si>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</si>
  <si>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</si>
  <si>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</si>
  <si>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</si>
  <si>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</si>
  <si>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</si>
  <si>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</si>
  <si>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</si>
  <si>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</si>
  <si>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</si>
  <si>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</si>
  <si>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</si>
  <si>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</si>
  <si>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</si>
  <si>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</si>
  <si>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</si>
  <si>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</si>
  <si>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</si>
  <si>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</si>
  <si>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</si>
  <si>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</si>
  <si>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</si>
  <si>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</si>
  <si>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</si>
  <si>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</si>
  <si>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</si>
  <si>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</si>
  <si>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</si>
  <si>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</si>
  <si>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</si>
  <si>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</si>
  <si>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</si>
  <si>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</si>
  <si>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</si>
  <si>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</si>
  <si>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</si>
  <si>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</si>
  <si>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</si>
  <si>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</si>
  <si>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</si>
  <si>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</si>
  <si>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</si>
  <si>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</si>
  <si>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</si>
  <si>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</si>
  <si>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</si>
  <si>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</si>
  <si>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</si>
  <si>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</si>
  <si>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</si>
  <si>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</si>
  <si>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</si>
  <si>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</si>
  <si>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</si>
  <si>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</si>
  <si>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</si>
  <si>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</si>
  <si>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</si>
  <si>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</si>
  <si>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</si>
  <si>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</si>
  <si>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</si>
  <si>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</si>
  <si>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</si>
  <si>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</si>
  <si>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</si>
  <si>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</si>
  <si>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</si>
  <si>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</si>
  <si>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</si>
  <si>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</si>
  <si>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</si>
  <si>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</si>
  <si>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</si>
  <si>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</si>
  <si>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</si>
  <si>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</si>
  <si>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</si>
  <si>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</si>
  <si>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</si>
  <si>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</si>
  <si>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</si>
  <si>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</si>
  <si>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</si>
  <si>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</si>
  <si>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</si>
  <si>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</si>
  <si>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</si>
  <si>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</si>
  <si>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</si>
  <si>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</si>
  <si>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</si>
  <si>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</si>
  <si>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</si>
  <si>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</si>
  <si>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</si>
  <si>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</si>
  <si>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</si>
  <si>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</si>
  <si>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</si>
  <si>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</si>
  <si>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</si>
  <si>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</si>
  <si>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</si>
  <si>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</si>
  <si>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</si>
  <si>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</si>
  <si>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</si>
  <si>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</si>
  <si>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</si>
  <si>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</si>
  <si>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</si>
  <si>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</si>
  <si>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</si>
  <si>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</si>
  <si>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</si>
  <si>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</si>
  <si>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</si>
  <si>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</si>
  <si>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</si>
  <si>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</si>
  <si>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</si>
  <si>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</si>
  <si>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</si>
  <si>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</si>
  <si>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</si>
  <si>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</si>
  <si>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</si>
  <si>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</si>
  <si>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</si>
  <si>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</si>
  <si>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</si>
  <si>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</si>
  <si>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</si>
  <si>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</si>
  <si>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</si>
  <si>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</si>
  <si>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</si>
  <si>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</si>
  <si>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</si>
  <si>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</si>
  <si>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</si>
  <si>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</si>
  <si>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</si>
  <si>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</si>
  <si>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</si>
  <si>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</si>
  <si>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</si>
  <si>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</si>
  <si>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</si>
  <si>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</si>
  <si>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</si>
  <si>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</si>
  <si>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</si>
  <si>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</si>
  <si>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</si>
  <si>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</si>
  <si>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</si>
  <si>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</si>
  <si>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</si>
  <si>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</si>
  <si>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</si>
  <si>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</si>
  <si>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</si>
  <si>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</si>
  <si>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</si>
  <si>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</si>
  <si>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</si>
  <si>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</si>
  <si>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</si>
  <si>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</si>
  <si>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</si>
  <si>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</si>
  <si>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</si>
  <si>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</si>
  <si>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</si>
  <si>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</si>
  <si>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</si>
  <si>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</si>
  <si>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</si>
  <si>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</si>
  <si>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</si>
  <si>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</si>
  <si>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</si>
  <si>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</si>
  <si>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</si>
  <si>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</si>
  <si>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</si>
  <si>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</si>
  <si>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</si>
  <si>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</si>
  <si>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</si>
  <si>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</si>
  <si>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</si>
  <si>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</si>
  <si>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</si>
  <si>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</si>
  <si>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</si>
  <si>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</si>
  <si>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</si>
  <si>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</si>
  <si>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</si>
  <si>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</si>
  <si>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</si>
  <si>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</si>
  <si>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</si>
  <si>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</si>
  <si>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</si>
  <si>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</si>
  <si>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</si>
  <si>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</si>
  <si>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</si>
  <si>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</si>
  <si>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</si>
  <si>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</si>
  <si>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</si>
  <si>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</si>
  <si>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</si>
  <si>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</si>
  <si>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</si>
  <si>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</si>
  <si>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</si>
  <si>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</si>
  <si>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</si>
  <si>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</si>
  <si>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</si>
  <si>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</si>
  <si>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</si>
  <si>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</si>
  <si>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</si>
  <si>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</si>
  <si>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</si>
  <si>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</si>
  <si>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</si>
  <si>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</si>
  <si>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</si>
  <si>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</si>
  <si>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</si>
  <si>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</si>
  <si>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</si>
  <si>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</si>
  <si>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</si>
  <si>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</si>
  <si>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</si>
  <si>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</si>
  <si>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</si>
  <si>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</si>
  <si>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</si>
  <si>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</si>
  <si>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</si>
  <si>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</si>
  <si>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</si>
  <si>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</si>
  <si>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</si>
  <si>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</si>
  <si>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</si>
  <si>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</si>
  <si>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</si>
  <si>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</si>
  <si>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</si>
  <si>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</si>
  <si>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</si>
  <si>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</si>
  <si>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</si>
  <si>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</si>
  <si>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</si>
  <si>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</si>
  <si>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</si>
  <si>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</si>
  <si>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</si>
  <si>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</si>
  <si>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</si>
  <si>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</si>
  <si>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</si>
  <si>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</si>
  <si>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</si>
  <si>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</si>
  <si>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</si>
  <si>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</si>
  <si>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</si>
  <si>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</si>
  <si>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</si>
  <si>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</si>
  <si>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</si>
  <si>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</si>
  <si>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</si>
  <si>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</si>
  <si>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</si>
  <si>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</si>
  <si>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</si>
  <si>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</si>
  <si>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</si>
  <si>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</si>
  <si>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</si>
  <si>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</si>
  <si>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</si>
  <si>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</si>
  <si>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</si>
  <si>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</si>
  <si>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</si>
  <si>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</si>
  <si>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</si>
  <si>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</si>
  <si>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</si>
  <si>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</si>
  <si>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</si>
  <si>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</si>
  <si>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</si>
  <si>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</si>
  <si>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</si>
  <si>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</si>
  <si>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</si>
  <si>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</si>
  <si>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</si>
  <si>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</si>
  <si>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</si>
  <si>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</si>
  <si>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</si>
  <si>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</si>
  <si>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</si>
  <si>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</si>
  <si>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</si>
  <si>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</si>
  <si>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</si>
  <si>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</si>
  <si>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</si>
  <si>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</si>
  <si>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</si>
  <si>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</si>
  <si>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</si>
  <si>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</si>
  <si>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</si>
  <si>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</si>
  <si>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</si>
  <si>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</si>
  <si>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</si>
  <si>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</si>
  <si>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</si>
  <si>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</si>
  <si>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</si>
  <si>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</si>
  <si>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</si>
  <si>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</si>
  <si>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</si>
  <si>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</si>
  <si>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</si>
  <si>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</si>
  <si>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</si>
  <si>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</si>
  <si>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</si>
  <si>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</si>
  <si>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</si>
  <si>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</si>
  <si>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</si>
  <si>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</si>
  <si>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</si>
  <si>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</si>
  <si>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</si>
  <si>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</si>
  <si>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</si>
  <si>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</si>
  <si>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</si>
  <si>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</si>
  <si>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</si>
  <si>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</si>
  <si>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</si>
  <si>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</si>
  <si>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</si>
  <si>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</si>
  <si>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</si>
  <si>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</si>
  <si>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</si>
  <si>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</si>
  <si>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</si>
  <si>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</si>
  <si>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</si>
  <si>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</si>
  <si>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</si>
  <si>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</si>
  <si>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</si>
  <si>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</si>
  <si>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</si>
  <si>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</si>
  <si>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</si>
  <si>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</si>
  <si>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</si>
  <si>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</si>
  <si>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</si>
  <si>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</si>
  <si>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</si>
  <si>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</si>
  <si>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</si>
  <si>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</si>
  <si>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</si>
  <si>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</si>
  <si>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</si>
  <si>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</si>
  <si>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</si>
  <si>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</si>
  <si>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</si>
  <si>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</si>
  <si>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</si>
  <si>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</si>
  <si>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</si>
  <si>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</si>
  <si>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</si>
  <si>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</si>
  <si>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</si>
  <si>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</si>
  <si>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</si>
  <si>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</si>
  <si>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</si>
  <si>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</si>
  <si>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</si>
  <si>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</si>
  <si>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</si>
  <si>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</si>
  <si>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</si>
  <si>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</si>
  <si>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</si>
  <si>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</si>
  <si>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</si>
  <si>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</si>
  <si>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</si>
  <si>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</si>
  <si>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</si>
  <si>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</si>
  <si>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</si>
  <si>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</si>
  <si>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</si>
  <si>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</si>
  <si>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</si>
  <si>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</si>
  <si>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</si>
  <si>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</si>
  <si>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</si>
  <si>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</si>
  <si>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</si>
  <si>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</si>
  <si>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</si>
  <si>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</si>
  <si>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</si>
  <si>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</si>
  <si>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</si>
  <si>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</si>
  <si>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</si>
  <si>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</si>
  <si>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</si>
  <si>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</si>
  <si>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</si>
  <si>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</si>
  <si>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</si>
  <si>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</si>
  <si>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</si>
  <si>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</si>
  <si>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</si>
  <si>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</si>
  <si>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</si>
  <si>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</si>
  <si>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</si>
  <si>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</si>
  <si>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</si>
  <si>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</si>
  <si>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</si>
  <si>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</si>
  <si>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</si>
  <si>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</si>
  <si>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</si>
  <si>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</si>
  <si>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</si>
  <si>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</si>
  <si>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</si>
  <si>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</si>
  <si>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</si>
  <si>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</si>
  <si>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</si>
  <si>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</si>
  <si>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</si>
  <si>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</si>
  <si>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</si>
  <si>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</si>
  <si>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</si>
  <si>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</si>
  <si>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</si>
  <si>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</si>
  <si>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</si>
  <si>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</si>
  <si>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</si>
  <si>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</si>
  <si>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</si>
  <si>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</si>
  <si>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</si>
  <si>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</si>
  <si>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</si>
  <si>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</si>
  <si>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</si>
  <si>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</si>
  <si>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</si>
  <si>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</si>
  <si>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</si>
  <si>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</si>
  <si>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</si>
  <si>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</si>
  <si>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</si>
  <si>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</si>
  <si>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</si>
  <si>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</si>
  <si>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</si>
  <si>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</si>
  <si>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</si>
  <si>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</si>
  <si>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</si>
  <si>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</si>
  <si>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</si>
  <si>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</si>
  <si>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</si>
  <si>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</si>
  <si>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</si>
  <si>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</si>
  <si>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</si>
  <si>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</si>
  <si>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</si>
  <si>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</si>
  <si>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</si>
  <si>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</si>
  <si>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</si>
  <si>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</si>
  <si>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</si>
  <si>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</si>
  <si>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</si>
  <si>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</si>
  <si>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</si>
  <si>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</si>
  <si>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</si>
  <si>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</si>
  <si>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</si>
  <si>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</si>
  <si>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</si>
  <si>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</si>
  <si>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</si>
  <si>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</si>
  <si>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</si>
  <si>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</si>
  <si>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</si>
  <si>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</si>
  <si>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</si>
  <si>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</si>
  <si>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</si>
  <si>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</si>
  <si>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</si>
  <si>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</si>
  <si>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</si>
  <si>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</si>
  <si>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</si>
  <si>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</si>
  <si>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</si>
  <si>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</si>
  <si>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</si>
  <si>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</si>
  <si>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</si>
  <si>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</si>
  <si>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</si>
  <si>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</si>
  <si>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</si>
  <si>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</si>
  <si>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</si>
  <si>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</si>
  <si>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</si>
  <si>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</si>
  <si>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</si>
  <si>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</si>
  <si>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</si>
  <si>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</si>
  <si>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</si>
  <si>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</si>
  <si>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</si>
  <si>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</si>
  <si>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</si>
  <si>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</si>
  <si>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</si>
  <si>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</si>
  <si>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</si>
  <si>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</si>
  <si>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</si>
  <si>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</si>
  <si>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</si>
  <si>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</si>
  <si>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</si>
  <si>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</si>
  <si>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</si>
  <si>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</si>
  <si>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</si>
  <si>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</si>
  <si>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</si>
  <si>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</si>
  <si>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</si>
  <si>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</si>
  <si>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</si>
  <si>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</si>
  <si>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</si>
  <si>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</si>
  <si>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</si>
  <si>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</si>
  <si>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</si>
  <si>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</si>
  <si>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</si>
  <si>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</si>
  <si>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</si>
  <si>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</si>
  <si>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</si>
  <si>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</si>
  <si>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</si>
  <si>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</si>
  <si>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</si>
  <si>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</si>
  <si>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</si>
  <si>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</si>
  <si>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</si>
  <si>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</si>
  <si>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</si>
  <si>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</si>
  <si>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</si>
  <si>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</si>
  <si>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</si>
  <si>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</si>
  <si>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</si>
  <si>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</si>
  <si>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</si>
  <si>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</si>
  <si>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</si>
  <si>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</si>
  <si>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</si>
  <si>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</si>
  <si>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</si>
  <si>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</si>
  <si>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</si>
  <si>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</si>
  <si>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</si>
  <si>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</si>
  <si>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</si>
  <si>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</si>
  <si>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</si>
  <si>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</si>
  <si>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</si>
  <si>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</si>
  <si>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</si>
  <si>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</si>
  <si>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</si>
  <si>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</si>
  <si>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</si>
  <si>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</si>
  <si>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</si>
  <si>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</si>
  <si>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</si>
  <si>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71057</t>
  </si>
  <si>
    <t>TESSENDERLO</t>
  </si>
  <si>
    <t>vloeibaar gas (MWh)</t>
  </si>
  <si>
    <t>interne verbrandingsmotor</t>
  </si>
  <si>
    <t>WKK interne verbrandinsgmotor (gas)</t>
  </si>
  <si>
    <t>Inter-Energa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</si>
</sst>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A735A685-6CC5-4830-A21E-49DBADEFD6CC}"/>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150526.81196944622</c:v>
                </c:pt>
                <c:pt idx="1">
                  <c:v>57445.271234453889</c:v>
                </c:pt>
                <c:pt idx="2">
                  <c:v>1418.8440000000001</c:v>
                </c:pt>
                <c:pt idx="3">
                  <c:v>3040.8028337717105</c:v>
                </c:pt>
                <c:pt idx="4">
                  <c:v>183026.90178665661</c:v>
                </c:pt>
                <c:pt idx="5">
                  <c:v>145028.784153438</c:v>
                </c:pt>
                <c:pt idx="6">
                  <c:v>1941.6042968666634</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150526.81196944622</c:v>
                </c:pt>
                <c:pt idx="1">
                  <c:v>57445.271234453889</c:v>
                </c:pt>
                <c:pt idx="2">
                  <c:v>1418.8440000000001</c:v>
                </c:pt>
                <c:pt idx="3">
                  <c:v>3040.8028337717105</c:v>
                </c:pt>
                <c:pt idx="4">
                  <c:v>183026.90178665661</c:v>
                </c:pt>
                <c:pt idx="5">
                  <c:v>145028.784153438</c:v>
                </c:pt>
                <c:pt idx="6">
                  <c:v>1941.6042968666634</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29728.844950525767</c:v>
                </c:pt>
                <c:pt idx="2">
                  <c:v>10292.072967627973</c:v>
                </c:pt>
                <c:pt idx="3">
                  <c:v>222.96558506501583</c:v>
                </c:pt>
                <c:pt idx="4">
                  <c:v>735.1946515476983</c:v>
                </c:pt>
                <c:pt idx="5">
                  <c:v>29706.608276648611</c:v>
                </c:pt>
                <c:pt idx="6">
                  <c:v>36302.162893753695</c:v>
                </c:pt>
                <c:pt idx="7">
                  <c:v>488.3361338088323</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29728.844950525767</c:v>
                </c:pt>
                <c:pt idx="2">
                  <c:v>10292.072967627973</c:v>
                </c:pt>
                <c:pt idx="3">
                  <c:v>222.96558506501583</c:v>
                </c:pt>
                <c:pt idx="4">
                  <c:v>735.1946515476983</c:v>
                </c:pt>
                <c:pt idx="5">
                  <c:v>29706.608276648611</c:v>
                </c:pt>
                <c:pt idx="6">
                  <c:v>36302.162893753695</c:v>
                </c:pt>
                <c:pt idx="7">
                  <c:v>488.3361338088323</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71057</v>
      </c>
      <c r="B6" s="380"/>
      <c r="C6" s="381"/>
    </row>
    <row r="7" spans="1:7" s="378" customFormat="1" ht="15.75" customHeight="1">
      <c r="A7" s="382" t="str">
        <f>txtMunicipality</f>
        <v>TESSENDERLO</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0.15714594773281335</v>
      </c>
      <c r="C17" s="488">
        <f ca="1">'EF ele_warmte'!B22</f>
        <v>0.23764705882352943</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0.15714594773281335</v>
      </c>
      <c r="C29" s="489">
        <f ca="1">'EF ele_warmte'!B22</f>
        <v>0.23764705882352943</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7742</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1522.53</v>
      </c>
      <c r="C14" s="322"/>
      <c r="D14" s="322"/>
      <c r="E14" s="322"/>
      <c r="F14" s="322"/>
    </row>
    <row r="15" spans="1:6">
      <c r="A15" s="1248" t="s">
        <v>177</v>
      </c>
      <c r="B15" s="1249">
        <v>16</v>
      </c>
      <c r="C15" s="322"/>
      <c r="D15" s="322"/>
      <c r="E15" s="322"/>
      <c r="F15" s="322"/>
    </row>
    <row r="16" spans="1:6">
      <c r="A16" s="1248" t="s">
        <v>6</v>
      </c>
      <c r="B16" s="1249">
        <v>601</v>
      </c>
      <c r="C16" s="322"/>
      <c r="D16" s="322"/>
      <c r="E16" s="322"/>
      <c r="F16" s="322"/>
    </row>
    <row r="17" spans="1:6">
      <c r="A17" s="1248" t="s">
        <v>7</v>
      </c>
      <c r="B17" s="1249">
        <v>196</v>
      </c>
      <c r="C17" s="322"/>
      <c r="D17" s="322"/>
      <c r="E17" s="322"/>
      <c r="F17" s="322"/>
    </row>
    <row r="18" spans="1:6">
      <c r="A18" s="1248" t="s">
        <v>8</v>
      </c>
      <c r="B18" s="1249">
        <v>606</v>
      </c>
      <c r="C18" s="322"/>
      <c r="D18" s="322"/>
      <c r="E18" s="322"/>
      <c r="F18" s="322"/>
    </row>
    <row r="19" spans="1:6">
      <c r="A19" s="1248" t="s">
        <v>9</v>
      </c>
      <c r="B19" s="1249">
        <v>455</v>
      </c>
      <c r="C19" s="322"/>
      <c r="D19" s="322"/>
      <c r="E19" s="322"/>
      <c r="F19" s="322"/>
    </row>
    <row r="20" spans="1:6">
      <c r="A20" s="1248" t="s">
        <v>10</v>
      </c>
      <c r="B20" s="1249">
        <v>338</v>
      </c>
      <c r="C20" s="322"/>
      <c r="D20" s="322"/>
      <c r="E20" s="322"/>
      <c r="F20" s="322"/>
    </row>
    <row r="21" spans="1:6">
      <c r="A21" s="1248" t="s">
        <v>11</v>
      </c>
      <c r="B21" s="1249">
        <v>0</v>
      </c>
      <c r="C21" s="322"/>
      <c r="D21" s="322"/>
      <c r="E21" s="322"/>
      <c r="F21" s="322"/>
    </row>
    <row r="22" spans="1:6">
      <c r="A22" s="1248" t="s">
        <v>12</v>
      </c>
      <c r="B22" s="1249">
        <v>873</v>
      </c>
      <c r="C22" s="322"/>
      <c r="D22" s="322"/>
      <c r="E22" s="322"/>
      <c r="F22" s="322"/>
    </row>
    <row r="23" spans="1:6">
      <c r="A23" s="1248" t="s">
        <v>13</v>
      </c>
      <c r="B23" s="1249">
        <v>0</v>
      </c>
      <c r="C23" s="322"/>
      <c r="D23" s="322"/>
      <c r="E23" s="322"/>
      <c r="F23" s="322"/>
    </row>
    <row r="24" spans="1:6">
      <c r="A24" s="1248" t="s">
        <v>14</v>
      </c>
      <c r="B24" s="1249">
        <v>0</v>
      </c>
      <c r="C24" s="322"/>
      <c r="D24" s="322"/>
      <c r="E24" s="322"/>
      <c r="F24" s="322"/>
    </row>
    <row r="25" spans="1:6">
      <c r="A25" s="1248" t="s">
        <v>15</v>
      </c>
      <c r="B25" s="1249">
        <v>0</v>
      </c>
      <c r="C25" s="322"/>
      <c r="D25" s="322"/>
      <c r="E25" s="322"/>
      <c r="F25" s="322"/>
    </row>
    <row r="26" spans="1:6">
      <c r="A26" s="1248" t="s">
        <v>16</v>
      </c>
      <c r="B26" s="1249">
        <v>163</v>
      </c>
      <c r="C26" s="322"/>
      <c r="D26" s="322"/>
      <c r="E26" s="322"/>
      <c r="F26" s="322"/>
    </row>
    <row r="27" spans="1:6">
      <c r="A27" s="1248" t="s">
        <v>17</v>
      </c>
      <c r="B27" s="1249">
        <v>3</v>
      </c>
      <c r="C27" s="322"/>
      <c r="D27" s="322"/>
      <c r="E27" s="322"/>
      <c r="F27" s="322"/>
    </row>
    <row r="28" spans="1:6">
      <c r="A28" s="1248" t="s">
        <v>18</v>
      </c>
      <c r="B28" s="1250">
        <v>18910</v>
      </c>
      <c r="C28" s="322"/>
      <c r="D28" s="322"/>
      <c r="E28" s="322"/>
      <c r="F28" s="322"/>
    </row>
    <row r="29" spans="1:6">
      <c r="A29" s="1248" t="s">
        <v>691</v>
      </c>
      <c r="B29" s="1250">
        <v>123</v>
      </c>
      <c r="C29" s="322"/>
      <c r="D29" s="322"/>
      <c r="E29" s="322"/>
      <c r="F29" s="322"/>
    </row>
    <row r="30" spans="1:6">
      <c r="A30" s="1243" t="s">
        <v>692</v>
      </c>
      <c r="B30" s="1251">
        <v>37</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3</v>
      </c>
      <c r="F35" s="1249">
        <v>204038.85699999999</v>
      </c>
    </row>
    <row r="36" spans="1:6">
      <c r="A36" s="1248" t="s">
        <v>24</v>
      </c>
      <c r="B36" s="1248" t="s">
        <v>26</v>
      </c>
      <c r="C36" s="1249">
        <v>0</v>
      </c>
      <c r="D36" s="1249">
        <v>0</v>
      </c>
      <c r="E36" s="1249">
        <v>3</v>
      </c>
      <c r="F36" s="1249">
        <v>78047</v>
      </c>
    </row>
    <row r="37" spans="1:6">
      <c r="A37" s="1248" t="s">
        <v>24</v>
      </c>
      <c r="B37" s="1248" t="s">
        <v>27</v>
      </c>
      <c r="C37" s="1249">
        <v>0</v>
      </c>
      <c r="D37" s="1249">
        <v>0</v>
      </c>
      <c r="E37" s="1249">
        <v>0</v>
      </c>
      <c r="F37" s="1249">
        <v>0</v>
      </c>
    </row>
    <row r="38" spans="1:6">
      <c r="A38" s="1248" t="s">
        <v>24</v>
      </c>
      <c r="B38" s="1248" t="s">
        <v>28</v>
      </c>
      <c r="C38" s="1249">
        <v>1</v>
      </c>
      <c r="D38" s="1249">
        <v>17684</v>
      </c>
      <c r="E38" s="1249">
        <v>0</v>
      </c>
      <c r="F38" s="1249">
        <v>0</v>
      </c>
    </row>
    <row r="39" spans="1:6">
      <c r="A39" s="1248" t="s">
        <v>29</v>
      </c>
      <c r="B39" s="1248" t="s">
        <v>30</v>
      </c>
      <c r="C39" s="1249">
        <v>3909</v>
      </c>
      <c r="D39" s="1249">
        <v>52871038.450000003</v>
      </c>
      <c r="E39" s="1249">
        <v>7864</v>
      </c>
      <c r="F39" s="1249">
        <v>25837613.300000001</v>
      </c>
    </row>
    <row r="40" spans="1:6">
      <c r="A40" s="1248" t="s">
        <v>29</v>
      </c>
      <c r="B40" s="1248" t="s">
        <v>28</v>
      </c>
      <c r="C40" s="1249">
        <v>0</v>
      </c>
      <c r="D40" s="1249">
        <v>0</v>
      </c>
      <c r="E40" s="1249">
        <v>0</v>
      </c>
      <c r="F40" s="1249">
        <v>0</v>
      </c>
    </row>
    <row r="41" spans="1:6">
      <c r="A41" s="1248" t="s">
        <v>31</v>
      </c>
      <c r="B41" s="1248" t="s">
        <v>32</v>
      </c>
      <c r="C41" s="1249">
        <v>61</v>
      </c>
      <c r="D41" s="1249">
        <v>1478240.65</v>
      </c>
      <c r="E41" s="1249">
        <v>153</v>
      </c>
      <c r="F41" s="1249">
        <v>2558297.65</v>
      </c>
    </row>
    <row r="42" spans="1:6">
      <c r="A42" s="1248" t="s">
        <v>31</v>
      </c>
      <c r="B42" s="1248" t="s">
        <v>33</v>
      </c>
      <c r="C42" s="1249">
        <v>0</v>
      </c>
      <c r="D42" s="1249">
        <v>0</v>
      </c>
      <c r="E42" s="1249">
        <v>7</v>
      </c>
      <c r="F42" s="1249">
        <v>9552367.7139999997</v>
      </c>
    </row>
    <row r="43" spans="1:6">
      <c r="A43" s="1248" t="s">
        <v>31</v>
      </c>
      <c r="B43" s="1248" t="s">
        <v>34</v>
      </c>
      <c r="C43" s="1249">
        <v>0</v>
      </c>
      <c r="D43" s="1249">
        <v>0</v>
      </c>
      <c r="E43" s="1249">
        <v>0</v>
      </c>
      <c r="F43" s="1249">
        <v>0</v>
      </c>
    </row>
    <row r="44" spans="1:6">
      <c r="A44" s="1248" t="s">
        <v>31</v>
      </c>
      <c r="B44" s="1248" t="s">
        <v>35</v>
      </c>
      <c r="C44" s="1249">
        <v>11</v>
      </c>
      <c r="D44" s="1249">
        <v>1480851</v>
      </c>
      <c r="E44" s="1249">
        <v>39</v>
      </c>
      <c r="F44" s="1249">
        <v>26242577.283</v>
      </c>
    </row>
    <row r="45" spans="1:6">
      <c r="A45" s="1248" t="s">
        <v>31</v>
      </c>
      <c r="B45" s="1248" t="s">
        <v>36</v>
      </c>
      <c r="C45" s="1249">
        <v>5</v>
      </c>
      <c r="D45" s="1249">
        <v>7196766.7139999997</v>
      </c>
      <c r="E45" s="1249">
        <v>10</v>
      </c>
      <c r="F45" s="1249">
        <v>79737634</v>
      </c>
    </row>
    <row r="46" spans="1:6">
      <c r="A46" s="1248" t="s">
        <v>31</v>
      </c>
      <c r="B46" s="1248" t="s">
        <v>37</v>
      </c>
      <c r="C46" s="1249">
        <v>0</v>
      </c>
      <c r="D46" s="1249">
        <v>0</v>
      </c>
      <c r="E46" s="1249">
        <v>0</v>
      </c>
      <c r="F46" s="1249">
        <v>0</v>
      </c>
    </row>
    <row r="47" spans="1:6">
      <c r="A47" s="1248" t="s">
        <v>31</v>
      </c>
      <c r="B47" s="1248" t="s">
        <v>38</v>
      </c>
      <c r="C47" s="1249">
        <v>7</v>
      </c>
      <c r="D47" s="1249">
        <v>201267</v>
      </c>
      <c r="E47" s="1249">
        <v>10</v>
      </c>
      <c r="F47" s="1249">
        <v>266333.8</v>
      </c>
    </row>
    <row r="48" spans="1:6">
      <c r="A48" s="1248" t="s">
        <v>31</v>
      </c>
      <c r="B48" s="1248" t="s">
        <v>28</v>
      </c>
      <c r="C48" s="1249">
        <v>2</v>
      </c>
      <c r="D48" s="1249">
        <v>4126335.7140000002</v>
      </c>
      <c r="E48" s="1249">
        <v>1</v>
      </c>
      <c r="F48" s="1249">
        <v>211820</v>
      </c>
    </row>
    <row r="49" spans="1:6">
      <c r="A49" s="1248" t="s">
        <v>31</v>
      </c>
      <c r="B49" s="1248" t="s">
        <v>39</v>
      </c>
      <c r="C49" s="1249">
        <v>4</v>
      </c>
      <c r="D49" s="1249">
        <v>518749</v>
      </c>
      <c r="E49" s="1249">
        <v>4</v>
      </c>
      <c r="F49" s="1249">
        <v>383871</v>
      </c>
    </row>
    <row r="50" spans="1:6">
      <c r="A50" s="1248" t="s">
        <v>31</v>
      </c>
      <c r="B50" s="1248" t="s">
        <v>40</v>
      </c>
      <c r="C50" s="1249">
        <v>7</v>
      </c>
      <c r="D50" s="1249">
        <v>527723</v>
      </c>
      <c r="E50" s="1249">
        <v>15</v>
      </c>
      <c r="F50" s="1249">
        <v>451897</v>
      </c>
    </row>
    <row r="51" spans="1:6">
      <c r="A51" s="1248" t="s">
        <v>41</v>
      </c>
      <c r="B51" s="1248" t="s">
        <v>42</v>
      </c>
      <c r="C51" s="1249">
        <v>5</v>
      </c>
      <c r="D51" s="1249">
        <v>535688</v>
      </c>
      <c r="E51" s="1249">
        <v>29</v>
      </c>
      <c r="F51" s="1249">
        <v>513099</v>
      </c>
    </row>
    <row r="52" spans="1:6">
      <c r="A52" s="1248" t="s">
        <v>41</v>
      </c>
      <c r="B52" s="1248" t="s">
        <v>28</v>
      </c>
      <c r="C52" s="1249">
        <v>0</v>
      </c>
      <c r="D52" s="1249">
        <v>0</v>
      </c>
      <c r="E52" s="1249">
        <v>0</v>
      </c>
      <c r="F52" s="1249">
        <v>0</v>
      </c>
    </row>
    <row r="53" spans="1:6">
      <c r="A53" s="1248" t="s">
        <v>43</v>
      </c>
      <c r="B53" s="1248" t="s">
        <v>44</v>
      </c>
      <c r="C53" s="1249">
        <v>45</v>
      </c>
      <c r="D53" s="1249">
        <v>1917065.5209999999</v>
      </c>
      <c r="E53" s="1249">
        <v>193</v>
      </c>
      <c r="F53" s="1249">
        <v>678459.94299999997</v>
      </c>
    </row>
    <row r="54" spans="1:6">
      <c r="A54" s="1248" t="s">
        <v>45</v>
      </c>
      <c r="B54" s="1248" t="s">
        <v>46</v>
      </c>
      <c r="C54" s="1249">
        <v>0</v>
      </c>
      <c r="D54" s="1249">
        <v>0</v>
      </c>
      <c r="E54" s="1249">
        <v>3</v>
      </c>
      <c r="F54" s="1249">
        <v>1418844</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47</v>
      </c>
      <c r="D57" s="1249">
        <v>2044809.6</v>
      </c>
      <c r="E57" s="1249">
        <v>121</v>
      </c>
      <c r="F57" s="1249">
        <v>3913832.2519999999</v>
      </c>
    </row>
    <row r="58" spans="1:6">
      <c r="A58" s="1248" t="s">
        <v>48</v>
      </c>
      <c r="B58" s="1248" t="s">
        <v>50</v>
      </c>
      <c r="C58" s="1249">
        <v>39</v>
      </c>
      <c r="D58" s="1249">
        <v>1768005</v>
      </c>
      <c r="E58" s="1249">
        <v>56</v>
      </c>
      <c r="F58" s="1249">
        <v>1067743</v>
      </c>
    </row>
    <row r="59" spans="1:6">
      <c r="A59" s="1248" t="s">
        <v>48</v>
      </c>
      <c r="B59" s="1248" t="s">
        <v>51</v>
      </c>
      <c r="C59" s="1249">
        <v>108</v>
      </c>
      <c r="D59" s="1249">
        <v>4698124.2</v>
      </c>
      <c r="E59" s="1249">
        <v>256</v>
      </c>
      <c r="F59" s="1249">
        <v>10410596.16</v>
      </c>
    </row>
    <row r="60" spans="1:6">
      <c r="A60" s="1248" t="s">
        <v>48</v>
      </c>
      <c r="B60" s="1248" t="s">
        <v>52</v>
      </c>
      <c r="C60" s="1249">
        <v>53</v>
      </c>
      <c r="D60" s="1249">
        <v>4361991.7139999997</v>
      </c>
      <c r="E60" s="1249">
        <v>97</v>
      </c>
      <c r="F60" s="1249">
        <v>2401570</v>
      </c>
    </row>
    <row r="61" spans="1:6">
      <c r="A61" s="1248" t="s">
        <v>48</v>
      </c>
      <c r="B61" s="1248" t="s">
        <v>53</v>
      </c>
      <c r="C61" s="1249">
        <v>137</v>
      </c>
      <c r="D61" s="1249">
        <v>9216182.4649999999</v>
      </c>
      <c r="E61" s="1249">
        <v>334</v>
      </c>
      <c r="F61" s="1249">
        <v>10987240.716</v>
      </c>
    </row>
    <row r="62" spans="1:6">
      <c r="A62" s="1248" t="s">
        <v>48</v>
      </c>
      <c r="B62" s="1248" t="s">
        <v>54</v>
      </c>
      <c r="C62" s="1249">
        <v>10</v>
      </c>
      <c r="D62" s="1249">
        <v>978641</v>
      </c>
      <c r="E62" s="1249">
        <v>13</v>
      </c>
      <c r="F62" s="1249">
        <v>455600.51799999998</v>
      </c>
    </row>
    <row r="63" spans="1:6">
      <c r="A63" s="1248" t="s">
        <v>48</v>
      </c>
      <c r="B63" s="1248" t="s">
        <v>28</v>
      </c>
      <c r="C63" s="1249">
        <v>0</v>
      </c>
      <c r="D63" s="1249">
        <v>0</v>
      </c>
      <c r="E63" s="1249">
        <v>0</v>
      </c>
      <c r="F63" s="1249">
        <v>0</v>
      </c>
    </row>
    <row r="64" spans="1:6">
      <c r="A64" s="1248" t="s">
        <v>55</v>
      </c>
      <c r="B64" s="1248" t="s">
        <v>56</v>
      </c>
      <c r="C64" s="1249">
        <v>0</v>
      </c>
      <c r="D64" s="1249">
        <v>0</v>
      </c>
      <c r="E64" s="1249">
        <v>0</v>
      </c>
      <c r="F64" s="1249">
        <v>0</v>
      </c>
    </row>
    <row r="65" spans="1:6">
      <c r="A65" s="1248" t="s">
        <v>55</v>
      </c>
      <c r="B65" s="1248" t="s">
        <v>28</v>
      </c>
      <c r="C65" s="1249">
        <v>1</v>
      </c>
      <c r="D65" s="1249">
        <v>40043</v>
      </c>
      <c r="E65" s="1249">
        <v>0</v>
      </c>
      <c r="F65" s="1249">
        <v>0</v>
      </c>
    </row>
    <row r="66" spans="1:6">
      <c r="A66" s="1248" t="s">
        <v>55</v>
      </c>
      <c r="B66" s="1248" t="s">
        <v>57</v>
      </c>
      <c r="C66" s="1249">
        <v>0</v>
      </c>
      <c r="D66" s="1249">
        <v>0</v>
      </c>
      <c r="E66" s="1249">
        <v>14</v>
      </c>
      <c r="F66" s="1249">
        <v>558661</v>
      </c>
    </row>
    <row r="67" spans="1:6">
      <c r="A67" s="1248" t="s">
        <v>55</v>
      </c>
      <c r="B67" s="1248" t="s">
        <v>58</v>
      </c>
      <c r="C67" s="1249">
        <v>0</v>
      </c>
      <c r="D67" s="1249">
        <v>0</v>
      </c>
      <c r="E67" s="1249">
        <v>0</v>
      </c>
      <c r="F67" s="1249">
        <v>0</v>
      </c>
    </row>
    <row r="68" spans="1:6">
      <c r="A68" s="1243" t="s">
        <v>55</v>
      </c>
      <c r="B68" s="1243" t="s">
        <v>59</v>
      </c>
      <c r="C68" s="1251">
        <v>10</v>
      </c>
      <c r="D68" s="1251">
        <v>579824</v>
      </c>
      <c r="E68" s="1251">
        <v>26</v>
      </c>
      <c r="F68" s="1251">
        <v>473903.66499999998</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46167542</v>
      </c>
      <c r="E73" s="439"/>
      <c r="F73" s="322"/>
    </row>
    <row r="74" spans="1:6">
      <c r="A74" s="1248" t="s">
        <v>63</v>
      </c>
      <c r="B74" s="1248" t="s">
        <v>617</v>
      </c>
      <c r="C74" s="1261" t="s">
        <v>619</v>
      </c>
      <c r="D74" s="1249">
        <v>3017993</v>
      </c>
      <c r="E74" s="439"/>
      <c r="F74" s="322"/>
    </row>
    <row r="75" spans="1:6">
      <c r="A75" s="1248" t="s">
        <v>64</v>
      </c>
      <c r="B75" s="1248" t="s">
        <v>616</v>
      </c>
      <c r="C75" s="1261" t="s">
        <v>620</v>
      </c>
      <c r="D75" s="1249">
        <v>42976509</v>
      </c>
      <c r="E75" s="439"/>
      <c r="F75" s="322"/>
    </row>
    <row r="76" spans="1:6">
      <c r="A76" s="1248" t="s">
        <v>64</v>
      </c>
      <c r="B76" s="1248" t="s">
        <v>617</v>
      </c>
      <c r="C76" s="1261" t="s">
        <v>621</v>
      </c>
      <c r="D76" s="1249">
        <v>1302181</v>
      </c>
      <c r="E76" s="439"/>
      <c r="F76" s="322"/>
    </row>
    <row r="77" spans="1:6">
      <c r="A77" s="1248" t="s">
        <v>65</v>
      </c>
      <c r="B77" s="1248" t="s">
        <v>616</v>
      </c>
      <c r="C77" s="1261" t="s">
        <v>622</v>
      </c>
      <c r="D77" s="1249">
        <v>51701664</v>
      </c>
      <c r="E77" s="439"/>
      <c r="F77" s="322"/>
    </row>
    <row r="78" spans="1:6">
      <c r="A78" s="1243" t="s">
        <v>65</v>
      </c>
      <c r="B78" s="1243" t="s">
        <v>617</v>
      </c>
      <c r="C78" s="1243" t="s">
        <v>623</v>
      </c>
      <c r="D78" s="1251">
        <v>11034080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528090</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43405.692756416734</v>
      </c>
      <c r="C90" s="322"/>
      <c r="D90" s="322"/>
      <c r="E90" s="322"/>
      <c r="F90" s="322"/>
    </row>
    <row r="91" spans="1:6">
      <c r="A91" s="1248" t="s">
        <v>67</v>
      </c>
      <c r="B91" s="1249">
        <v>5655.2001061448873</v>
      </c>
      <c r="C91" s="322"/>
      <c r="D91" s="322"/>
      <c r="E91" s="322"/>
      <c r="F91" s="322"/>
    </row>
    <row r="92" spans="1:6">
      <c r="A92" s="1243" t="s">
        <v>68</v>
      </c>
      <c r="B92" s="1244">
        <v>3778.063991777924</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1159</v>
      </c>
      <c r="C97" s="322"/>
      <c r="D97" s="322"/>
      <c r="E97" s="322"/>
      <c r="F97" s="322"/>
    </row>
    <row r="98" spans="1:6">
      <c r="A98" s="1248" t="s">
        <v>71</v>
      </c>
      <c r="B98" s="1249">
        <v>3</v>
      </c>
      <c r="C98" s="322"/>
      <c r="D98" s="322"/>
      <c r="E98" s="322"/>
      <c r="F98" s="322"/>
    </row>
    <row r="99" spans="1:6">
      <c r="A99" s="1248" t="s">
        <v>72</v>
      </c>
      <c r="B99" s="1249">
        <v>69</v>
      </c>
      <c r="C99" s="322"/>
      <c r="D99" s="322"/>
      <c r="E99" s="322"/>
      <c r="F99" s="322"/>
    </row>
    <row r="100" spans="1:6">
      <c r="A100" s="1248" t="s">
        <v>73</v>
      </c>
      <c r="B100" s="1249">
        <v>285</v>
      </c>
      <c r="C100" s="322"/>
      <c r="D100" s="322"/>
      <c r="E100" s="322"/>
      <c r="F100" s="322"/>
    </row>
    <row r="101" spans="1:6">
      <c r="A101" s="1248" t="s">
        <v>74</v>
      </c>
      <c r="B101" s="1249">
        <v>73</v>
      </c>
      <c r="C101" s="322"/>
      <c r="D101" s="322"/>
      <c r="E101" s="322"/>
      <c r="F101" s="322"/>
    </row>
    <row r="102" spans="1:6">
      <c r="A102" s="1248" t="s">
        <v>75</v>
      </c>
      <c r="B102" s="1249">
        <v>75</v>
      </c>
      <c r="C102" s="322"/>
      <c r="D102" s="322"/>
      <c r="E102" s="322"/>
      <c r="F102" s="322"/>
    </row>
    <row r="103" spans="1:6">
      <c r="A103" s="1248" t="s">
        <v>76</v>
      </c>
      <c r="B103" s="1249">
        <v>140</v>
      </c>
      <c r="C103" s="322"/>
      <c r="D103" s="322"/>
      <c r="E103" s="322"/>
      <c r="F103" s="322"/>
    </row>
    <row r="104" spans="1:6">
      <c r="A104" s="1248" t="s">
        <v>77</v>
      </c>
      <c r="B104" s="1249">
        <v>4386</v>
      </c>
      <c r="C104" s="322"/>
      <c r="D104" s="322"/>
      <c r="E104" s="322"/>
      <c r="F104" s="322"/>
    </row>
    <row r="105" spans="1:6">
      <c r="A105" s="1243" t="s">
        <v>78</v>
      </c>
      <c r="B105" s="1251">
        <v>4</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0</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42</v>
      </c>
      <c r="C123" s="1249">
        <v>55</v>
      </c>
      <c r="D123" s="322"/>
      <c r="E123" s="322"/>
      <c r="F123" s="322"/>
    </row>
    <row r="124" spans="1:6">
      <c r="A124" s="1248" t="s">
        <v>88</v>
      </c>
      <c r="B124" s="1249">
        <v>1</v>
      </c>
      <c r="C124" s="1249">
        <v>0</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379</v>
      </c>
      <c r="C129" s="322"/>
      <c r="D129" s="322"/>
      <c r="E129" s="322"/>
      <c r="F129" s="322"/>
    </row>
    <row r="130" spans="1:6">
      <c r="A130" s="1248" t="s">
        <v>283</v>
      </c>
      <c r="B130" s="1249">
        <v>2</v>
      </c>
      <c r="C130" s="322"/>
      <c r="D130" s="322"/>
      <c r="E130" s="322"/>
      <c r="F130" s="322"/>
    </row>
    <row r="131" spans="1:6">
      <c r="A131" s="1248" t="s">
        <v>284</v>
      </c>
      <c r="B131" s="1249">
        <v>1</v>
      </c>
      <c r="C131" s="322"/>
      <c r="D131" s="322"/>
      <c r="E131" s="322"/>
      <c r="F131" s="322"/>
    </row>
    <row r="132" spans="1:6">
      <c r="A132" s="1243" t="s">
        <v>285</v>
      </c>
      <c r="B132" s="1244">
        <v>50</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182870.3428812252</v>
      </c>
      <c r="C3" s="43" t="s">
        <v>163</v>
      </c>
      <c r="D3" s="43"/>
      <c r="E3" s="153"/>
      <c r="F3" s="43"/>
      <c r="G3" s="43"/>
      <c r="H3" s="43"/>
      <c r="I3" s="43"/>
      <c r="J3" s="43"/>
      <c r="K3" s="96"/>
    </row>
    <row r="4" spans="1:11">
      <c r="A4" s="348" t="s">
        <v>164</v>
      </c>
      <c r="B4" s="49">
        <f>IF(ISERROR('SEAP template'!B78+'SEAP template'!C78),0,'SEAP template'!B78+'SEAP template'!C78)</f>
        <v>52862.806854339542</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5.6678823529411773</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0.15714594773281335</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8.0969747899159685</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34.071428571428577</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0.23764705882352943</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1418.8440000000001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1418.8440000000001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0.15714594773281335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222.96558506501583</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25837.613300000001</v>
      </c>
      <c r="C5" s="17">
        <f>IF(ISERROR('Eigen informatie GS &amp; warmtenet'!B57),0,'Eigen informatie GS &amp; warmtenet'!B57)</f>
        <v>0</v>
      </c>
      <c r="D5" s="30">
        <f>(SUM(HH_hh_gas_kWh,HH_rest_gas_kWh)/1000)*0.902</f>
        <v>47689.676681900004</v>
      </c>
      <c r="E5" s="17">
        <f>B32*B41</f>
        <v>2345.387571209425</v>
      </c>
      <c r="F5" s="17">
        <f>B36*B45</f>
        <v>54364.259151107064</v>
      </c>
      <c r="G5" s="18"/>
      <c r="H5" s="17"/>
      <c r="I5" s="17"/>
      <c r="J5" s="17">
        <f>B35*B44+C35*C44</f>
        <v>279.38440477556122</v>
      </c>
      <c r="K5" s="17"/>
      <c r="L5" s="17"/>
      <c r="M5" s="17"/>
      <c r="N5" s="17">
        <f>B34*B43+C34*C43</f>
        <v>11903.604087642558</v>
      </c>
      <c r="O5" s="17">
        <f>B52*B53*B54</f>
        <v>678.48666666666679</v>
      </c>
      <c r="P5" s="17">
        <f>B60*B61*B62/1000-B60*B61*B62/1000/B63</f>
        <v>1773.2</v>
      </c>
    </row>
    <row r="6" spans="1:16">
      <c r="A6" s="16" t="s">
        <v>582</v>
      </c>
      <c r="B6" s="716">
        <f>kWh_PV_kleiner_dan_10kW</f>
        <v>5655.2001061448873</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31492.813406144887</v>
      </c>
      <c r="C8" s="21">
        <f>C5</f>
        <v>0</v>
      </c>
      <c r="D8" s="21">
        <f>D5</f>
        <v>47689.676681900004</v>
      </c>
      <c r="E8" s="21">
        <f>E5</f>
        <v>2345.387571209425</v>
      </c>
      <c r="F8" s="21">
        <f>F5</f>
        <v>54364.259151107064</v>
      </c>
      <c r="G8" s="21"/>
      <c r="H8" s="21"/>
      <c r="I8" s="21"/>
      <c r="J8" s="21">
        <f>J5</f>
        <v>279.38440477556122</v>
      </c>
      <c r="K8" s="21"/>
      <c r="L8" s="21">
        <f>L5</f>
        <v>0</v>
      </c>
      <c r="M8" s="21">
        <f>M5</f>
        <v>0</v>
      </c>
      <c r="N8" s="21">
        <f>N5</f>
        <v>11903.604087642558</v>
      </c>
      <c r="O8" s="21">
        <f>O5</f>
        <v>678.48666666666679</v>
      </c>
      <c r="P8" s="21">
        <f>P5</f>
        <v>1773.2</v>
      </c>
    </row>
    <row r="9" spans="1:16">
      <c r="B9" s="19"/>
      <c r="C9" s="19"/>
      <c r="D9" s="253"/>
      <c r="E9" s="19"/>
      <c r="F9" s="19"/>
      <c r="G9" s="19"/>
      <c r="H9" s="19"/>
      <c r="I9" s="19"/>
      <c r="J9" s="19"/>
      <c r="K9" s="19"/>
      <c r="L9" s="19"/>
      <c r="M9" s="19"/>
      <c r="N9" s="19"/>
      <c r="O9" s="19"/>
      <c r="P9" s="19"/>
    </row>
    <row r="10" spans="1:16">
      <c r="A10" s="24" t="s">
        <v>207</v>
      </c>
      <c r="B10" s="25">
        <f ca="1">'EF ele_warmte'!B12</f>
        <v>0.15714594773281335</v>
      </c>
      <c r="C10" s="25">
        <f ca="1">'EF ele_warmte'!B22</f>
        <v>0.23764705882352943</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4948.9680094812875</v>
      </c>
      <c r="C12" s="23">
        <f ca="1">C10*C8</f>
        <v>0</v>
      </c>
      <c r="D12" s="23">
        <f>D8*D10</f>
        <v>9633.3146897438019</v>
      </c>
      <c r="E12" s="23">
        <f>E10*E8</f>
        <v>532.40297866453955</v>
      </c>
      <c r="F12" s="23">
        <f>F10*F8</f>
        <v>14515.257193345587</v>
      </c>
      <c r="G12" s="23"/>
      <c r="H12" s="23"/>
      <c r="I12" s="23"/>
      <c r="J12" s="23">
        <f>J10*J8</f>
        <v>98.90207929054867</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7742</v>
      </c>
      <c r="C26" s="36"/>
      <c r="D26" s="224"/>
    </row>
    <row r="27" spans="1:5" s="15" customFormat="1">
      <c r="A27" s="226" t="s">
        <v>736</v>
      </c>
      <c r="B27" s="37">
        <f>SUM(HH_hh_gas_aantal,HH_rest_gas_aantal)</f>
        <v>3909</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3713.55</v>
      </c>
      <c r="C31" s="34" t="s">
        <v>104</v>
      </c>
      <c r="D31" s="170"/>
    </row>
    <row r="32" spans="1:5">
      <c r="A32" s="167" t="s">
        <v>72</v>
      </c>
      <c r="B32" s="33">
        <f>IF((B21*($B$26-($B$27-0.05*$B$27)-$B$60))&lt;0,0,B21*($B$26-($B$27-0.05*$B$27)-$B$60))</f>
        <v>43.3404538012473</v>
      </c>
      <c r="C32" s="34" t="s">
        <v>104</v>
      </c>
      <c r="D32" s="170"/>
    </row>
    <row r="33" spans="1:6">
      <c r="A33" s="167" t="s">
        <v>73</v>
      </c>
      <c r="B33" s="33">
        <f>IF((B22*($B$26-($B$27-0.05*$B$27)-$B$60))&lt;0,0,B22*($B$26-($B$27-0.05*$B$27)-$B$60))</f>
        <v>901.08443050976246</v>
      </c>
      <c r="C33" s="34" t="s">
        <v>104</v>
      </c>
      <c r="D33" s="170"/>
    </row>
    <row r="34" spans="1:6">
      <c r="A34" s="167" t="s">
        <v>74</v>
      </c>
      <c r="B34" s="33">
        <f>IF((B24*($B$26-($B$27-0.05*$B$27)-$B$60))&lt;0,0,B24*($B$26-($B$27-0.05*$B$27)-$B$60))</f>
        <v>351.69016409100561</v>
      </c>
      <c r="C34" s="33">
        <f>B26*C24</f>
        <v>1371.2989532578931</v>
      </c>
      <c r="D34" s="229"/>
    </row>
    <row r="35" spans="1:6">
      <c r="A35" s="167" t="s">
        <v>76</v>
      </c>
      <c r="B35" s="33">
        <f>IF((B19*($B$26-($B$27-0.05*$B$27)-$B$60))&lt;0,0,B19*($B$26-($B$27-0.05*$B$27)-$B$60))</f>
        <v>32.804050097048282</v>
      </c>
      <c r="C35" s="33">
        <f>B35/2</f>
        <v>16.402025048524141</v>
      </c>
      <c r="D35" s="229"/>
    </row>
    <row r="36" spans="1:6">
      <c r="A36" s="167" t="s">
        <v>77</v>
      </c>
      <c r="B36" s="33">
        <f>IF((B18*($B$26-($B$27-0.05*$B$27)-$B$60))&lt;0,0,B18*($B$26-($B$27-0.05*$B$27)-$B$60))</f>
        <v>2606.5309015009361</v>
      </c>
      <c r="C36" s="34" t="s">
        <v>104</v>
      </c>
      <c r="D36" s="170"/>
    </row>
    <row r="37" spans="1:6">
      <c r="A37" s="167" t="s">
        <v>78</v>
      </c>
      <c r="B37" s="33">
        <f>B60</f>
        <v>93</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434</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93</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29236.582645999999</v>
      </c>
      <c r="C5" s="17">
        <f>IF(ISERROR('Eigen informatie GS &amp; warmtenet'!B58),0,'Eigen informatie GS &amp; warmtenet'!B58)</f>
        <v>0</v>
      </c>
      <c r="D5" s="30">
        <f>SUM(D6:D12)</f>
        <v>20807.114089057999</v>
      </c>
      <c r="E5" s="17">
        <f>SUM(E6:E12)</f>
        <v>390.53199205291821</v>
      </c>
      <c r="F5" s="17">
        <f>SUM(F6:F12)</f>
        <v>5272.9566010410254</v>
      </c>
      <c r="G5" s="18"/>
      <c r="H5" s="17"/>
      <c r="I5" s="17"/>
      <c r="J5" s="17">
        <f>SUM(J6:J12)</f>
        <v>4.2966354273260683E-2</v>
      </c>
      <c r="K5" s="17"/>
      <c r="L5" s="17"/>
      <c r="M5" s="17"/>
      <c r="N5" s="17">
        <f>SUM(N6:N12)</f>
        <v>1726.0710351857745</v>
      </c>
      <c r="O5" s="17">
        <f>B38*B39*B40</f>
        <v>3.1266666666666669</v>
      </c>
      <c r="P5" s="17">
        <f>B46*B47*B48/1000-B46*B47*B48/1000/B49</f>
        <v>19.066666666666666</v>
      </c>
      <c r="R5" s="32"/>
    </row>
    <row r="6" spans="1:18">
      <c r="A6" s="32" t="s">
        <v>53</v>
      </c>
      <c r="B6" s="37">
        <f>B26</f>
        <v>10987.240716</v>
      </c>
      <c r="C6" s="33"/>
      <c r="D6" s="37">
        <f>IF(ISERROR(TER_kantoor_gas_kWh/1000),0,TER_kantoor_gas_kWh/1000)*0.902</f>
        <v>8312.9965834300001</v>
      </c>
      <c r="E6" s="33">
        <f>$C$26*'E Balans VL '!I12/100/3.6*1000000</f>
        <v>-9.0219547940299414E-4</v>
      </c>
      <c r="F6" s="33">
        <f>$C$26*('E Balans VL '!L12+'E Balans VL '!N12)/100/3.6*1000000</f>
        <v>1392.4281839676994</v>
      </c>
      <c r="G6" s="34"/>
      <c r="H6" s="33"/>
      <c r="I6" s="33"/>
      <c r="J6" s="33">
        <f>$C$26*('E Balans VL '!D12+'E Balans VL '!E12)/100/3.6*1000000</f>
        <v>0</v>
      </c>
      <c r="K6" s="33"/>
      <c r="L6" s="33"/>
      <c r="M6" s="33"/>
      <c r="N6" s="33">
        <f>$C$26*'E Balans VL '!Y12/100/3.6*1000000</f>
        <v>13.476500625127365</v>
      </c>
      <c r="O6" s="33"/>
      <c r="P6" s="33"/>
      <c r="R6" s="32"/>
    </row>
    <row r="7" spans="1:18">
      <c r="A7" s="32" t="s">
        <v>52</v>
      </c>
      <c r="B7" s="37">
        <f t="shared" ref="B7:B12" si="0">B27</f>
        <v>2401.5700000000002</v>
      </c>
      <c r="C7" s="33"/>
      <c r="D7" s="37">
        <f>IF(ISERROR(TER_horeca_gas_kWh/1000),0,TER_horeca_gas_kWh/1000)*0.902</f>
        <v>3934.516526028</v>
      </c>
      <c r="E7" s="33">
        <f>$C$27*'E Balans VL '!I9/100/3.6*1000000</f>
        <v>27.643246840341934</v>
      </c>
      <c r="F7" s="33">
        <f>$C$27*('E Balans VL '!L9+'E Balans VL '!N9)/100/3.6*1000000</f>
        <v>309.64363446279054</v>
      </c>
      <c r="G7" s="34"/>
      <c r="H7" s="33"/>
      <c r="I7" s="33"/>
      <c r="J7" s="33">
        <f>$C$27*('E Balans VL '!D9+'E Balans VL '!E9)/100/3.6*1000000</f>
        <v>0</v>
      </c>
      <c r="K7" s="33"/>
      <c r="L7" s="33"/>
      <c r="M7" s="33"/>
      <c r="N7" s="33">
        <f>$C$27*'E Balans VL '!Y9/100/3.6*1000000</f>
        <v>25.348021004978669</v>
      </c>
      <c r="O7" s="33"/>
      <c r="P7" s="33"/>
      <c r="R7" s="32"/>
    </row>
    <row r="8" spans="1:18">
      <c r="A8" s="6" t="s">
        <v>51</v>
      </c>
      <c r="B8" s="37">
        <f t="shared" si="0"/>
        <v>10410.596160000001</v>
      </c>
      <c r="C8" s="33"/>
      <c r="D8" s="37">
        <f>IF(ISERROR(TER_handel_gas_kWh/1000),0,TER_handel_gas_kWh/1000)*0.902</f>
        <v>4237.7080284000003</v>
      </c>
      <c r="E8" s="33">
        <f>$C$28*'E Balans VL '!I13/100/3.6*1000000</f>
        <v>293.72877621078021</v>
      </c>
      <c r="F8" s="33">
        <f>$C$28*('E Balans VL '!L13+'E Balans VL '!N13)/100/3.6*1000000</f>
        <v>1047.0827829883826</v>
      </c>
      <c r="G8" s="34"/>
      <c r="H8" s="33"/>
      <c r="I8" s="33"/>
      <c r="J8" s="33">
        <f>$C$28*('E Balans VL '!D13+'E Balans VL '!E13)/100/3.6*1000000</f>
        <v>0</v>
      </c>
      <c r="K8" s="33"/>
      <c r="L8" s="33"/>
      <c r="M8" s="33"/>
      <c r="N8" s="33">
        <f>$C$28*'E Balans VL '!Y13/100/3.6*1000000</f>
        <v>14.370661894501811</v>
      </c>
      <c r="O8" s="33"/>
      <c r="P8" s="33"/>
      <c r="R8" s="32"/>
    </row>
    <row r="9" spans="1:18">
      <c r="A9" s="32" t="s">
        <v>50</v>
      </c>
      <c r="B9" s="37">
        <f t="shared" si="0"/>
        <v>1067.7429999999999</v>
      </c>
      <c r="C9" s="33"/>
      <c r="D9" s="37">
        <f>IF(ISERROR(TER_gezond_gas_kWh/1000),0,TER_gezond_gas_kWh/1000)*0.902</f>
        <v>1594.7405100000001</v>
      </c>
      <c r="E9" s="33">
        <f>$C$29*'E Balans VL '!I10/100/3.6*1000000</f>
        <v>2.1330217921243038</v>
      </c>
      <c r="F9" s="33">
        <f>$C$29*('E Balans VL '!L10+'E Balans VL '!N10)/100/3.6*1000000</f>
        <v>93.555704683333872</v>
      </c>
      <c r="G9" s="34"/>
      <c r="H9" s="33"/>
      <c r="I9" s="33"/>
      <c r="J9" s="33">
        <f>$C$29*('E Balans VL '!D10+'E Balans VL '!E10)/100/3.6*1000000</f>
        <v>0</v>
      </c>
      <c r="K9" s="33"/>
      <c r="L9" s="33"/>
      <c r="M9" s="33"/>
      <c r="N9" s="33">
        <f>$C$29*'E Balans VL '!Y10/100/3.6*1000000</f>
        <v>16.151147672839436</v>
      </c>
      <c r="O9" s="33"/>
      <c r="P9" s="33"/>
      <c r="R9" s="32"/>
    </row>
    <row r="10" spans="1:18">
      <c r="A10" s="32" t="s">
        <v>49</v>
      </c>
      <c r="B10" s="37">
        <f t="shared" si="0"/>
        <v>3913.8322519999997</v>
      </c>
      <c r="C10" s="33"/>
      <c r="D10" s="37">
        <f>IF(ISERROR(TER_ander_gas_kWh/1000),0,TER_ander_gas_kWh/1000)*0.902</f>
        <v>1844.4182592000002</v>
      </c>
      <c r="E10" s="33">
        <f>$C$30*'E Balans VL '!I14/100/3.6*1000000</f>
        <v>55.13645194256592</v>
      </c>
      <c r="F10" s="33">
        <f>$C$30*('E Balans VL '!L14+'E Balans VL '!N14)/100/3.6*1000000</f>
        <v>2374.1808227571669</v>
      </c>
      <c r="G10" s="34"/>
      <c r="H10" s="33"/>
      <c r="I10" s="33"/>
      <c r="J10" s="33">
        <f>$C$30*('E Balans VL '!D14+'E Balans VL '!E14)/100/3.6*1000000</f>
        <v>4.2966354273260683E-2</v>
      </c>
      <c r="K10" s="33"/>
      <c r="L10" s="33"/>
      <c r="M10" s="33"/>
      <c r="N10" s="33">
        <f>$C$30*'E Balans VL '!Y14/100/3.6*1000000</f>
        <v>1655.2819515620351</v>
      </c>
      <c r="O10" s="33"/>
      <c r="P10" s="33"/>
      <c r="R10" s="32"/>
    </row>
    <row r="11" spans="1:18">
      <c r="A11" s="32" t="s">
        <v>54</v>
      </c>
      <c r="B11" s="37">
        <f t="shared" si="0"/>
        <v>455.60051799999997</v>
      </c>
      <c r="C11" s="33"/>
      <c r="D11" s="37">
        <f>IF(ISERROR(TER_onderwijs_gas_kWh/1000),0,TER_onderwijs_gas_kWh/1000)*0.902</f>
        <v>882.73418200000003</v>
      </c>
      <c r="E11" s="33">
        <f>$C$31*'E Balans VL '!I11/100/3.6*1000000</f>
        <v>11.891397462585271</v>
      </c>
      <c r="F11" s="33">
        <f>$C$31*('E Balans VL '!L11+'E Balans VL '!N11)/100/3.6*1000000</f>
        <v>56.065472181652098</v>
      </c>
      <c r="G11" s="34"/>
      <c r="H11" s="33"/>
      <c r="I11" s="33"/>
      <c r="J11" s="33">
        <f>$C$31*('E Balans VL '!D11+'E Balans VL '!E11)/100/3.6*1000000</f>
        <v>0</v>
      </c>
      <c r="K11" s="33"/>
      <c r="L11" s="33"/>
      <c r="M11" s="33"/>
      <c r="N11" s="33">
        <f>$C$31*'E Balans VL '!Y11/100/3.6*1000000</f>
        <v>1.4427524262921152</v>
      </c>
      <c r="O11" s="33"/>
      <c r="P11" s="33"/>
      <c r="R11" s="32"/>
    </row>
    <row r="12" spans="1:18">
      <c r="A12" s="32" t="s">
        <v>248</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473</v>
      </c>
      <c r="B13" s="242">
        <f ca="1">'lokale energieproductie'!N38+'lokale energieproductie'!N31</f>
        <v>23.85</v>
      </c>
      <c r="C13" s="242">
        <f ca="1">'lokale energieproductie'!O38+'lokale energieproductie'!O31</f>
        <v>34.071428571428577</v>
      </c>
      <c r="D13" s="300">
        <f ca="1">('lokale energieproductie'!P31+'lokale energieproductie'!P38)*(-1)</f>
        <v>-68.142857142857153</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29260.432645999997</v>
      </c>
      <c r="C16" s="21">
        <f t="shared" ca="1" si="1"/>
        <v>34.071428571428577</v>
      </c>
      <c r="D16" s="21">
        <f t="shared" ca="1" si="1"/>
        <v>20738.97123191514</v>
      </c>
      <c r="E16" s="21">
        <f t="shared" si="1"/>
        <v>390.53199205291821</v>
      </c>
      <c r="F16" s="21">
        <f t="shared" ca="1" si="1"/>
        <v>5272.9566010410254</v>
      </c>
      <c r="G16" s="21">
        <f t="shared" si="1"/>
        <v>0</v>
      </c>
      <c r="H16" s="21">
        <f t="shared" si="1"/>
        <v>0</v>
      </c>
      <c r="I16" s="21">
        <f t="shared" si="1"/>
        <v>0</v>
      </c>
      <c r="J16" s="21">
        <f t="shared" si="1"/>
        <v>4.2966354273260683E-2</v>
      </c>
      <c r="K16" s="21">
        <f t="shared" si="1"/>
        <v>0</v>
      </c>
      <c r="L16" s="21">
        <f t="shared" ca="1" si="1"/>
        <v>0</v>
      </c>
      <c r="M16" s="21">
        <f t="shared" si="1"/>
        <v>0</v>
      </c>
      <c r="N16" s="21">
        <f t="shared" ca="1" si="1"/>
        <v>1726.0710351857745</v>
      </c>
      <c r="O16" s="21">
        <f>O5</f>
        <v>3.1266666666666669</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0.15714594773281335</v>
      </c>
      <c r="C18" s="25">
        <f ca="1">'EF ele_warmte'!B22</f>
        <v>0.23764705882352943</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4598.1584192278206</v>
      </c>
      <c r="C20" s="23">
        <f t="shared" ref="C20:P20" ca="1" si="2">C16*C18</f>
        <v>8.0969747899159685</v>
      </c>
      <c r="D20" s="23">
        <f t="shared" ca="1" si="2"/>
        <v>4189.2721888468586</v>
      </c>
      <c r="E20" s="23">
        <f t="shared" si="2"/>
        <v>88.650762196012437</v>
      </c>
      <c r="F20" s="23">
        <f t="shared" ca="1" si="2"/>
        <v>1407.8794124779538</v>
      </c>
      <c r="G20" s="23">
        <f t="shared" si="2"/>
        <v>0</v>
      </c>
      <c r="H20" s="23">
        <f t="shared" si="2"/>
        <v>0</v>
      </c>
      <c r="I20" s="23">
        <f t="shared" si="2"/>
        <v>0</v>
      </c>
      <c r="J20" s="23">
        <f t="shared" si="2"/>
        <v>1.521008941273428E-2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10987.240716</v>
      </c>
      <c r="C26" s="39">
        <f>IF(ISERROR(B26*3.6/1000000/'E Balans VL '!Z12*100),0,B26*3.6/1000000/'E Balans VL '!Z12*100)</f>
        <v>0.29787353822543083</v>
      </c>
      <c r="D26" s="232" t="s">
        <v>700</v>
      </c>
      <c r="F26" s="6"/>
    </row>
    <row r="27" spans="1:18">
      <c r="A27" s="227" t="s">
        <v>52</v>
      </c>
      <c r="B27" s="33">
        <f>IF(ISERROR(TER_horeca_ele_kWh/1000),0,TER_horeca_ele_kWh/1000)</f>
        <v>2401.5700000000002</v>
      </c>
      <c r="C27" s="39">
        <f>IF(ISERROR(B27*3.6/1000000/'E Balans VL '!Z9*100),0,B27*3.6/1000000/'E Balans VL '!Z9*100)</f>
        <v>0.18576395869994836</v>
      </c>
      <c r="D27" s="232" t="s">
        <v>700</v>
      </c>
      <c r="F27" s="6"/>
    </row>
    <row r="28" spans="1:18">
      <c r="A28" s="167" t="s">
        <v>51</v>
      </c>
      <c r="B28" s="33">
        <f>IF(ISERROR(TER_handel_ele_kWh/1000),0,TER_handel_ele_kWh/1000)</f>
        <v>10410.596160000001</v>
      </c>
      <c r="C28" s="39">
        <f>IF(ISERROR(B28*3.6/1000000/'E Balans VL '!Z13*100),0,B28*3.6/1000000/'E Balans VL '!Z13*100)</f>
        <v>0.30110136593821502</v>
      </c>
      <c r="D28" s="232" t="s">
        <v>700</v>
      </c>
      <c r="F28" s="6"/>
    </row>
    <row r="29" spans="1:18">
      <c r="A29" s="227" t="s">
        <v>50</v>
      </c>
      <c r="B29" s="33">
        <f>IF(ISERROR(TER_gezond_ele_kWh/1000),0,TER_gezond_ele_kWh/1000)</f>
        <v>1067.7429999999999</v>
      </c>
      <c r="C29" s="39">
        <f>IF(ISERROR(B29*3.6/1000000/'E Balans VL '!Z10*100),0,B29*3.6/1000000/'E Balans VL '!Z10*100)</f>
        <v>0.10996705765976386</v>
      </c>
      <c r="D29" s="232" t="s">
        <v>700</v>
      </c>
      <c r="F29" s="6"/>
    </row>
    <row r="30" spans="1:18">
      <c r="A30" s="227" t="s">
        <v>49</v>
      </c>
      <c r="B30" s="33">
        <f>IF(ISERROR(TER_ander_ele_kWh/1000),0,TER_ander_ele_kWh/1000)</f>
        <v>3913.8322519999997</v>
      </c>
      <c r="C30" s="39">
        <f>IF(ISERROR(B30*3.6/1000000/'E Balans VL '!Z14*100),0,B30*3.6/1000000/'E Balans VL '!Z14*100)</f>
        <v>0.17597141681881509</v>
      </c>
      <c r="D30" s="232" t="s">
        <v>700</v>
      </c>
      <c r="F30" s="6"/>
    </row>
    <row r="31" spans="1:18">
      <c r="A31" s="227" t="s">
        <v>54</v>
      </c>
      <c r="B31" s="33">
        <f>IF(ISERROR(TER_onderwijs_ele_kWh/1000),0,TER_onderwijs_ele_kWh/1000)</f>
        <v>455.60051799999997</v>
      </c>
      <c r="C31" s="39">
        <f>IF(ISERROR(B31*3.6/1000000/'E Balans VL '!Z11*100),0,B31*3.6/1000000/'E Balans VL '!Z11*100)</f>
        <v>0.12732527729774476</v>
      </c>
      <c r="D31" s="232" t="s">
        <v>700</v>
      </c>
    </row>
    <row r="32" spans="1:18">
      <c r="A32" s="227" t="s">
        <v>248</v>
      </c>
      <c r="B32" s="33">
        <f>IF(ISERROR(TER_rest_ele_kWh/1000),0,TER_rest_ele_kWh/1000)</f>
        <v>0</v>
      </c>
      <c r="C32" s="39">
        <f>IF(ISERROR(B32*3.6/1000000/'E Balans VL '!Z8*100),0,B32*3.6/1000000/'E Balans VL '!Z8*100)</f>
        <v>0</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2</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1</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119404.79844700001</v>
      </c>
      <c r="C5" s="17">
        <f>IF(ISERROR('Eigen informatie GS &amp; warmtenet'!B59),0,'Eigen informatie GS &amp; warmtenet'!B59)</f>
        <v>0</v>
      </c>
      <c r="D5" s="30">
        <f>SUM(D6:D15)</f>
        <v>14007.999636356</v>
      </c>
      <c r="E5" s="17">
        <f>SUM(E6:E15)</f>
        <v>3996.1046354694654</v>
      </c>
      <c r="F5" s="17">
        <f>SUM(F6:F15)</f>
        <v>26806.585518706041</v>
      </c>
      <c r="G5" s="18"/>
      <c r="H5" s="17"/>
      <c r="I5" s="17"/>
      <c r="J5" s="17">
        <f>SUM(J6:J15)</f>
        <v>137.11313152327045</v>
      </c>
      <c r="K5" s="17"/>
      <c r="L5" s="17"/>
      <c r="M5" s="17"/>
      <c r="N5" s="17">
        <f>SUM(N6:N15)</f>
        <v>18674.300417601826</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26242.577282999999</v>
      </c>
      <c r="C8" s="33"/>
      <c r="D8" s="37">
        <f>IF( ISERROR(IND_metaal_Gas_kWH/1000),0,IND_metaal_Gas_kWH/1000)*0.902</f>
        <v>1335.7276020000002</v>
      </c>
      <c r="E8" s="33">
        <f>C30*'E Balans VL '!I18/100/3.6*1000000</f>
        <v>238.15942913311679</v>
      </c>
      <c r="F8" s="33">
        <f>C30*'E Balans VL '!L18/100/3.6*1000000+C30*'E Balans VL '!N18/100/3.6*1000000</f>
        <v>2415.4214950604023</v>
      </c>
      <c r="G8" s="34"/>
      <c r="H8" s="33"/>
      <c r="I8" s="33"/>
      <c r="J8" s="40">
        <f>C30*'E Balans VL '!D18/100/3.6*1000000+C30*'E Balans VL '!E18/100/3.6*1000000</f>
        <v>0</v>
      </c>
      <c r="K8" s="33"/>
      <c r="L8" s="33"/>
      <c r="M8" s="33"/>
      <c r="N8" s="33">
        <f>C30*'E Balans VL '!Y18/100/3.6*1000000</f>
        <v>383.12096264081441</v>
      </c>
      <c r="O8" s="33"/>
      <c r="P8" s="33"/>
      <c r="R8" s="32"/>
    </row>
    <row r="9" spans="1:18">
      <c r="A9" s="6" t="s">
        <v>32</v>
      </c>
      <c r="B9" s="37">
        <f t="shared" si="0"/>
        <v>2558.29765</v>
      </c>
      <c r="C9" s="33"/>
      <c r="D9" s="37">
        <f>IF( ISERROR(IND_andere_gas_kWh/1000),0,IND_andere_gas_kWh/1000)*0.902</f>
        <v>1333.3730662999999</v>
      </c>
      <c r="E9" s="33">
        <f>C31*'E Balans VL '!I19/100/3.6*1000000</f>
        <v>14.848937726358521</v>
      </c>
      <c r="F9" s="33">
        <f>C31*'E Balans VL '!L19/100/3.6*1000000+C31*'E Balans VL '!N19/100/3.6*1000000</f>
        <v>1687.1685737033838</v>
      </c>
      <c r="G9" s="34"/>
      <c r="H9" s="33"/>
      <c r="I9" s="33"/>
      <c r="J9" s="40">
        <f>C31*'E Balans VL '!D19/100/3.6*1000000+C31*'E Balans VL '!E19/100/3.6*1000000</f>
        <v>0</v>
      </c>
      <c r="K9" s="33"/>
      <c r="L9" s="33"/>
      <c r="M9" s="33"/>
      <c r="N9" s="33">
        <f>C31*'E Balans VL '!Y19/100/3.6*1000000</f>
        <v>118.47698799397081</v>
      </c>
      <c r="O9" s="33"/>
      <c r="P9" s="33"/>
      <c r="R9" s="32"/>
    </row>
    <row r="10" spans="1:18">
      <c r="A10" s="6" t="s">
        <v>40</v>
      </c>
      <c r="B10" s="37">
        <f t="shared" si="0"/>
        <v>451.89699999999999</v>
      </c>
      <c r="C10" s="33"/>
      <c r="D10" s="37">
        <f>IF( ISERROR(IND_voed_gas_kWh/1000),0,IND_voed_gas_kWh/1000)*0.902</f>
        <v>476.006146</v>
      </c>
      <c r="E10" s="33">
        <f>C32*'E Balans VL '!I20/100/3.6*1000000</f>
        <v>0.95767515120491031</v>
      </c>
      <c r="F10" s="33">
        <f>C32*'E Balans VL '!L20/100/3.6*1000000+C32*'E Balans VL '!N20/100/3.6*1000000</f>
        <v>28.719921062690812</v>
      </c>
      <c r="G10" s="34"/>
      <c r="H10" s="33"/>
      <c r="I10" s="33"/>
      <c r="J10" s="40">
        <f>C32*'E Balans VL '!D20/100/3.6*1000000+C32*'E Balans VL '!E20/100/3.6*1000000</f>
        <v>0</v>
      </c>
      <c r="K10" s="33"/>
      <c r="L10" s="33"/>
      <c r="M10" s="33"/>
      <c r="N10" s="33">
        <f>C32*'E Balans VL '!Y20/100/3.6*1000000</f>
        <v>13.099993514597781</v>
      </c>
      <c r="O10" s="33"/>
      <c r="P10" s="33"/>
      <c r="R10" s="32"/>
    </row>
    <row r="11" spans="1:18">
      <c r="A11" s="6" t="s">
        <v>39</v>
      </c>
      <c r="B11" s="37">
        <f t="shared" si="0"/>
        <v>383.87099999999998</v>
      </c>
      <c r="C11" s="33"/>
      <c r="D11" s="37">
        <f>IF( ISERROR(IND_textiel_gas_kWh/1000),0,IND_textiel_gas_kWh/1000)*0.902</f>
        <v>467.91159800000003</v>
      </c>
      <c r="E11" s="33">
        <f>C33*'E Balans VL '!I21/100/3.6*1000000</f>
        <v>1.2016742123240334</v>
      </c>
      <c r="F11" s="33">
        <f>C33*'E Balans VL '!L21/100/3.6*1000000+C33*'E Balans VL '!N21/100/3.6*1000000</f>
        <v>39.237938030002582</v>
      </c>
      <c r="G11" s="34"/>
      <c r="H11" s="33"/>
      <c r="I11" s="33"/>
      <c r="J11" s="40">
        <f>C33*'E Balans VL '!D21/100/3.6*1000000+C33*'E Balans VL '!E21/100/3.6*1000000</f>
        <v>0</v>
      </c>
      <c r="K11" s="33"/>
      <c r="L11" s="33"/>
      <c r="M11" s="33"/>
      <c r="N11" s="33">
        <f>C33*'E Balans VL '!Y21/100/3.6*1000000</f>
        <v>5.2997937546929011E-2</v>
      </c>
      <c r="O11" s="33"/>
      <c r="P11" s="33"/>
      <c r="R11" s="32"/>
    </row>
    <row r="12" spans="1:18">
      <c r="A12" s="6" t="s">
        <v>36</v>
      </c>
      <c r="B12" s="37">
        <f t="shared" si="0"/>
        <v>79737.634000000005</v>
      </c>
      <c r="C12" s="33"/>
      <c r="D12" s="37">
        <f>IF( ISERROR(IND_min_gas_kWh/1000),0,IND_min_gas_kWh/1000)*0.902</f>
        <v>6491.4835760279993</v>
      </c>
      <c r="E12" s="33">
        <f>C34*'E Balans VL '!I22/100/3.6*1000000</f>
        <v>1943.4463607686876</v>
      </c>
      <c r="F12" s="33">
        <f>C34*'E Balans VL '!L22/100/3.6*1000000+C34*'E Balans VL '!N22/100/3.6*1000000</f>
        <v>22493.248271003398</v>
      </c>
      <c r="G12" s="34"/>
      <c r="H12" s="33"/>
      <c r="I12" s="33"/>
      <c r="J12" s="40">
        <f>C34*'E Balans VL '!D22/100/3.6*1000000+C34*'E Balans VL '!E22/100/3.6*1000000</f>
        <v>136.3243347395217</v>
      </c>
      <c r="K12" s="33"/>
      <c r="L12" s="33"/>
      <c r="M12" s="33"/>
      <c r="N12" s="33">
        <f>C34*'E Balans VL '!Y22/100/3.6*1000000</f>
        <v>18160.781778470096</v>
      </c>
      <c r="O12" s="33"/>
      <c r="P12" s="33"/>
      <c r="R12" s="32"/>
    </row>
    <row r="13" spans="1:18">
      <c r="A13" s="6" t="s">
        <v>38</v>
      </c>
      <c r="B13" s="37">
        <f t="shared" si="0"/>
        <v>266.3338</v>
      </c>
      <c r="C13" s="33"/>
      <c r="D13" s="37">
        <f>IF( ISERROR(IND_papier_gas_kWh/1000),0,IND_papier_gas_kWh/1000)*0.902</f>
        <v>181.542834</v>
      </c>
      <c r="E13" s="33">
        <f>C35*'E Balans VL '!I23/100/3.6*1000000</f>
        <v>0.39312576864150378</v>
      </c>
      <c r="F13" s="33">
        <f>C35*'E Balans VL '!L23/100/3.6*1000000+C35*'E Balans VL '!N23/100/3.6*1000000</f>
        <v>6.8972413849911369</v>
      </c>
      <c r="G13" s="34"/>
      <c r="H13" s="33"/>
      <c r="I13" s="33"/>
      <c r="J13" s="40">
        <f>C35*'E Balans VL '!D23/100/3.6*1000000+C35*'E Balans VL '!E23/100/3.6*1000000</f>
        <v>4.2854398685648033E-2</v>
      </c>
      <c r="K13" s="33"/>
      <c r="L13" s="33"/>
      <c r="M13" s="33"/>
      <c r="N13" s="33">
        <f>C35*'E Balans VL '!Y23/100/3.6*1000000</f>
        <v>-12.096073715222339</v>
      </c>
      <c r="O13" s="33"/>
      <c r="P13" s="33"/>
      <c r="R13" s="32"/>
    </row>
    <row r="14" spans="1:18">
      <c r="A14" s="6" t="s">
        <v>33</v>
      </c>
      <c r="B14" s="37">
        <f t="shared" si="0"/>
        <v>9552.367714</v>
      </c>
      <c r="C14" s="33"/>
      <c r="D14" s="37">
        <f>IF( ISERROR(IND_chemie_gas_kWh/1000),0,IND_chemie_gas_kWh/1000)*0.902</f>
        <v>0</v>
      </c>
      <c r="E14" s="33">
        <f>C36*'E Balans VL '!I24/100/3.6*1000000</f>
        <v>1785.6380093261162</v>
      </c>
      <c r="F14" s="33">
        <f>C36*'E Balans VL '!L24/100/3.6*1000000+C36*'E Balans VL '!N24/100/3.6*1000000</f>
        <v>98.661605354026264</v>
      </c>
      <c r="G14" s="34"/>
      <c r="H14" s="33"/>
      <c r="I14" s="33"/>
      <c r="J14" s="40">
        <f>C36*'E Balans VL '!D24/100/3.6*1000000+C36*'E Balans VL '!E24/100/3.6*1000000</f>
        <v>0</v>
      </c>
      <c r="K14" s="33"/>
      <c r="L14" s="33"/>
      <c r="M14" s="33"/>
      <c r="N14" s="33">
        <f>C36*'E Balans VL '!Y24/100/3.6*1000000</f>
        <v>5.4300263226662553</v>
      </c>
      <c r="O14" s="33"/>
      <c r="P14" s="33"/>
      <c r="R14" s="32"/>
    </row>
    <row r="15" spans="1:18">
      <c r="A15" s="6" t="s">
        <v>258</v>
      </c>
      <c r="B15" s="37">
        <f t="shared" si="0"/>
        <v>211.82</v>
      </c>
      <c r="C15" s="33"/>
      <c r="D15" s="37">
        <f>IF( ISERROR(IND_rest_gas_kWh/1000),0,IND_rest_gas_kWh/1000)*0.902</f>
        <v>3721.9548140279999</v>
      </c>
      <c r="E15" s="33">
        <f>C37*'E Balans VL '!I15/100/3.6*1000000</f>
        <v>11.459423383015739</v>
      </c>
      <c r="F15" s="33">
        <f>C37*'E Balans VL '!L15/100/3.6*1000000+C37*'E Balans VL '!N15/100/3.6*1000000</f>
        <v>37.230473107145194</v>
      </c>
      <c r="G15" s="34"/>
      <c r="H15" s="33"/>
      <c r="I15" s="33"/>
      <c r="J15" s="40">
        <f>C37*'E Balans VL '!D15/100/3.6*1000000+C37*'E Balans VL '!E15/100/3.6*1000000</f>
        <v>0.74594238506309662</v>
      </c>
      <c r="K15" s="33"/>
      <c r="L15" s="33"/>
      <c r="M15" s="33"/>
      <c r="N15" s="33">
        <f>C37*'E Balans VL '!Y15/100/3.6*1000000</f>
        <v>5.4337444373601969</v>
      </c>
      <c r="O15" s="33"/>
      <c r="P15" s="33"/>
      <c r="R15" s="32"/>
    </row>
    <row r="16" spans="1:18">
      <c r="A16" s="16" t="s">
        <v>473</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119404.79844700001</v>
      </c>
      <c r="C18" s="21">
        <f>C5+C16</f>
        <v>0</v>
      </c>
      <c r="D18" s="21">
        <f>MAX((D5+D16),0)</f>
        <v>14007.999636356</v>
      </c>
      <c r="E18" s="21">
        <f>MAX((E5+E16),0)</f>
        <v>3996.1046354694654</v>
      </c>
      <c r="F18" s="21">
        <f>MAX((F5+F16),0)</f>
        <v>26806.585518706041</v>
      </c>
      <c r="G18" s="21"/>
      <c r="H18" s="21"/>
      <c r="I18" s="21"/>
      <c r="J18" s="21">
        <f>MAX((J5+J16),0)</f>
        <v>137.11313152327045</v>
      </c>
      <c r="K18" s="21"/>
      <c r="L18" s="21">
        <f>MAX((L5+L16),0)</f>
        <v>0</v>
      </c>
      <c r="M18" s="21"/>
      <c r="N18" s="21">
        <f>MAX((N5+N16),0)</f>
        <v>18674.300417601826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0.15714594773281335</v>
      </c>
      <c r="C20" s="25">
        <f ca="1">'EF ele_warmte'!B22</f>
        <v>0.23764705882352943</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18763.980215799376</v>
      </c>
      <c r="C22" s="23">
        <f ca="1">C18*C20</f>
        <v>0</v>
      </c>
      <c r="D22" s="23">
        <f>D18*D20</f>
        <v>2829.6159265439123</v>
      </c>
      <c r="E22" s="23">
        <f>E18*E20</f>
        <v>907.11575225156867</v>
      </c>
      <c r="F22" s="23">
        <f>F18*F20</f>
        <v>7157.3583334945133</v>
      </c>
      <c r="G22" s="23"/>
      <c r="H22" s="23"/>
      <c r="I22" s="23"/>
      <c r="J22" s="23">
        <f>J18*J20</f>
        <v>48.538048559237737</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26242.577282999999</v>
      </c>
      <c r="C30" s="39">
        <f>IF(ISERROR(B30*3.6/1000000/'E Balans VL '!Z18*100),0,B30*3.6/1000000/'E Balans VL '!Z18*100)</f>
        <v>1.521902018244619</v>
      </c>
      <c r="D30" s="232" t="s">
        <v>700</v>
      </c>
    </row>
    <row r="31" spans="1:18">
      <c r="A31" s="6" t="s">
        <v>32</v>
      </c>
      <c r="B31" s="37">
        <f>IF( ISERROR(IND_ander_ele_kWh/1000),0,IND_ander_ele_kWh/1000)</f>
        <v>2558.29765</v>
      </c>
      <c r="C31" s="39">
        <f>IF(ISERROR(B31*3.6/1000000/'E Balans VL '!Z19*100),0,B31*3.6/1000000/'E Balans VL '!Z19*100)</f>
        <v>0.10684413694959465</v>
      </c>
      <c r="D31" s="232" t="s">
        <v>700</v>
      </c>
    </row>
    <row r="32" spans="1:18">
      <c r="A32" s="167" t="s">
        <v>40</v>
      </c>
      <c r="B32" s="37">
        <f>IF( ISERROR(IND_voed_ele_kWh/1000),0,IND_voed_ele_kWh/1000)</f>
        <v>451.89699999999999</v>
      </c>
      <c r="C32" s="39">
        <f>IF(ISERROR(B32*3.6/1000000/'E Balans VL '!Z20*100),0,B32*3.6/1000000/'E Balans VL '!Z20*100)</f>
        <v>1.4016064415671724E-2</v>
      </c>
      <c r="D32" s="232" t="s">
        <v>700</v>
      </c>
    </row>
    <row r="33" spans="1:5">
      <c r="A33" s="167" t="s">
        <v>39</v>
      </c>
      <c r="B33" s="37">
        <f>IF( ISERROR(IND_textiel_ele_kWh/1000),0,IND_textiel_ele_kWh/1000)</f>
        <v>383.87099999999998</v>
      </c>
      <c r="C33" s="39">
        <f>IF(ISERROR(B33*3.6/1000000/'E Balans VL '!Z21*100),0,B33*3.6/1000000/'E Balans VL '!Z21*100)</f>
        <v>5.3204845278567878E-2</v>
      </c>
      <c r="D33" s="232" t="s">
        <v>700</v>
      </c>
    </row>
    <row r="34" spans="1:5">
      <c r="A34" s="167" t="s">
        <v>36</v>
      </c>
      <c r="B34" s="37">
        <f>IF( ISERROR(IND_min_ele_kWh/1000),0,IND_min_ele_kWh/1000)</f>
        <v>79737.634000000005</v>
      </c>
      <c r="C34" s="39">
        <f>IF(ISERROR(B34*3.6/1000000/'E Balans VL '!Z22*100),0,B34*3.6/1000000/'E Balans VL '!Z22*100)</f>
        <v>14.921483887573125</v>
      </c>
      <c r="D34" s="232" t="s">
        <v>700</v>
      </c>
    </row>
    <row r="35" spans="1:5">
      <c r="A35" s="167" t="s">
        <v>38</v>
      </c>
      <c r="B35" s="37">
        <f>IF( ISERROR(IND_papier_ele_kWh/1000),0,IND_papier_ele_kWh/1000)</f>
        <v>266.3338</v>
      </c>
      <c r="C35" s="39">
        <f>IF(ISERROR(B35*3.6/1000000/'E Balans VL '!Z22*100),0,B35*3.6/1000000/'E Balans VL '!Z22*100)</f>
        <v>4.9839646676952093E-2</v>
      </c>
      <c r="D35" s="232" t="s">
        <v>700</v>
      </c>
    </row>
    <row r="36" spans="1:5">
      <c r="A36" s="167" t="s">
        <v>33</v>
      </c>
      <c r="B36" s="37">
        <f>IF( ISERROR(IND_chemie_ele_kWh/1000),0,IND_chemie_ele_kWh/1000)</f>
        <v>9552.367714</v>
      </c>
      <c r="C36" s="39">
        <f>IF(ISERROR(B36*3.6/1000000/'E Balans VL '!Z24*100),0,B36*3.6/1000000/'E Balans VL '!Z24*100)</f>
        <v>0.2791787312424806</v>
      </c>
      <c r="D36" s="232" t="s">
        <v>700</v>
      </c>
    </row>
    <row r="37" spans="1:5">
      <c r="A37" s="167" t="s">
        <v>258</v>
      </c>
      <c r="B37" s="37">
        <f>IF( ISERROR(IND_rest_ele_kWh/1000),0,IND_rest_ele_kWh/1000)</f>
        <v>211.82</v>
      </c>
      <c r="C37" s="39">
        <f>IF(ISERROR(B37*3.6/1000000/'E Balans VL '!Z15*100),0,B37*3.6/1000000/'E Balans VL '!Z15*100)</f>
        <v>1.6515477405633812E-3</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513.09900000000005</v>
      </c>
      <c r="C5" s="17">
        <f>'Eigen informatie GS &amp; warmtenet'!B60</f>
        <v>0</v>
      </c>
      <c r="D5" s="30">
        <f>IF(ISERROR(SUM(LB_lb_gas_kWh,LB_rest_gas_kWh)/1000),0,SUM(LB_lb_gas_kWh,LB_rest_gas_kWh)/1000)*0.902</f>
        <v>483.19057600000002</v>
      </c>
      <c r="E5" s="17">
        <f>B17*'E Balans VL '!I25/3.6*1000000/100</f>
        <v>16.651749242092873</v>
      </c>
      <c r="F5" s="17">
        <f>B17*('E Balans VL '!L25/3.6*1000000+'E Balans VL '!N25/3.6*1000000)/100</f>
        <v>1892.9217762931075</v>
      </c>
      <c r="G5" s="18"/>
      <c r="H5" s="17"/>
      <c r="I5" s="17"/>
      <c r="J5" s="17">
        <f>('E Balans VL '!D25+'E Balans VL '!E25)/3.6*1000000*landbouw!B17/100</f>
        <v>134.93973223651031</v>
      </c>
      <c r="K5" s="17"/>
      <c r="L5" s="17">
        <f>L6*(-1)</f>
        <v>0</v>
      </c>
      <c r="M5" s="17"/>
      <c r="N5" s="17">
        <f>N6*(-1)</f>
        <v>0</v>
      </c>
      <c r="O5" s="17"/>
      <c r="P5" s="17"/>
      <c r="R5" s="32"/>
    </row>
    <row r="6" spans="1:18">
      <c r="A6" s="16" t="s">
        <v>473</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513.09900000000005</v>
      </c>
      <c r="C8" s="21">
        <f>C5+C6</f>
        <v>0</v>
      </c>
      <c r="D8" s="21">
        <f>MAX((D5+D6),0)</f>
        <v>483.19057600000002</v>
      </c>
      <c r="E8" s="21">
        <f>MAX((E5+E6),0)</f>
        <v>16.651749242092873</v>
      </c>
      <c r="F8" s="21">
        <f>MAX((F5+F6),0)</f>
        <v>1892.9217762931075</v>
      </c>
      <c r="G8" s="21"/>
      <c r="H8" s="21"/>
      <c r="I8" s="21"/>
      <c r="J8" s="21">
        <f>MAX((J5+J6),0)</f>
        <v>134.93973223651031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0.15714594773281335</v>
      </c>
      <c r="C10" s="31">
        <f ca="1">'EF ele_warmte'!B22</f>
        <v>0.23764705882352943</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80.631428635758809</v>
      </c>
      <c r="C12" s="23">
        <f ca="1">C8*C10</f>
        <v>0</v>
      </c>
      <c r="D12" s="23">
        <f>D8*D10</f>
        <v>97.604496352000012</v>
      </c>
      <c r="E12" s="23">
        <f>E8*E10</f>
        <v>3.7799470779550823</v>
      </c>
      <c r="F12" s="23">
        <f>F8*F10</f>
        <v>505.41011427025973</v>
      </c>
      <c r="G12" s="23"/>
      <c r="H12" s="23"/>
      <c r="I12" s="23"/>
      <c r="J12" s="23">
        <f>J8*J10</f>
        <v>47.768665211724645</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7.2810357899018643E-2</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151.26496676490487</v>
      </c>
      <c r="C26" s="242">
        <f>B26*'GWP N2O_CH4'!B5</f>
        <v>3176.5643020630023</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28.73834536707388</v>
      </c>
      <c r="C27" s="242">
        <f>B27*'GWP N2O_CH4'!B5</f>
        <v>603.50525270855144</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2.0477804427701587</v>
      </c>
      <c r="C28" s="242">
        <f>B28*'GWP N2O_CH4'!B4</f>
        <v>634.81193725874914</v>
      </c>
      <c r="D28" s="50"/>
    </row>
    <row r="29" spans="1:4">
      <c r="A29" s="41" t="s">
        <v>265</v>
      </c>
      <c r="B29" s="242">
        <f>B34*'ha_N2O bodem landbouw'!B4</f>
        <v>9.9059461734033611</v>
      </c>
      <c r="C29" s="242">
        <f>B29*'GWP N2O_CH4'!B4</f>
        <v>3070.8433137550419</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2.2605027793614597E-3</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2.9716947797182104E-4</v>
      </c>
      <c r="C5" s="427" t="s">
        <v>204</v>
      </c>
      <c r="D5" s="412">
        <f>SUM(D6:D11)</f>
        <v>5.0581979082759581E-4</v>
      </c>
      <c r="E5" s="412">
        <f>SUM(E6:E11)</f>
        <v>9.2403017743238947E-4</v>
      </c>
      <c r="F5" s="425" t="s">
        <v>204</v>
      </c>
      <c r="G5" s="412">
        <f>SUM(G6:G11)</f>
        <v>0.40594576004086697</v>
      </c>
      <c r="H5" s="412">
        <f>SUM(H6:H11)</f>
        <v>8.8119032366764438E-2</v>
      </c>
      <c r="I5" s="427" t="s">
        <v>204</v>
      </c>
      <c r="J5" s="427" t="s">
        <v>204</v>
      </c>
      <c r="K5" s="427" t="s">
        <v>204</v>
      </c>
      <c r="L5" s="427" t="s">
        <v>204</v>
      </c>
      <c r="M5" s="412">
        <f>SUM(M6:M11)</f>
        <v>2.6311811098513532E-2</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8.0979962769248356E-5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1.3682872720566922E-4</v>
      </c>
      <c r="E6" s="818">
        <f>vkm_GW_PW*SUMIFS(TableVerdeelsleutelVkm[LPG],TableVerdeelsleutelVkm[Voertuigtype],"Lichte voertuigen")*SUMIFS(TableECFTransport[EnergieConsumptieFactor (PJ per km)],TableECFTransport[Index],CONCATENATE($A6,"_LPG_LPG"))</f>
        <v>2.3784945049787123E-4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7.2038290555503925E-2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2.3723530657167907E-2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4.9073108963279839E-3</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8.827189712421551E-7</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2.8353145884606076E-2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5.6567124333368155E-7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1.6565510034056623E-3</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9.9687889344255353E-5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2.1565332575869766E-4</v>
      </c>
      <c r="E8" s="415">
        <f>vkm_NGW_PW*SUMIFS(TableVerdeelsleutelVkm[LPG],TableVerdeelsleutelVkm[Voertuigtype],"Lichte voertuigen")*SUMIFS(TableECFTransport[EnergieConsumptieFactor (PJ per km)],TableECFTransport[Index],CONCATENATE($A8,"_LPG_LPG"))</f>
        <v>3.578742282813348E-4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0.10122805717531343</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3.6527310150418824E-2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6.9896942836883379E-3</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3.8086896579650145E-7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1.56965224362666E-2</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2.9460063171243191E-7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9.1707899379873535E-4</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1.1201073032109416E-4</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1.5333773786322896E-4</v>
      </c>
      <c r="E10" s="415">
        <f>vkm_SW_PW*SUMIFS(TableVerdeelsleutelVkm[LPG],TableVerdeelsleutelVkm[Voertuigtype],"Lichte voertuigen")*SUMIFS(TableECFTransport[EnergieConsumptieFactor (PJ per km)],TableECFTransport[Index],CONCATENATE($A10,"_LPG_LPG"))</f>
        <v>3.2830649865318336E-4</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8.9893496970808284E-2</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2.7865202597199761E-2</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6.0724417459652198E-3</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3.2273076001845063E-6</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9.8736247018368639E-2</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2.1286901029022027E-6</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5.7687341753275929E-3</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82.547077214394733</v>
      </c>
      <c r="C14" s="21"/>
      <c r="D14" s="21">
        <f t="shared" ref="D14:M14" si="0">((D5)*10^9/3600)+D12</f>
        <v>140.50549745210995</v>
      </c>
      <c r="E14" s="21">
        <f t="shared" si="0"/>
        <v>256.67504928677488</v>
      </c>
      <c r="F14" s="21"/>
      <c r="G14" s="21">
        <f t="shared" si="0"/>
        <v>112762.71112246305</v>
      </c>
      <c r="H14" s="21">
        <f t="shared" si="0"/>
        <v>24477.508990767899</v>
      </c>
      <c r="I14" s="21"/>
      <c r="J14" s="21"/>
      <c r="K14" s="21"/>
      <c r="L14" s="21"/>
      <c r="M14" s="21">
        <f t="shared" si="0"/>
        <v>7308.8364162537591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0.15714594773281335</v>
      </c>
      <c r="C16" s="56">
        <f ca="1">'EF ele_warmte'!B22</f>
        <v>0.23764705882352943</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12.971938681429782</v>
      </c>
      <c r="C18" s="23"/>
      <c r="D18" s="23">
        <f t="shared" ref="D18:M18" si="1">D14*D16</f>
        <v>28.382110485326212</v>
      </c>
      <c r="E18" s="23">
        <f t="shared" si="1"/>
        <v>58.265236188097902</v>
      </c>
      <c r="F18" s="23"/>
      <c r="G18" s="23">
        <f t="shared" si="1"/>
        <v>30107.643869697637</v>
      </c>
      <c r="H18" s="23">
        <f t="shared" si="1"/>
        <v>6094.8997387012068</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6.9654102717147892E-5</v>
      </c>
      <c r="C50" s="311">
        <f t="shared" ref="C50:P50" si="2">SUM(C51:C52)</f>
        <v>0</v>
      </c>
      <c r="D50" s="311">
        <f t="shared" si="2"/>
        <v>0</v>
      </c>
      <c r="E50" s="311">
        <f t="shared" si="2"/>
        <v>0</v>
      </c>
      <c r="F50" s="311">
        <f t="shared" si="2"/>
        <v>0</v>
      </c>
      <c r="G50" s="311">
        <f t="shared" si="2"/>
        <v>6.5433116918607922E-3</v>
      </c>
      <c r="H50" s="311">
        <f t="shared" si="2"/>
        <v>0</v>
      </c>
      <c r="I50" s="311">
        <f t="shared" si="2"/>
        <v>0</v>
      </c>
      <c r="J50" s="311">
        <f t="shared" si="2"/>
        <v>0</v>
      </c>
      <c r="K50" s="311">
        <f t="shared" si="2"/>
        <v>0</v>
      </c>
      <c r="L50" s="311">
        <f t="shared" si="2"/>
        <v>0</v>
      </c>
      <c r="M50" s="311">
        <f t="shared" si="2"/>
        <v>3.7680967414204837E-4</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6.9654102717147892E-5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6.5433116918607922E-3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3.7680967414204837E-4</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19.348361865874416</v>
      </c>
      <c r="C54" s="21">
        <f t="shared" ref="C54:P54" si="3">(C50)*10^9/3600</f>
        <v>0</v>
      </c>
      <c r="D54" s="21">
        <f t="shared" si="3"/>
        <v>0</v>
      </c>
      <c r="E54" s="21">
        <f t="shared" si="3"/>
        <v>0</v>
      </c>
      <c r="F54" s="21">
        <f t="shared" si="3"/>
        <v>0</v>
      </c>
      <c r="G54" s="21">
        <f t="shared" si="3"/>
        <v>1817.5865810724422</v>
      </c>
      <c r="H54" s="21">
        <f t="shared" si="3"/>
        <v>0</v>
      </c>
      <c r="I54" s="21">
        <f t="shared" si="3"/>
        <v>0</v>
      </c>
      <c r="J54" s="21">
        <f t="shared" si="3"/>
        <v>0</v>
      </c>
      <c r="K54" s="21">
        <f t="shared" si="3"/>
        <v>0</v>
      </c>
      <c r="L54" s="21">
        <f t="shared" si="3"/>
        <v>0</v>
      </c>
      <c r="M54" s="21">
        <f t="shared" si="3"/>
        <v>104.66935392834677</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0.15714594773281335</v>
      </c>
      <c r="C56" s="56">
        <f ca="1">'EF ele_warmte'!B22</f>
        <v>0.23764705882352943</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3.0405166624902598</v>
      </c>
      <c r="C58" s="23">
        <f t="shared" ref="C58:P58" ca="1" si="4">C54*C56</f>
        <v>0</v>
      </c>
      <c r="D58" s="23">
        <f t="shared" si="4"/>
        <v>0</v>
      </c>
      <c r="E58" s="23">
        <f t="shared" si="4"/>
        <v>0</v>
      </c>
      <c r="F58" s="23">
        <f t="shared" si="4"/>
        <v>0</v>
      </c>
      <c r="G58" s="23">
        <f t="shared" si="4"/>
        <v>485.29561714634207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70" zoomScaleNormal="70"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43405.692756416734</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9433.2640979228108</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N29</f>
        <v>23.85</v>
      </c>
      <c r="C8" s="534">
        <f>B48</f>
        <v>28.058823529411768</v>
      </c>
      <c r="D8" s="962"/>
      <c r="E8" s="962">
        <f>E48</f>
        <v>0</v>
      </c>
      <c r="F8" s="963"/>
      <c r="G8" s="535"/>
      <c r="H8" s="962">
        <f>I48</f>
        <v>0</v>
      </c>
      <c r="I8" s="962">
        <f>G48+F48</f>
        <v>0</v>
      </c>
      <c r="J8" s="962">
        <f>H48+D48+C48</f>
        <v>0</v>
      </c>
      <c r="K8" s="962"/>
      <c r="L8" s="962"/>
      <c r="M8" s="962"/>
      <c r="N8" s="536"/>
      <c r="O8" s="537">
        <f>C8*$C$12+D8*$D$12+E8*$E$12+F8*$F$12+G8*$G$12+H8*$H$12+I8*$I$12+J8*$J$12</f>
        <v>5.6678823529411773</v>
      </c>
      <c r="P8" s="1180"/>
      <c r="Q8" s="1181"/>
      <c r="S8" s="925"/>
      <c r="T8" s="1217"/>
      <c r="U8" s="1217"/>
    </row>
    <row r="9" spans="1:21" s="523" customFormat="1" ht="17.45" customHeight="1" thickBot="1">
      <c r="A9" s="538" t="s">
        <v>236</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52862.806854339542</v>
      </c>
      <c r="C10" s="547">
        <f t="shared" ref="C10:L10" si="0">SUM(C8:C9)</f>
        <v>28.058823529411768</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5"/>
      <c r="N10" s="965"/>
      <c r="O10" s="548">
        <f>SUM(O4:O9)</f>
        <v>5.6678823529411773</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O29</f>
        <v>34.071428571428577</v>
      </c>
      <c r="C17" s="559">
        <f>B49</f>
        <v>40.084033613445385</v>
      </c>
      <c r="D17" s="560"/>
      <c r="E17" s="560">
        <f>E49</f>
        <v>0</v>
      </c>
      <c r="F17" s="968"/>
      <c r="G17" s="561"/>
      <c r="H17" s="559">
        <f>I49</f>
        <v>0</v>
      </c>
      <c r="I17" s="560">
        <f>G49+F49</f>
        <v>0</v>
      </c>
      <c r="J17" s="560">
        <f>H49+D49+C49</f>
        <v>0</v>
      </c>
      <c r="K17" s="560"/>
      <c r="L17" s="560"/>
      <c r="M17" s="560"/>
      <c r="N17" s="969"/>
      <c r="O17" s="562">
        <f>C17*$C$22+E17*$E$22+H17*$H$22+I17*$I$22+J17*$J$22+D17*$D$22+F17*$F$22+G17*$G$22+K17*$K$22+L17*$L$22</f>
        <v>8.0969747899159685</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34.071428571428577</v>
      </c>
      <c r="C20" s="546">
        <f>SUM(C17:C19)</f>
        <v>40.084033613445385</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8.0969747899159685</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63.75" hidden="1">
      <c r="A28" s="569"/>
      <c r="B28" s="724">
        <v>71057</v>
      </c>
      <c r="C28" s="724">
        <v>3980</v>
      </c>
      <c r="D28" s="617"/>
      <c r="E28" s="616"/>
      <c r="F28" s="616"/>
      <c r="G28" s="616" t="s">
        <v>878</v>
      </c>
      <c r="H28" s="616" t="s">
        <v>879</v>
      </c>
      <c r="I28" s="616"/>
      <c r="J28" s="723"/>
      <c r="K28" s="723"/>
      <c r="L28" s="616" t="s">
        <v>880</v>
      </c>
      <c r="M28" s="616">
        <v>5.3</v>
      </c>
      <c r="N28" s="616">
        <v>23.85</v>
      </c>
      <c r="O28" s="616">
        <v>34.071428571428577</v>
      </c>
      <c r="P28" s="616">
        <v>68.142857142857153</v>
      </c>
      <c r="Q28" s="616">
        <v>0</v>
      </c>
      <c r="R28" s="616">
        <v>0</v>
      </c>
      <c r="S28" s="616">
        <v>0</v>
      </c>
      <c r="T28" s="616">
        <v>0</v>
      </c>
      <c r="U28" s="616">
        <v>0</v>
      </c>
      <c r="V28" s="616">
        <v>0</v>
      </c>
      <c r="W28" s="616">
        <v>0</v>
      </c>
      <c r="X28" s="616"/>
      <c r="Y28" s="616">
        <v>1600</v>
      </c>
      <c r="Z28" s="616" t="s">
        <v>49</v>
      </c>
      <c r="AA28" s="618" t="s">
        <v>149</v>
      </c>
    </row>
    <row r="29" spans="1:27" s="554" customFormat="1" hidden="1">
      <c r="A29" s="572" t="s">
        <v>268</v>
      </c>
      <c r="B29" s="573"/>
      <c r="C29" s="573"/>
      <c r="D29" s="573"/>
      <c r="E29" s="573"/>
      <c r="F29" s="573"/>
      <c r="G29" s="573"/>
      <c r="H29" s="573"/>
      <c r="I29" s="573"/>
      <c r="J29" s="573"/>
      <c r="K29" s="573"/>
      <c r="L29" s="574"/>
      <c r="M29" s="574">
        <f>SUM(M28:M28)</f>
        <v>5.3</v>
      </c>
      <c r="N29" s="574">
        <f>SUM(N28:N28)</f>
        <v>23.85</v>
      </c>
      <c r="O29" s="574">
        <f>SUM(O28:O28)</f>
        <v>34.071428571428577</v>
      </c>
      <c r="P29" s="574">
        <f>SUM(P28:P28)</f>
        <v>68.142857142857153</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275</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276</v>
      </c>
      <c r="B31" s="573"/>
      <c r="C31" s="573"/>
      <c r="D31" s="573"/>
      <c r="E31" s="573"/>
      <c r="F31" s="573"/>
      <c r="G31" s="573"/>
      <c r="H31" s="573"/>
      <c r="I31" s="573"/>
      <c r="J31" s="573"/>
      <c r="K31" s="573"/>
      <c r="L31" s="574"/>
      <c r="M31" s="574">
        <f ca="1">SUMIF($AA$28:AD28,"tertiair",M28:M28)</f>
        <v>5.3</v>
      </c>
      <c r="N31" s="574">
        <f ca="1">SUMIF($AA$28:AE28,"tertiair",N28:N28)</f>
        <v>23.85</v>
      </c>
      <c r="O31" s="574">
        <f ca="1">SUMIF($AA$28:AF28,"tertiair",O28:O28)</f>
        <v>34.071428571428577</v>
      </c>
      <c r="P31" s="574">
        <f ca="1">SUMIF($AA$28:AG28,"tertiair",P28:P28)</f>
        <v>68.142857142857153</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277</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269</v>
      </c>
      <c r="B34" s="613" t="s">
        <v>89</v>
      </c>
      <c r="C34" s="613" t="s">
        <v>90</v>
      </c>
      <c r="D34" s="613"/>
      <c r="E34" s="613"/>
      <c r="F34" s="613"/>
      <c r="G34" s="613" t="s">
        <v>91</v>
      </c>
      <c r="H34" s="613" t="s">
        <v>92</v>
      </c>
      <c r="I34" s="613"/>
      <c r="J34" s="613"/>
      <c r="K34" s="613"/>
      <c r="L34" s="613" t="s">
        <v>93</v>
      </c>
      <c r="M34" s="614" t="s">
        <v>286</v>
      </c>
      <c r="N34" s="614" t="s">
        <v>94</v>
      </c>
      <c r="O34" s="614" t="s">
        <v>95</v>
      </c>
      <c r="P34" s="614" t="s">
        <v>518</v>
      </c>
      <c r="Q34" s="614" t="s">
        <v>96</v>
      </c>
      <c r="R34" s="614" t="s">
        <v>97</v>
      </c>
      <c r="S34" s="614" t="s">
        <v>98</v>
      </c>
      <c r="T34" s="614" t="s">
        <v>99</v>
      </c>
      <c r="U34" s="614" t="s">
        <v>100</v>
      </c>
      <c r="V34" s="614" t="s">
        <v>101</v>
      </c>
      <c r="W34" s="613" t="s">
        <v>102</v>
      </c>
      <c r="X34" s="613" t="s">
        <v>877</v>
      </c>
      <c r="Y34" s="613" t="s">
        <v>287</v>
      </c>
      <c r="Z34" s="613" t="s">
        <v>103</v>
      </c>
      <c r="AA34" s="615" t="s">
        <v>288</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268</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275</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276</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277</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270</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271</v>
      </c>
      <c r="C44" s="596" t="s">
        <v>272</v>
      </c>
      <c r="D44" s="596"/>
      <c r="E44" s="596"/>
      <c r="F44" s="596"/>
      <c r="G44" s="596"/>
      <c r="H44" s="596"/>
      <c r="I44" s="597"/>
      <c r="J44" s="596"/>
      <c r="K44" s="596"/>
      <c r="L44" s="596"/>
      <c r="M44" s="596"/>
      <c r="N44" s="596"/>
      <c r="O44" s="596"/>
      <c r="P44" s="591"/>
    </row>
    <row r="45" spans="1:28">
      <c r="A45" s="593" t="s">
        <v>268</v>
      </c>
      <c r="B45" s="598">
        <f>IF(ISERROR(O29/(O29+N29)),0,O29/(O29+N29))</f>
        <v>0.58823529411764708</v>
      </c>
      <c r="C45" s="599">
        <f>IF(ISERROR(N29/(O29+N29)),0,N29/(N29+O29))</f>
        <v>0.41176470588235292</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518</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273</v>
      </c>
      <c r="B48" s="608">
        <f t="shared" ref="B48:I48" si="2">$C$45*P29</f>
        <v>28.058823529411768</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274</v>
      </c>
      <c r="B49" s="611">
        <f t="shared" ref="B49:I49" si="3">$B$45*P29</f>
        <v>40.084033613445385</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30679.276645999998</v>
      </c>
      <c r="D10" s="931">
        <f ca="1">tertiair!C16</f>
        <v>34.071428571428577</v>
      </c>
      <c r="E10" s="931">
        <f ca="1">tertiair!D16</f>
        <v>20738.97123191514</v>
      </c>
      <c r="F10" s="931">
        <f>tertiair!E16</f>
        <v>390.53199205291821</v>
      </c>
      <c r="G10" s="931">
        <f ca="1">tertiair!F16</f>
        <v>5272.9566010410254</v>
      </c>
      <c r="H10" s="931">
        <f>tertiair!G16</f>
        <v>0</v>
      </c>
      <c r="I10" s="931">
        <f>tertiair!H16</f>
        <v>0</v>
      </c>
      <c r="J10" s="931">
        <f>tertiair!I16</f>
        <v>0</v>
      </c>
      <c r="K10" s="931">
        <f>tertiair!J16</f>
        <v>4.2966354273260683E-2</v>
      </c>
      <c r="L10" s="931">
        <f>tertiair!K16</f>
        <v>0</v>
      </c>
      <c r="M10" s="931">
        <f ca="1">tertiair!L16</f>
        <v>0</v>
      </c>
      <c r="N10" s="931">
        <f>tertiair!M16</f>
        <v>0</v>
      </c>
      <c r="O10" s="931">
        <f ca="1">tertiair!N16</f>
        <v>1726.0710351857745</v>
      </c>
      <c r="P10" s="931">
        <f>tertiair!O16</f>
        <v>3.1266666666666669</v>
      </c>
      <c r="Q10" s="932">
        <f>tertiair!P16</f>
        <v>19.066666666666666</v>
      </c>
      <c r="R10" s="628">
        <f ca="1">SUM(C10:Q10)</f>
        <v>58864.115234453886</v>
      </c>
      <c r="S10" s="67"/>
    </row>
    <row r="11" spans="1:19" s="437" customFormat="1">
      <c r="A11" s="736" t="s">
        <v>213</v>
      </c>
      <c r="B11" s="741"/>
      <c r="C11" s="931">
        <f>huishoudens!B8</f>
        <v>31492.813406144887</v>
      </c>
      <c r="D11" s="931">
        <f>huishoudens!C8</f>
        <v>0</v>
      </c>
      <c r="E11" s="931">
        <f>huishoudens!D8</f>
        <v>47689.676681900004</v>
      </c>
      <c r="F11" s="931">
        <f>huishoudens!E8</f>
        <v>2345.387571209425</v>
      </c>
      <c r="G11" s="931">
        <f>huishoudens!F8</f>
        <v>54364.259151107064</v>
      </c>
      <c r="H11" s="931">
        <f>huishoudens!G8</f>
        <v>0</v>
      </c>
      <c r="I11" s="931">
        <f>huishoudens!H8</f>
        <v>0</v>
      </c>
      <c r="J11" s="931">
        <f>huishoudens!I8</f>
        <v>0</v>
      </c>
      <c r="K11" s="931">
        <f>huishoudens!J8</f>
        <v>279.38440477556122</v>
      </c>
      <c r="L11" s="931">
        <f>huishoudens!K8</f>
        <v>0</v>
      </c>
      <c r="M11" s="931">
        <f>huishoudens!L8</f>
        <v>0</v>
      </c>
      <c r="N11" s="931">
        <f>huishoudens!M8</f>
        <v>0</v>
      </c>
      <c r="O11" s="931">
        <f>huishoudens!N8</f>
        <v>11903.604087642558</v>
      </c>
      <c r="P11" s="931">
        <f>huishoudens!O8</f>
        <v>678.48666666666679</v>
      </c>
      <c r="Q11" s="932">
        <f>huishoudens!P8</f>
        <v>1773.2</v>
      </c>
      <c r="R11" s="628">
        <f>SUM(C11:Q11)</f>
        <v>150526.81196944622</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119404.79844700001</v>
      </c>
      <c r="D13" s="931">
        <f>industrie!C18</f>
        <v>0</v>
      </c>
      <c r="E13" s="931">
        <f>industrie!D18</f>
        <v>14007.999636356</v>
      </c>
      <c r="F13" s="931">
        <f>industrie!E18</f>
        <v>3996.1046354694654</v>
      </c>
      <c r="G13" s="931">
        <f>industrie!F18</f>
        <v>26806.585518706041</v>
      </c>
      <c r="H13" s="931">
        <f>industrie!G18</f>
        <v>0</v>
      </c>
      <c r="I13" s="931">
        <f>industrie!H18</f>
        <v>0</v>
      </c>
      <c r="J13" s="931">
        <f>industrie!I18</f>
        <v>0</v>
      </c>
      <c r="K13" s="931">
        <f>industrie!J18</f>
        <v>137.11313152327045</v>
      </c>
      <c r="L13" s="931">
        <f>industrie!K18</f>
        <v>0</v>
      </c>
      <c r="M13" s="931">
        <f>industrie!L18</f>
        <v>0</v>
      </c>
      <c r="N13" s="931">
        <f>industrie!M18</f>
        <v>0</v>
      </c>
      <c r="O13" s="931">
        <f>industrie!N18</f>
        <v>18674.300417601826</v>
      </c>
      <c r="P13" s="931">
        <f>industrie!O18</f>
        <v>0</v>
      </c>
      <c r="Q13" s="932">
        <f>industrie!P18</f>
        <v>0</v>
      </c>
      <c r="R13" s="628">
        <f>SUM(C13:Q13)</f>
        <v>183026.90178665661</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181576.8884991449</v>
      </c>
      <c r="D16" s="660">
        <f t="shared" ref="D16:R16" ca="1" si="0">SUM(D9:D15)</f>
        <v>34.071428571428577</v>
      </c>
      <c r="E16" s="660">
        <f t="shared" ca="1" si="0"/>
        <v>82436.647550171154</v>
      </c>
      <c r="F16" s="660">
        <f t="shared" si="0"/>
        <v>6732.0241987318086</v>
      </c>
      <c r="G16" s="660">
        <f t="shared" ca="1" si="0"/>
        <v>86443.801270854136</v>
      </c>
      <c r="H16" s="660">
        <f t="shared" si="0"/>
        <v>0</v>
      </c>
      <c r="I16" s="660">
        <f t="shared" si="0"/>
        <v>0</v>
      </c>
      <c r="J16" s="660">
        <f t="shared" si="0"/>
        <v>0</v>
      </c>
      <c r="K16" s="660">
        <f t="shared" si="0"/>
        <v>416.54050265310491</v>
      </c>
      <c r="L16" s="660">
        <f t="shared" si="0"/>
        <v>0</v>
      </c>
      <c r="M16" s="660">
        <f t="shared" ca="1" si="0"/>
        <v>0</v>
      </c>
      <c r="N16" s="660">
        <f t="shared" si="0"/>
        <v>0</v>
      </c>
      <c r="O16" s="660">
        <f t="shared" ca="1" si="0"/>
        <v>32303.975540430158</v>
      </c>
      <c r="P16" s="660">
        <f t="shared" si="0"/>
        <v>681.61333333333346</v>
      </c>
      <c r="Q16" s="660">
        <f t="shared" si="0"/>
        <v>1792.2666666666667</v>
      </c>
      <c r="R16" s="660">
        <f t="shared" ca="1" si="0"/>
        <v>392417.82899055677</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19.348361865874416</v>
      </c>
      <c r="D19" s="931">
        <f>transport!C54</f>
        <v>0</v>
      </c>
      <c r="E19" s="931">
        <f>transport!D54</f>
        <v>0</v>
      </c>
      <c r="F19" s="931">
        <f>transport!E54</f>
        <v>0</v>
      </c>
      <c r="G19" s="931">
        <f>transport!F54</f>
        <v>0</v>
      </c>
      <c r="H19" s="931">
        <f>transport!G54</f>
        <v>1817.5865810724422</v>
      </c>
      <c r="I19" s="931">
        <f>transport!H54</f>
        <v>0</v>
      </c>
      <c r="J19" s="931">
        <f>transport!I54</f>
        <v>0</v>
      </c>
      <c r="K19" s="931">
        <f>transport!J54</f>
        <v>0</v>
      </c>
      <c r="L19" s="931">
        <f>transport!K54</f>
        <v>0</v>
      </c>
      <c r="M19" s="931">
        <f>transport!L54</f>
        <v>0</v>
      </c>
      <c r="N19" s="931">
        <f>transport!M54</f>
        <v>104.66935392834677</v>
      </c>
      <c r="O19" s="931">
        <f>transport!N54</f>
        <v>0</v>
      </c>
      <c r="P19" s="931">
        <f>transport!O54</f>
        <v>0</v>
      </c>
      <c r="Q19" s="932">
        <f>transport!P54</f>
        <v>0</v>
      </c>
      <c r="R19" s="628">
        <f>SUM(C19:Q19)</f>
        <v>1941.6042968666634</v>
      </c>
      <c r="S19" s="67"/>
    </row>
    <row r="20" spans="1:19" s="437" customFormat="1">
      <c r="A20" s="736" t="s">
        <v>295</v>
      </c>
      <c r="B20" s="741"/>
      <c r="C20" s="931">
        <f>transport!B14</f>
        <v>82.547077214394733</v>
      </c>
      <c r="D20" s="931">
        <f>transport!C14</f>
        <v>0</v>
      </c>
      <c r="E20" s="931">
        <f>transport!D14</f>
        <v>140.50549745210995</v>
      </c>
      <c r="F20" s="931">
        <f>transport!E14</f>
        <v>256.67504928677488</v>
      </c>
      <c r="G20" s="931">
        <f>transport!F14</f>
        <v>0</v>
      </c>
      <c r="H20" s="931">
        <f>transport!G14</f>
        <v>112762.71112246305</v>
      </c>
      <c r="I20" s="931">
        <f>transport!H14</f>
        <v>24477.508990767899</v>
      </c>
      <c r="J20" s="931">
        <f>transport!I14</f>
        <v>0</v>
      </c>
      <c r="K20" s="931">
        <f>transport!J14</f>
        <v>0</v>
      </c>
      <c r="L20" s="931">
        <f>transport!K14</f>
        <v>0</v>
      </c>
      <c r="M20" s="931">
        <f>transport!L14</f>
        <v>0</v>
      </c>
      <c r="N20" s="931">
        <f>transport!M14</f>
        <v>7308.8364162537591</v>
      </c>
      <c r="O20" s="931">
        <f>transport!N14</f>
        <v>0</v>
      </c>
      <c r="P20" s="931">
        <f>transport!O14</f>
        <v>0</v>
      </c>
      <c r="Q20" s="932">
        <f>transport!P14</f>
        <v>0</v>
      </c>
      <c r="R20" s="628">
        <f>SUM(C20:Q20)</f>
        <v>145028.784153438</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101.89543908026914</v>
      </c>
      <c r="D22" s="739">
        <f t="shared" ref="D22:R22" si="1">SUM(D18:D21)</f>
        <v>0</v>
      </c>
      <c r="E22" s="739">
        <f t="shared" si="1"/>
        <v>140.50549745210995</v>
      </c>
      <c r="F22" s="739">
        <f t="shared" si="1"/>
        <v>256.67504928677488</v>
      </c>
      <c r="G22" s="739">
        <f t="shared" si="1"/>
        <v>0</v>
      </c>
      <c r="H22" s="739">
        <f t="shared" si="1"/>
        <v>114580.29770353549</v>
      </c>
      <c r="I22" s="739">
        <f t="shared" si="1"/>
        <v>24477.508990767899</v>
      </c>
      <c r="J22" s="739">
        <f t="shared" si="1"/>
        <v>0</v>
      </c>
      <c r="K22" s="739">
        <f t="shared" si="1"/>
        <v>0</v>
      </c>
      <c r="L22" s="739">
        <f t="shared" si="1"/>
        <v>0</v>
      </c>
      <c r="M22" s="739">
        <f t="shared" si="1"/>
        <v>0</v>
      </c>
      <c r="N22" s="739">
        <f t="shared" si="1"/>
        <v>7413.5057701821061</v>
      </c>
      <c r="O22" s="739">
        <f t="shared" si="1"/>
        <v>0</v>
      </c>
      <c r="P22" s="739">
        <f t="shared" si="1"/>
        <v>0</v>
      </c>
      <c r="Q22" s="739">
        <f t="shared" si="1"/>
        <v>0</v>
      </c>
      <c r="R22" s="739">
        <f t="shared" si="1"/>
        <v>146970.38845030466</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513.09900000000005</v>
      </c>
      <c r="D24" s="931">
        <f>+landbouw!C8</f>
        <v>0</v>
      </c>
      <c r="E24" s="931">
        <f>+landbouw!D8</f>
        <v>483.19057600000002</v>
      </c>
      <c r="F24" s="931">
        <f>+landbouw!E8</f>
        <v>16.651749242092873</v>
      </c>
      <c r="G24" s="931">
        <f>+landbouw!F8</f>
        <v>1892.9217762931075</v>
      </c>
      <c r="H24" s="931">
        <f>+landbouw!G8</f>
        <v>0</v>
      </c>
      <c r="I24" s="931">
        <f>+landbouw!H8</f>
        <v>0</v>
      </c>
      <c r="J24" s="931">
        <f>+landbouw!I8</f>
        <v>0</v>
      </c>
      <c r="K24" s="931">
        <f>+landbouw!J8</f>
        <v>134.93973223651031</v>
      </c>
      <c r="L24" s="931">
        <f>+landbouw!K8</f>
        <v>0</v>
      </c>
      <c r="M24" s="931">
        <f>+landbouw!L8</f>
        <v>0</v>
      </c>
      <c r="N24" s="931">
        <f>+landbouw!M8</f>
        <v>0</v>
      </c>
      <c r="O24" s="931">
        <f>+landbouw!N8</f>
        <v>0</v>
      </c>
      <c r="P24" s="931">
        <f>+landbouw!O8</f>
        <v>0</v>
      </c>
      <c r="Q24" s="932">
        <f>+landbouw!P8</f>
        <v>0</v>
      </c>
      <c r="R24" s="628">
        <f>SUM(C24:Q24)</f>
        <v>3040.8028337717105</v>
      </c>
      <c r="S24" s="67"/>
    </row>
    <row r="25" spans="1:19" s="437" customFormat="1" ht="15" thickBot="1">
      <c r="A25" s="758" t="s">
        <v>775</v>
      </c>
      <c r="B25" s="934"/>
      <c r="C25" s="935">
        <f>IF(Onbekend_ele_kWh="---",0,Onbekend_ele_kWh)/1000+IF(REST_rest_ele_kWh="---",0,REST_rest_ele_kWh)/1000</f>
        <v>678.45994299999995</v>
      </c>
      <c r="D25" s="935"/>
      <c r="E25" s="935">
        <f>IF(onbekend_gas_kWh="---",0,onbekend_gas_kWh)/1000+IF(REST_rest_gas_kWh="---",0,REST_rest_gas_kWh)/1000</f>
        <v>1917.065521</v>
      </c>
      <c r="F25" s="935"/>
      <c r="G25" s="935"/>
      <c r="H25" s="935"/>
      <c r="I25" s="935"/>
      <c r="J25" s="935"/>
      <c r="K25" s="935"/>
      <c r="L25" s="935"/>
      <c r="M25" s="935"/>
      <c r="N25" s="935"/>
      <c r="O25" s="935"/>
      <c r="P25" s="935"/>
      <c r="Q25" s="936"/>
      <c r="R25" s="628">
        <f>SUM(C25:Q25)</f>
        <v>2595.5254639999998</v>
      </c>
      <c r="S25" s="67"/>
    </row>
    <row r="26" spans="1:19" s="437" customFormat="1" ht="15.75" thickBot="1">
      <c r="A26" s="633" t="s">
        <v>776</v>
      </c>
      <c r="B26" s="744"/>
      <c r="C26" s="739">
        <f>SUM(C24:C25)</f>
        <v>1191.558943</v>
      </c>
      <c r="D26" s="739">
        <f t="shared" ref="D26:R26" si="2">SUM(D24:D25)</f>
        <v>0</v>
      </c>
      <c r="E26" s="739">
        <f t="shared" si="2"/>
        <v>2400.256097</v>
      </c>
      <c r="F26" s="739">
        <f t="shared" si="2"/>
        <v>16.651749242092873</v>
      </c>
      <c r="G26" s="739">
        <f t="shared" si="2"/>
        <v>1892.9217762931075</v>
      </c>
      <c r="H26" s="739">
        <f t="shared" si="2"/>
        <v>0</v>
      </c>
      <c r="I26" s="739">
        <f t="shared" si="2"/>
        <v>0</v>
      </c>
      <c r="J26" s="739">
        <f t="shared" si="2"/>
        <v>0</v>
      </c>
      <c r="K26" s="739">
        <f t="shared" si="2"/>
        <v>134.93973223651031</v>
      </c>
      <c r="L26" s="739">
        <f t="shared" si="2"/>
        <v>0</v>
      </c>
      <c r="M26" s="739">
        <f t="shared" si="2"/>
        <v>0</v>
      </c>
      <c r="N26" s="739">
        <f t="shared" si="2"/>
        <v>0</v>
      </c>
      <c r="O26" s="739">
        <f t="shared" si="2"/>
        <v>0</v>
      </c>
      <c r="P26" s="739">
        <f t="shared" si="2"/>
        <v>0</v>
      </c>
      <c r="Q26" s="739">
        <f t="shared" si="2"/>
        <v>0</v>
      </c>
      <c r="R26" s="739">
        <f t="shared" si="2"/>
        <v>5636.3282977717099</v>
      </c>
      <c r="S26" s="67"/>
    </row>
    <row r="27" spans="1:19" s="437" customFormat="1" ht="17.25" thickTop="1" thickBot="1">
      <c r="A27" s="634" t="s">
        <v>109</v>
      </c>
      <c r="B27" s="732"/>
      <c r="C27" s="635">
        <f ca="1">C22+C16+C26</f>
        <v>182870.3428812252</v>
      </c>
      <c r="D27" s="635">
        <f t="shared" ref="D27:R27" ca="1" si="3">D22+D16+D26</f>
        <v>34.071428571428577</v>
      </c>
      <c r="E27" s="635">
        <f t="shared" ca="1" si="3"/>
        <v>84977.409144623263</v>
      </c>
      <c r="F27" s="635">
        <f t="shared" si="3"/>
        <v>7005.3509972606762</v>
      </c>
      <c r="G27" s="635">
        <f t="shared" ca="1" si="3"/>
        <v>88336.723047147243</v>
      </c>
      <c r="H27" s="635">
        <f t="shared" si="3"/>
        <v>114580.29770353549</v>
      </c>
      <c r="I27" s="635">
        <f t="shared" si="3"/>
        <v>24477.508990767899</v>
      </c>
      <c r="J27" s="635">
        <f t="shared" si="3"/>
        <v>0</v>
      </c>
      <c r="K27" s="635">
        <f t="shared" si="3"/>
        <v>551.48023488961519</v>
      </c>
      <c r="L27" s="635">
        <f t="shared" si="3"/>
        <v>0</v>
      </c>
      <c r="M27" s="635">
        <f t="shared" ca="1" si="3"/>
        <v>0</v>
      </c>
      <c r="N27" s="635">
        <f t="shared" si="3"/>
        <v>7413.5057701821061</v>
      </c>
      <c r="O27" s="635">
        <f t="shared" ca="1" si="3"/>
        <v>32303.975540430158</v>
      </c>
      <c r="P27" s="635">
        <f t="shared" si="3"/>
        <v>681.61333333333346</v>
      </c>
      <c r="Q27" s="635">
        <f t="shared" si="3"/>
        <v>1792.2666666666667</v>
      </c>
      <c r="R27" s="635">
        <f t="shared" ca="1" si="3"/>
        <v>545024.54573863314</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4821.1240042928366</v>
      </c>
      <c r="D40" s="931">
        <f ca="1">tertiair!C20</f>
        <v>8.0969747899159685</v>
      </c>
      <c r="E40" s="931">
        <f ca="1">tertiair!D20</f>
        <v>4189.2721888468586</v>
      </c>
      <c r="F40" s="931">
        <f>tertiair!E20</f>
        <v>88.650762196012437</v>
      </c>
      <c r="G40" s="931">
        <f ca="1">tertiair!F20</f>
        <v>1407.8794124779538</v>
      </c>
      <c r="H40" s="931">
        <f>tertiair!G20</f>
        <v>0</v>
      </c>
      <c r="I40" s="931">
        <f>tertiair!H20</f>
        <v>0</v>
      </c>
      <c r="J40" s="931">
        <f>tertiair!I20</f>
        <v>0</v>
      </c>
      <c r="K40" s="931">
        <f>tertiair!J20</f>
        <v>1.521008941273428E-2</v>
      </c>
      <c r="L40" s="931">
        <f>tertiair!K20</f>
        <v>0</v>
      </c>
      <c r="M40" s="931">
        <f ca="1">tertiair!L20</f>
        <v>0</v>
      </c>
      <c r="N40" s="931">
        <f>tertiair!M20</f>
        <v>0</v>
      </c>
      <c r="O40" s="931">
        <f ca="1">tertiair!N20</f>
        <v>0</v>
      </c>
      <c r="P40" s="931">
        <f>tertiair!O20</f>
        <v>0</v>
      </c>
      <c r="Q40" s="702">
        <f>tertiair!P20</f>
        <v>0</v>
      </c>
      <c r="R40" s="777">
        <f t="shared" ca="1" si="4"/>
        <v>10515.038552692989</v>
      </c>
    </row>
    <row r="41" spans="1:18">
      <c r="A41" s="749" t="s">
        <v>213</v>
      </c>
      <c r="B41" s="756"/>
      <c r="C41" s="931">
        <f ca="1">huishoudens!B12</f>
        <v>4948.9680094812875</v>
      </c>
      <c r="D41" s="931">
        <f ca="1">huishoudens!C12</f>
        <v>0</v>
      </c>
      <c r="E41" s="931">
        <f>huishoudens!D12</f>
        <v>9633.3146897438019</v>
      </c>
      <c r="F41" s="931">
        <f>huishoudens!E12</f>
        <v>532.40297866453955</v>
      </c>
      <c r="G41" s="931">
        <f>huishoudens!F12</f>
        <v>14515.257193345587</v>
      </c>
      <c r="H41" s="931">
        <f>huishoudens!G12</f>
        <v>0</v>
      </c>
      <c r="I41" s="931">
        <f>huishoudens!H12</f>
        <v>0</v>
      </c>
      <c r="J41" s="931">
        <f>huishoudens!I12</f>
        <v>0</v>
      </c>
      <c r="K41" s="931">
        <f>huishoudens!J12</f>
        <v>98.90207929054867</v>
      </c>
      <c r="L41" s="931">
        <f>huishoudens!K12</f>
        <v>0</v>
      </c>
      <c r="M41" s="931">
        <f>huishoudens!L12</f>
        <v>0</v>
      </c>
      <c r="N41" s="931">
        <f>huishoudens!M12</f>
        <v>0</v>
      </c>
      <c r="O41" s="931">
        <f>huishoudens!N12</f>
        <v>0</v>
      </c>
      <c r="P41" s="931">
        <f>huishoudens!O12</f>
        <v>0</v>
      </c>
      <c r="Q41" s="702">
        <f>huishoudens!P12</f>
        <v>0</v>
      </c>
      <c r="R41" s="777">
        <f t="shared" ca="1" si="4"/>
        <v>29728.844950525767</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18763.980215799376</v>
      </c>
      <c r="D43" s="931">
        <f ca="1">industrie!C22</f>
        <v>0</v>
      </c>
      <c r="E43" s="931">
        <f>industrie!D22</f>
        <v>2829.6159265439123</v>
      </c>
      <c r="F43" s="931">
        <f>industrie!E22</f>
        <v>907.11575225156867</v>
      </c>
      <c r="G43" s="931">
        <f>industrie!F22</f>
        <v>7157.3583334945133</v>
      </c>
      <c r="H43" s="931">
        <f>industrie!G22</f>
        <v>0</v>
      </c>
      <c r="I43" s="931">
        <f>industrie!H22</f>
        <v>0</v>
      </c>
      <c r="J43" s="931">
        <f>industrie!I22</f>
        <v>0</v>
      </c>
      <c r="K43" s="931">
        <f>industrie!J22</f>
        <v>48.538048559237737</v>
      </c>
      <c r="L43" s="931">
        <f>industrie!K22</f>
        <v>0</v>
      </c>
      <c r="M43" s="931">
        <f>industrie!L22</f>
        <v>0</v>
      </c>
      <c r="N43" s="931">
        <f>industrie!M22</f>
        <v>0</v>
      </c>
      <c r="O43" s="931">
        <f>industrie!N22</f>
        <v>0</v>
      </c>
      <c r="P43" s="931">
        <f>industrie!O22</f>
        <v>0</v>
      </c>
      <c r="Q43" s="702">
        <f>industrie!P22</f>
        <v>0</v>
      </c>
      <c r="R43" s="776">
        <f t="shared" ca="1" si="4"/>
        <v>29706.608276648611</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28534.072229573499</v>
      </c>
      <c r="D46" s="660">
        <f t="shared" ref="D46:Q46" ca="1" si="5">SUM(D39:D45)</f>
        <v>8.0969747899159685</v>
      </c>
      <c r="E46" s="660">
        <f t="shared" ca="1" si="5"/>
        <v>16652.202805134573</v>
      </c>
      <c r="F46" s="660">
        <f t="shared" si="5"/>
        <v>1528.1694931121206</v>
      </c>
      <c r="G46" s="660">
        <f t="shared" ca="1" si="5"/>
        <v>23080.494939318054</v>
      </c>
      <c r="H46" s="660">
        <f t="shared" si="5"/>
        <v>0</v>
      </c>
      <c r="I46" s="660">
        <f t="shared" si="5"/>
        <v>0</v>
      </c>
      <c r="J46" s="660">
        <f t="shared" si="5"/>
        <v>0</v>
      </c>
      <c r="K46" s="660">
        <f t="shared" si="5"/>
        <v>147.45533793919913</v>
      </c>
      <c r="L46" s="660">
        <f t="shared" si="5"/>
        <v>0</v>
      </c>
      <c r="M46" s="660">
        <f t="shared" ca="1" si="5"/>
        <v>0</v>
      </c>
      <c r="N46" s="660">
        <f t="shared" si="5"/>
        <v>0</v>
      </c>
      <c r="O46" s="660">
        <f t="shared" ca="1" si="5"/>
        <v>0</v>
      </c>
      <c r="P46" s="660">
        <f t="shared" si="5"/>
        <v>0</v>
      </c>
      <c r="Q46" s="660">
        <f t="shared" si="5"/>
        <v>0</v>
      </c>
      <c r="R46" s="660">
        <f ca="1">SUM(R39:R45)</f>
        <v>69950.49177986737</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3.0405166624902598</v>
      </c>
      <c r="D49" s="931">
        <f ca="1">transport!C58</f>
        <v>0</v>
      </c>
      <c r="E49" s="931">
        <f>transport!D58</f>
        <v>0</v>
      </c>
      <c r="F49" s="931">
        <f>transport!E58</f>
        <v>0</v>
      </c>
      <c r="G49" s="931">
        <f>transport!F58</f>
        <v>0</v>
      </c>
      <c r="H49" s="931">
        <f>transport!G58</f>
        <v>485.29561714634207</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488.3361338088323</v>
      </c>
    </row>
    <row r="50" spans="1:18">
      <c r="A50" s="752" t="s">
        <v>295</v>
      </c>
      <c r="B50" s="762"/>
      <c r="C50" s="631">
        <f ca="1">transport!B18</f>
        <v>12.971938681429782</v>
      </c>
      <c r="D50" s="631">
        <f>transport!C18</f>
        <v>0</v>
      </c>
      <c r="E50" s="631">
        <f>transport!D18</f>
        <v>28.382110485326212</v>
      </c>
      <c r="F50" s="631">
        <f>transport!E18</f>
        <v>58.265236188097902</v>
      </c>
      <c r="G50" s="631">
        <f>transport!F18</f>
        <v>0</v>
      </c>
      <c r="H50" s="631">
        <f>transport!G18</f>
        <v>30107.643869697637</v>
      </c>
      <c r="I50" s="631">
        <f>transport!H18</f>
        <v>6094.8997387012068</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36302.162893753695</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16.012455343920042</v>
      </c>
      <c r="D52" s="660">
        <f t="shared" ref="D52:Q52" ca="1" si="6">SUM(D48:D51)</f>
        <v>0</v>
      </c>
      <c r="E52" s="660">
        <f t="shared" si="6"/>
        <v>28.382110485326212</v>
      </c>
      <c r="F52" s="660">
        <f t="shared" si="6"/>
        <v>58.265236188097902</v>
      </c>
      <c r="G52" s="660">
        <f t="shared" si="6"/>
        <v>0</v>
      </c>
      <c r="H52" s="660">
        <f t="shared" si="6"/>
        <v>30592.939486843978</v>
      </c>
      <c r="I52" s="660">
        <f t="shared" si="6"/>
        <v>6094.8997387012068</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36790.499027562524</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80.631428635758809</v>
      </c>
      <c r="D54" s="631">
        <f ca="1">+landbouw!C12</f>
        <v>0</v>
      </c>
      <c r="E54" s="631">
        <f>+landbouw!D12</f>
        <v>97.604496352000012</v>
      </c>
      <c r="F54" s="631">
        <f>+landbouw!E12</f>
        <v>3.7799470779550823</v>
      </c>
      <c r="G54" s="631">
        <f>+landbouw!F12</f>
        <v>505.41011427025973</v>
      </c>
      <c r="H54" s="631">
        <f>+landbouw!G12</f>
        <v>0</v>
      </c>
      <c r="I54" s="631">
        <f>+landbouw!H12</f>
        <v>0</v>
      </c>
      <c r="J54" s="631">
        <f>+landbouw!I12</f>
        <v>0</v>
      </c>
      <c r="K54" s="631">
        <f>+landbouw!J12</f>
        <v>47.768665211724645</v>
      </c>
      <c r="L54" s="631">
        <f>+landbouw!K12</f>
        <v>0</v>
      </c>
      <c r="M54" s="631">
        <f>+landbouw!L12</f>
        <v>0</v>
      </c>
      <c r="N54" s="631">
        <f>+landbouw!M12</f>
        <v>0</v>
      </c>
      <c r="O54" s="631">
        <f>+landbouw!N12</f>
        <v>0</v>
      </c>
      <c r="P54" s="631">
        <f>+landbouw!O12</f>
        <v>0</v>
      </c>
      <c r="Q54" s="632">
        <f>+landbouw!P12</f>
        <v>0</v>
      </c>
      <c r="R54" s="659">
        <f ca="1">SUM(C54:Q54)</f>
        <v>735.1946515476983</v>
      </c>
    </row>
    <row r="55" spans="1:18" ht="15" thickBot="1">
      <c r="A55" s="752" t="s">
        <v>775</v>
      </c>
      <c r="B55" s="762"/>
      <c r="C55" s="631">
        <f ca="1">C25*'EF ele_warmte'!B12</f>
        <v>106.61723074148551</v>
      </c>
      <c r="D55" s="631"/>
      <c r="E55" s="631">
        <f>E25*EF_CO2_aardgas</f>
        <v>387.24723524200004</v>
      </c>
      <c r="F55" s="631"/>
      <c r="G55" s="631"/>
      <c r="H55" s="631"/>
      <c r="I55" s="631"/>
      <c r="J55" s="631"/>
      <c r="K55" s="631"/>
      <c r="L55" s="631"/>
      <c r="M55" s="631"/>
      <c r="N55" s="631"/>
      <c r="O55" s="631"/>
      <c r="P55" s="631"/>
      <c r="Q55" s="632"/>
      <c r="R55" s="659">
        <f ca="1">SUM(C55:Q55)</f>
        <v>493.86446598348556</v>
      </c>
    </row>
    <row r="56" spans="1:18" ht="15.75" thickBot="1">
      <c r="A56" s="750" t="s">
        <v>776</v>
      </c>
      <c r="B56" s="763"/>
      <c r="C56" s="660">
        <f ca="1">SUM(C54:C55)</f>
        <v>187.24865937724434</v>
      </c>
      <c r="D56" s="660">
        <f t="shared" ref="D56:Q56" ca="1" si="7">SUM(D54:D55)</f>
        <v>0</v>
      </c>
      <c r="E56" s="660">
        <f t="shared" si="7"/>
        <v>484.85173159400006</v>
      </c>
      <c r="F56" s="660">
        <f t="shared" si="7"/>
        <v>3.7799470779550823</v>
      </c>
      <c r="G56" s="660">
        <f t="shared" si="7"/>
        <v>505.41011427025973</v>
      </c>
      <c r="H56" s="660">
        <f t="shared" si="7"/>
        <v>0</v>
      </c>
      <c r="I56" s="660">
        <f t="shared" si="7"/>
        <v>0</v>
      </c>
      <c r="J56" s="660">
        <f t="shared" si="7"/>
        <v>0</v>
      </c>
      <c r="K56" s="660">
        <f t="shared" si="7"/>
        <v>47.768665211724645</v>
      </c>
      <c r="L56" s="660">
        <f t="shared" si="7"/>
        <v>0</v>
      </c>
      <c r="M56" s="660">
        <f t="shared" si="7"/>
        <v>0</v>
      </c>
      <c r="N56" s="660">
        <f t="shared" si="7"/>
        <v>0</v>
      </c>
      <c r="O56" s="660">
        <f t="shared" si="7"/>
        <v>0</v>
      </c>
      <c r="P56" s="660">
        <f t="shared" si="7"/>
        <v>0</v>
      </c>
      <c r="Q56" s="661">
        <f t="shared" si="7"/>
        <v>0</v>
      </c>
      <c r="R56" s="662">
        <f ca="1">SUM(R54:R55)</f>
        <v>1229.0591175311838</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28737.333344294664</v>
      </c>
      <c r="D61" s="668">
        <f t="shared" ref="D61:Q61" ca="1" si="8">D46+D52+D56</f>
        <v>8.0969747899159685</v>
      </c>
      <c r="E61" s="668">
        <f t="shared" ca="1" si="8"/>
        <v>17165.436647213901</v>
      </c>
      <c r="F61" s="668">
        <f t="shared" si="8"/>
        <v>1590.2146763781734</v>
      </c>
      <c r="G61" s="668">
        <f t="shared" ca="1" si="8"/>
        <v>23585.905053588314</v>
      </c>
      <c r="H61" s="668">
        <f t="shared" si="8"/>
        <v>30592.939486843978</v>
      </c>
      <c r="I61" s="668">
        <f t="shared" si="8"/>
        <v>6094.8997387012068</v>
      </c>
      <c r="J61" s="668">
        <f t="shared" si="8"/>
        <v>0</v>
      </c>
      <c r="K61" s="668">
        <f t="shared" si="8"/>
        <v>195.22400315092378</v>
      </c>
      <c r="L61" s="668">
        <f t="shared" si="8"/>
        <v>0</v>
      </c>
      <c r="M61" s="668">
        <f t="shared" ca="1" si="8"/>
        <v>0</v>
      </c>
      <c r="N61" s="668">
        <f t="shared" si="8"/>
        <v>0</v>
      </c>
      <c r="O61" s="668">
        <f t="shared" ca="1" si="8"/>
        <v>0</v>
      </c>
      <c r="P61" s="668">
        <f t="shared" si="8"/>
        <v>0</v>
      </c>
      <c r="Q61" s="668">
        <f t="shared" si="8"/>
        <v>0</v>
      </c>
      <c r="R61" s="668">
        <f ca="1">R46+R52+R56</f>
        <v>107970.04992496107</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0.15714594773281332</v>
      </c>
      <c r="D63" s="709">
        <f t="shared" ca="1" si="9"/>
        <v>0.23764705882352943</v>
      </c>
      <c r="E63" s="942">
        <f t="shared" ca="1" si="9"/>
        <v>0.20200000000000001</v>
      </c>
      <c r="F63" s="709">
        <f t="shared" si="9"/>
        <v>0.22699999999999998</v>
      </c>
      <c r="G63" s="709">
        <f t="shared" ca="1" si="9"/>
        <v>0.26700000000000002</v>
      </c>
      <c r="H63" s="709">
        <f t="shared" si="9"/>
        <v>0.26700000000000002</v>
      </c>
      <c r="I63" s="709">
        <f t="shared" si="9"/>
        <v>0.249</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43405.692756416734</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9433.2640979228108</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0</v>
      </c>
      <c r="C76" s="678">
        <f>'lokale energieproductie'!B8*IFERROR(SUM(D76:H76)/SUM(D76:O76),0)</f>
        <v>23.85</v>
      </c>
      <c r="D76" s="952">
        <f>'lokale energieproductie'!C8</f>
        <v>28.058823529411768</v>
      </c>
      <c r="E76" s="953">
        <f>'lokale energieproductie'!D8</f>
        <v>0</v>
      </c>
      <c r="F76" s="953">
        <f>'lokale energieproductie'!E8</f>
        <v>0</v>
      </c>
      <c r="G76" s="953">
        <f>'lokale energieproductie'!F8</f>
        <v>0</v>
      </c>
      <c r="H76" s="953">
        <f>'lokale energieproductie'!G8</f>
        <v>0</v>
      </c>
      <c r="I76" s="953">
        <f>'lokale energieproductie'!I8</f>
        <v>0</v>
      </c>
      <c r="J76" s="953">
        <f>'lokale energieproductie'!J8</f>
        <v>0</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5.6678823529411773</v>
      </c>
      <c r="R76" s="779">
        <v>0</v>
      </c>
    </row>
    <row r="77" spans="1:18" ht="30.75" thickBot="1">
      <c r="A77" s="681" t="s">
        <v>339</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52838.956854339543</v>
      </c>
      <c r="C78" s="683">
        <f>SUM(C72:C77)</f>
        <v>23.85</v>
      </c>
      <c r="D78" s="684">
        <f t="shared" ref="D78:H78" si="10">SUM(D76:D77)</f>
        <v>28.058823529411768</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5.6678823529411773</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0</v>
      </c>
      <c r="C87" s="694">
        <f>'lokale energieproductie'!B17*IFERROR(SUM(D87:H87)/SUM(D87:O87),0)</f>
        <v>34.071428571428577</v>
      </c>
      <c r="D87" s="705">
        <f>'lokale energieproductie'!C17</f>
        <v>40.084033613445385</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8.0969747899159685</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34.071428571428577</v>
      </c>
      <c r="D90" s="683">
        <f t="shared" ref="D90:H90" si="12">SUM(D87:D89)</f>
        <v>40.084033613445385</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8.0969747899159685</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31492.813406144887</v>
      </c>
      <c r="C4" s="441">
        <f>huishoudens!C8</f>
        <v>0</v>
      </c>
      <c r="D4" s="441">
        <f>huishoudens!D8</f>
        <v>47689.676681900004</v>
      </c>
      <c r="E4" s="441">
        <f>huishoudens!E8</f>
        <v>2345.387571209425</v>
      </c>
      <c r="F4" s="441">
        <f>huishoudens!F8</f>
        <v>54364.259151107064</v>
      </c>
      <c r="G4" s="441">
        <f>huishoudens!G8</f>
        <v>0</v>
      </c>
      <c r="H4" s="441">
        <f>huishoudens!H8</f>
        <v>0</v>
      </c>
      <c r="I4" s="441">
        <f>huishoudens!I8</f>
        <v>0</v>
      </c>
      <c r="J4" s="441">
        <f>huishoudens!J8</f>
        <v>279.38440477556122</v>
      </c>
      <c r="K4" s="441">
        <f>huishoudens!K8</f>
        <v>0</v>
      </c>
      <c r="L4" s="441">
        <f>huishoudens!L8</f>
        <v>0</v>
      </c>
      <c r="M4" s="441">
        <f>huishoudens!M8</f>
        <v>0</v>
      </c>
      <c r="N4" s="441">
        <f>huishoudens!N8</f>
        <v>11903.604087642558</v>
      </c>
      <c r="O4" s="441">
        <f>huishoudens!O8</f>
        <v>678.48666666666679</v>
      </c>
      <c r="P4" s="442">
        <f>huishoudens!P8</f>
        <v>1773.2</v>
      </c>
      <c r="Q4" s="443">
        <f>SUM(B4:P4)</f>
        <v>150526.81196944622</v>
      </c>
    </row>
    <row r="5" spans="1:17">
      <c r="A5" s="440" t="s">
        <v>149</v>
      </c>
      <c r="B5" s="441">
        <f ca="1">tertiair!B16</f>
        <v>29260.432645999997</v>
      </c>
      <c r="C5" s="441">
        <f ca="1">tertiair!C16</f>
        <v>34.071428571428577</v>
      </c>
      <c r="D5" s="441">
        <f ca="1">tertiair!D16</f>
        <v>20738.97123191514</v>
      </c>
      <c r="E5" s="441">
        <f>tertiair!E16</f>
        <v>390.53199205291821</v>
      </c>
      <c r="F5" s="441">
        <f ca="1">tertiair!F16</f>
        <v>5272.9566010410254</v>
      </c>
      <c r="G5" s="441">
        <f>tertiair!G16</f>
        <v>0</v>
      </c>
      <c r="H5" s="441">
        <f>tertiair!H16</f>
        <v>0</v>
      </c>
      <c r="I5" s="441">
        <f>tertiair!I16</f>
        <v>0</v>
      </c>
      <c r="J5" s="441">
        <f>tertiair!J16</f>
        <v>4.2966354273260683E-2</v>
      </c>
      <c r="K5" s="441">
        <f>tertiair!K16</f>
        <v>0</v>
      </c>
      <c r="L5" s="441">
        <f ca="1">tertiair!L16</f>
        <v>0</v>
      </c>
      <c r="M5" s="441">
        <f>tertiair!M16</f>
        <v>0</v>
      </c>
      <c r="N5" s="441">
        <f ca="1">tertiair!N16</f>
        <v>1726.0710351857745</v>
      </c>
      <c r="O5" s="441">
        <f>tertiair!O16</f>
        <v>3.1266666666666669</v>
      </c>
      <c r="P5" s="442">
        <f>tertiair!P16</f>
        <v>19.066666666666666</v>
      </c>
      <c r="Q5" s="440">
        <f t="shared" ref="Q5:Q14" ca="1" si="0">SUM(B5:P5)</f>
        <v>57445.271234453889</v>
      </c>
    </row>
    <row r="6" spans="1:17">
      <c r="A6" s="440" t="s">
        <v>187</v>
      </c>
      <c r="B6" s="441">
        <f>'openbare verlichting'!B8</f>
        <v>1418.8440000000001</v>
      </c>
      <c r="C6" s="441"/>
      <c r="D6" s="441"/>
      <c r="E6" s="441"/>
      <c r="F6" s="441"/>
      <c r="G6" s="441"/>
      <c r="H6" s="441"/>
      <c r="I6" s="441"/>
      <c r="J6" s="441"/>
      <c r="K6" s="441"/>
      <c r="L6" s="441"/>
      <c r="M6" s="441"/>
      <c r="N6" s="441"/>
      <c r="O6" s="441"/>
      <c r="P6" s="442"/>
      <c r="Q6" s="440">
        <f t="shared" si="0"/>
        <v>1418.8440000000001</v>
      </c>
    </row>
    <row r="7" spans="1:17">
      <c r="A7" s="440" t="s">
        <v>105</v>
      </c>
      <c r="B7" s="441">
        <f>landbouw!B8</f>
        <v>513.09900000000005</v>
      </c>
      <c r="C7" s="441">
        <f>landbouw!C8</f>
        <v>0</v>
      </c>
      <c r="D7" s="441">
        <f>landbouw!D8</f>
        <v>483.19057600000002</v>
      </c>
      <c r="E7" s="441">
        <f>landbouw!E8</f>
        <v>16.651749242092873</v>
      </c>
      <c r="F7" s="441">
        <f>landbouw!F8</f>
        <v>1892.9217762931075</v>
      </c>
      <c r="G7" s="441">
        <f>landbouw!G8</f>
        <v>0</v>
      </c>
      <c r="H7" s="441">
        <f>landbouw!H8</f>
        <v>0</v>
      </c>
      <c r="I7" s="441">
        <f>landbouw!I8</f>
        <v>0</v>
      </c>
      <c r="J7" s="441">
        <f>landbouw!J8</f>
        <v>134.93973223651031</v>
      </c>
      <c r="K7" s="441">
        <f>landbouw!K8</f>
        <v>0</v>
      </c>
      <c r="L7" s="441">
        <f>landbouw!L8</f>
        <v>0</v>
      </c>
      <c r="M7" s="441">
        <f>landbouw!M8</f>
        <v>0</v>
      </c>
      <c r="N7" s="441">
        <f>landbouw!N8</f>
        <v>0</v>
      </c>
      <c r="O7" s="441">
        <f>landbouw!O8</f>
        <v>0</v>
      </c>
      <c r="P7" s="442">
        <f>landbouw!P8</f>
        <v>0</v>
      </c>
      <c r="Q7" s="440">
        <f t="shared" si="0"/>
        <v>3040.8028337717105</v>
      </c>
    </row>
    <row r="8" spans="1:17">
      <c r="A8" s="440" t="s">
        <v>596</v>
      </c>
      <c r="B8" s="441">
        <f>industrie!B18</f>
        <v>119404.79844700001</v>
      </c>
      <c r="C8" s="441">
        <f>industrie!C18</f>
        <v>0</v>
      </c>
      <c r="D8" s="441">
        <f>industrie!D18</f>
        <v>14007.999636356</v>
      </c>
      <c r="E8" s="441">
        <f>industrie!E18</f>
        <v>3996.1046354694654</v>
      </c>
      <c r="F8" s="441">
        <f>industrie!F18</f>
        <v>26806.585518706041</v>
      </c>
      <c r="G8" s="441">
        <f>industrie!G18</f>
        <v>0</v>
      </c>
      <c r="H8" s="441">
        <f>industrie!H18</f>
        <v>0</v>
      </c>
      <c r="I8" s="441">
        <f>industrie!I18</f>
        <v>0</v>
      </c>
      <c r="J8" s="441">
        <f>industrie!J18</f>
        <v>137.11313152327045</v>
      </c>
      <c r="K8" s="441">
        <f>industrie!K18</f>
        <v>0</v>
      </c>
      <c r="L8" s="441">
        <f>industrie!L18</f>
        <v>0</v>
      </c>
      <c r="M8" s="441">
        <f>industrie!M18</f>
        <v>0</v>
      </c>
      <c r="N8" s="441">
        <f>industrie!N18</f>
        <v>18674.300417601826</v>
      </c>
      <c r="O8" s="441">
        <f>industrie!O18</f>
        <v>0</v>
      </c>
      <c r="P8" s="442">
        <f>industrie!P18</f>
        <v>0</v>
      </c>
      <c r="Q8" s="440">
        <f t="shared" si="0"/>
        <v>183026.90178665661</v>
      </c>
    </row>
    <row r="9" spans="1:17" s="446" customFormat="1">
      <c r="A9" s="444" t="s">
        <v>545</v>
      </c>
      <c r="B9" s="445">
        <f>transport!B14</f>
        <v>82.547077214394733</v>
      </c>
      <c r="C9" s="445">
        <f>transport!C14</f>
        <v>0</v>
      </c>
      <c r="D9" s="445">
        <f>transport!D14</f>
        <v>140.50549745210995</v>
      </c>
      <c r="E9" s="445">
        <f>transport!E14</f>
        <v>256.67504928677488</v>
      </c>
      <c r="F9" s="445">
        <f>transport!F14</f>
        <v>0</v>
      </c>
      <c r="G9" s="445">
        <f>transport!G14</f>
        <v>112762.71112246305</v>
      </c>
      <c r="H9" s="445">
        <f>transport!H14</f>
        <v>24477.508990767899</v>
      </c>
      <c r="I9" s="445">
        <f>transport!I14</f>
        <v>0</v>
      </c>
      <c r="J9" s="445">
        <f>transport!J14</f>
        <v>0</v>
      </c>
      <c r="K9" s="445">
        <f>transport!K14</f>
        <v>0</v>
      </c>
      <c r="L9" s="445">
        <f>transport!L14</f>
        <v>0</v>
      </c>
      <c r="M9" s="445">
        <f>transport!M14</f>
        <v>7308.8364162537591</v>
      </c>
      <c r="N9" s="445">
        <f>transport!N14</f>
        <v>0</v>
      </c>
      <c r="O9" s="445">
        <f>transport!O14</f>
        <v>0</v>
      </c>
      <c r="P9" s="445">
        <f>transport!P14</f>
        <v>0</v>
      </c>
      <c r="Q9" s="444">
        <f>SUM(B9:P9)</f>
        <v>145028.784153438</v>
      </c>
    </row>
    <row r="10" spans="1:17">
      <c r="A10" s="440" t="s">
        <v>535</v>
      </c>
      <c r="B10" s="441">
        <f>transport!B54</f>
        <v>19.348361865874416</v>
      </c>
      <c r="C10" s="441">
        <f>transport!C54</f>
        <v>0</v>
      </c>
      <c r="D10" s="441">
        <f>transport!D54</f>
        <v>0</v>
      </c>
      <c r="E10" s="441">
        <f>transport!E54</f>
        <v>0</v>
      </c>
      <c r="F10" s="441">
        <f>transport!F54</f>
        <v>0</v>
      </c>
      <c r="G10" s="441">
        <f>transport!G54</f>
        <v>1817.5865810724422</v>
      </c>
      <c r="H10" s="441">
        <f>transport!H54</f>
        <v>0</v>
      </c>
      <c r="I10" s="441">
        <f>transport!I54</f>
        <v>0</v>
      </c>
      <c r="J10" s="441">
        <f>transport!J54</f>
        <v>0</v>
      </c>
      <c r="K10" s="441">
        <f>transport!K54</f>
        <v>0</v>
      </c>
      <c r="L10" s="441">
        <f>transport!L54</f>
        <v>0</v>
      </c>
      <c r="M10" s="441">
        <f>transport!M54</f>
        <v>104.66935392834677</v>
      </c>
      <c r="N10" s="441">
        <f>transport!N54</f>
        <v>0</v>
      </c>
      <c r="O10" s="441">
        <f>transport!O54</f>
        <v>0</v>
      </c>
      <c r="P10" s="442">
        <f>transport!P54</f>
        <v>0</v>
      </c>
      <c r="Q10" s="440">
        <f t="shared" si="0"/>
        <v>1941.6042968666634</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678.45994299999995</v>
      </c>
      <c r="C14" s="448"/>
      <c r="D14" s="448">
        <f>'SEAP template'!E25</f>
        <v>1917.065521</v>
      </c>
      <c r="E14" s="448"/>
      <c r="F14" s="448"/>
      <c r="G14" s="448"/>
      <c r="H14" s="448"/>
      <c r="I14" s="448"/>
      <c r="J14" s="448"/>
      <c r="K14" s="448"/>
      <c r="L14" s="448"/>
      <c r="M14" s="448"/>
      <c r="N14" s="448"/>
      <c r="O14" s="448"/>
      <c r="P14" s="449"/>
      <c r="Q14" s="440">
        <f t="shared" si="0"/>
        <v>2595.5254639999998</v>
      </c>
    </row>
    <row r="15" spans="1:17" s="450" customFormat="1">
      <c r="A15" s="957" t="s">
        <v>539</v>
      </c>
      <c r="B15" s="905">
        <f ca="1">SUM(B4:B14)</f>
        <v>182870.34288122517</v>
      </c>
      <c r="C15" s="905">
        <f t="shared" ref="C15:Q15" ca="1" si="1">SUM(C4:C14)</f>
        <v>34.071428571428577</v>
      </c>
      <c r="D15" s="905">
        <f t="shared" ca="1" si="1"/>
        <v>84977.409144623249</v>
      </c>
      <c r="E15" s="905">
        <f t="shared" si="1"/>
        <v>7005.3509972606762</v>
      </c>
      <c r="F15" s="905">
        <f t="shared" ca="1" si="1"/>
        <v>88336.723047147243</v>
      </c>
      <c r="G15" s="905">
        <f t="shared" si="1"/>
        <v>114580.29770353549</v>
      </c>
      <c r="H15" s="905">
        <f t="shared" si="1"/>
        <v>24477.508990767899</v>
      </c>
      <c r="I15" s="905">
        <f t="shared" si="1"/>
        <v>0</v>
      </c>
      <c r="J15" s="905">
        <f t="shared" si="1"/>
        <v>551.48023488961519</v>
      </c>
      <c r="K15" s="905">
        <f t="shared" si="1"/>
        <v>0</v>
      </c>
      <c r="L15" s="905">
        <f t="shared" ca="1" si="1"/>
        <v>0</v>
      </c>
      <c r="M15" s="905">
        <f t="shared" si="1"/>
        <v>7413.5057701821061</v>
      </c>
      <c r="N15" s="905">
        <f t="shared" ca="1" si="1"/>
        <v>32303.975540430158</v>
      </c>
      <c r="O15" s="905">
        <f t="shared" si="1"/>
        <v>681.61333333333346</v>
      </c>
      <c r="P15" s="905">
        <f t="shared" si="1"/>
        <v>1792.2666666666667</v>
      </c>
      <c r="Q15" s="905">
        <f t="shared" ca="1" si="1"/>
        <v>545024.54573863314</v>
      </c>
    </row>
    <row r="17" spans="1:17">
      <c r="A17" s="451" t="s">
        <v>540</v>
      </c>
      <c r="B17" s="714">
        <f ca="1">huishoudens!B10</f>
        <v>0.15714594773281335</v>
      </c>
      <c r="C17" s="714">
        <f ca="1">huishoudens!C10</f>
        <v>0.23764705882352943</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4948.9680094812875</v>
      </c>
      <c r="C22" s="441">
        <f t="shared" ref="C22:C32" ca="1" si="3">C4*$C$17</f>
        <v>0</v>
      </c>
      <c r="D22" s="441">
        <f t="shared" ref="D22:D32" si="4">D4*$D$17</f>
        <v>9633.3146897438019</v>
      </c>
      <c r="E22" s="441">
        <f t="shared" ref="E22:E32" si="5">E4*$E$17</f>
        <v>532.40297866453955</v>
      </c>
      <c r="F22" s="441">
        <f t="shared" ref="F22:F32" si="6">F4*$F$17</f>
        <v>14515.257193345587</v>
      </c>
      <c r="G22" s="441">
        <f t="shared" ref="G22:G32" si="7">G4*$G$17</f>
        <v>0</v>
      </c>
      <c r="H22" s="441">
        <f t="shared" ref="H22:H32" si="8">H4*$H$17</f>
        <v>0</v>
      </c>
      <c r="I22" s="441">
        <f t="shared" ref="I22:I32" si="9">I4*$I$17</f>
        <v>0</v>
      </c>
      <c r="J22" s="441">
        <f t="shared" ref="J22:J32" si="10">J4*$J$17</f>
        <v>98.90207929054867</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29728.844950525767</v>
      </c>
    </row>
    <row r="23" spans="1:17">
      <c r="A23" s="440" t="s">
        <v>149</v>
      </c>
      <c r="B23" s="441">
        <f t="shared" ca="1" si="2"/>
        <v>4598.1584192278206</v>
      </c>
      <c r="C23" s="441">
        <f t="shared" ca="1" si="3"/>
        <v>8.0969747899159685</v>
      </c>
      <c r="D23" s="441">
        <f t="shared" ca="1" si="4"/>
        <v>4189.2721888468586</v>
      </c>
      <c r="E23" s="441">
        <f t="shared" si="5"/>
        <v>88.650762196012437</v>
      </c>
      <c r="F23" s="441">
        <f t="shared" ca="1" si="6"/>
        <v>1407.8794124779538</v>
      </c>
      <c r="G23" s="441">
        <f t="shared" si="7"/>
        <v>0</v>
      </c>
      <c r="H23" s="441">
        <f t="shared" si="8"/>
        <v>0</v>
      </c>
      <c r="I23" s="441">
        <f t="shared" si="9"/>
        <v>0</v>
      </c>
      <c r="J23" s="441">
        <f t="shared" si="10"/>
        <v>1.521008941273428E-2</v>
      </c>
      <c r="K23" s="441">
        <f t="shared" si="11"/>
        <v>0</v>
      </c>
      <c r="L23" s="441">
        <f t="shared" ca="1" si="12"/>
        <v>0</v>
      </c>
      <c r="M23" s="441">
        <f t="shared" si="13"/>
        <v>0</v>
      </c>
      <c r="N23" s="441">
        <f t="shared" ca="1" si="14"/>
        <v>0</v>
      </c>
      <c r="O23" s="441">
        <f t="shared" si="15"/>
        <v>0</v>
      </c>
      <c r="P23" s="442">
        <f t="shared" si="16"/>
        <v>0</v>
      </c>
      <c r="Q23" s="440">
        <f t="shared" ref="Q23:Q32" ca="1" si="17">SUM(B23:P23)</f>
        <v>10292.072967627973</v>
      </c>
    </row>
    <row r="24" spans="1:17">
      <c r="A24" s="440" t="s">
        <v>187</v>
      </c>
      <c r="B24" s="441">
        <f t="shared" ca="1" si="2"/>
        <v>222.96558506501583</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222.96558506501583</v>
      </c>
    </row>
    <row r="25" spans="1:17">
      <c r="A25" s="440" t="s">
        <v>105</v>
      </c>
      <c r="B25" s="441">
        <f t="shared" ca="1" si="2"/>
        <v>80.631428635758809</v>
      </c>
      <c r="C25" s="441">
        <f t="shared" ca="1" si="3"/>
        <v>0</v>
      </c>
      <c r="D25" s="441">
        <f t="shared" si="4"/>
        <v>97.604496352000012</v>
      </c>
      <c r="E25" s="441">
        <f t="shared" si="5"/>
        <v>3.7799470779550823</v>
      </c>
      <c r="F25" s="441">
        <f t="shared" si="6"/>
        <v>505.41011427025973</v>
      </c>
      <c r="G25" s="441">
        <f t="shared" si="7"/>
        <v>0</v>
      </c>
      <c r="H25" s="441">
        <f t="shared" si="8"/>
        <v>0</v>
      </c>
      <c r="I25" s="441">
        <f t="shared" si="9"/>
        <v>0</v>
      </c>
      <c r="J25" s="441">
        <f t="shared" si="10"/>
        <v>47.768665211724645</v>
      </c>
      <c r="K25" s="441">
        <f t="shared" si="11"/>
        <v>0</v>
      </c>
      <c r="L25" s="441">
        <f t="shared" si="12"/>
        <v>0</v>
      </c>
      <c r="M25" s="441">
        <f t="shared" si="13"/>
        <v>0</v>
      </c>
      <c r="N25" s="441">
        <f t="shared" si="14"/>
        <v>0</v>
      </c>
      <c r="O25" s="441">
        <f t="shared" si="15"/>
        <v>0</v>
      </c>
      <c r="P25" s="442">
        <f t="shared" si="16"/>
        <v>0</v>
      </c>
      <c r="Q25" s="440">
        <f t="shared" ca="1" si="17"/>
        <v>735.1946515476983</v>
      </c>
    </row>
    <row r="26" spans="1:17">
      <c r="A26" s="440" t="s">
        <v>596</v>
      </c>
      <c r="B26" s="441">
        <f t="shared" ca="1" si="2"/>
        <v>18763.980215799376</v>
      </c>
      <c r="C26" s="441">
        <f t="shared" ca="1" si="3"/>
        <v>0</v>
      </c>
      <c r="D26" s="441">
        <f t="shared" si="4"/>
        <v>2829.6159265439123</v>
      </c>
      <c r="E26" s="441">
        <f t="shared" si="5"/>
        <v>907.11575225156867</v>
      </c>
      <c r="F26" s="441">
        <f t="shared" si="6"/>
        <v>7157.3583334945133</v>
      </c>
      <c r="G26" s="441">
        <f t="shared" si="7"/>
        <v>0</v>
      </c>
      <c r="H26" s="441">
        <f t="shared" si="8"/>
        <v>0</v>
      </c>
      <c r="I26" s="441">
        <f t="shared" si="9"/>
        <v>0</v>
      </c>
      <c r="J26" s="441">
        <f t="shared" si="10"/>
        <v>48.538048559237737</v>
      </c>
      <c r="K26" s="441">
        <f t="shared" si="11"/>
        <v>0</v>
      </c>
      <c r="L26" s="441">
        <f t="shared" si="12"/>
        <v>0</v>
      </c>
      <c r="M26" s="441">
        <f t="shared" si="13"/>
        <v>0</v>
      </c>
      <c r="N26" s="441">
        <f t="shared" si="14"/>
        <v>0</v>
      </c>
      <c r="O26" s="441">
        <f t="shared" si="15"/>
        <v>0</v>
      </c>
      <c r="P26" s="442">
        <f t="shared" si="16"/>
        <v>0</v>
      </c>
      <c r="Q26" s="440">
        <f t="shared" ca="1" si="17"/>
        <v>29706.608276648611</v>
      </c>
    </row>
    <row r="27" spans="1:17" s="446" customFormat="1">
      <c r="A27" s="444" t="s">
        <v>545</v>
      </c>
      <c r="B27" s="708">
        <f t="shared" ca="1" si="2"/>
        <v>12.971938681429782</v>
      </c>
      <c r="C27" s="445">
        <f t="shared" ca="1" si="3"/>
        <v>0</v>
      </c>
      <c r="D27" s="445">
        <f t="shared" si="4"/>
        <v>28.382110485326212</v>
      </c>
      <c r="E27" s="445">
        <f t="shared" si="5"/>
        <v>58.265236188097902</v>
      </c>
      <c r="F27" s="445">
        <f t="shared" si="6"/>
        <v>0</v>
      </c>
      <c r="G27" s="445">
        <f t="shared" si="7"/>
        <v>30107.643869697637</v>
      </c>
      <c r="H27" s="445">
        <f t="shared" si="8"/>
        <v>6094.8997387012068</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36302.162893753695</v>
      </c>
    </row>
    <row r="28" spans="1:17">
      <c r="A28" s="440" t="s">
        <v>535</v>
      </c>
      <c r="B28" s="441">
        <f t="shared" ca="1" si="2"/>
        <v>3.0405166624902598</v>
      </c>
      <c r="C28" s="441">
        <f t="shared" ca="1" si="3"/>
        <v>0</v>
      </c>
      <c r="D28" s="441">
        <f t="shared" si="4"/>
        <v>0</v>
      </c>
      <c r="E28" s="441">
        <f t="shared" si="5"/>
        <v>0</v>
      </c>
      <c r="F28" s="441">
        <f t="shared" si="6"/>
        <v>0</v>
      </c>
      <c r="G28" s="441">
        <f t="shared" si="7"/>
        <v>485.29561714634207</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488.3361338088323</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106.61723074148551</v>
      </c>
      <c r="C32" s="441">
        <f t="shared" ca="1" si="3"/>
        <v>0</v>
      </c>
      <c r="D32" s="441">
        <f t="shared" si="4"/>
        <v>387.24723524200004</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493.86446598348556</v>
      </c>
    </row>
    <row r="33" spans="1:17" s="450" customFormat="1">
      <c r="A33" s="957" t="s">
        <v>539</v>
      </c>
      <c r="B33" s="905">
        <f ca="1">SUM(B22:B32)</f>
        <v>28737.333344294664</v>
      </c>
      <c r="C33" s="905">
        <f t="shared" ref="C33:Q33" ca="1" si="18">SUM(C22:C32)</f>
        <v>8.0969747899159685</v>
      </c>
      <c r="D33" s="905">
        <f t="shared" ca="1" si="18"/>
        <v>17165.436647213901</v>
      </c>
      <c r="E33" s="905">
        <f t="shared" si="18"/>
        <v>1590.2146763781734</v>
      </c>
      <c r="F33" s="905">
        <f t="shared" ca="1" si="18"/>
        <v>23585.905053588314</v>
      </c>
      <c r="G33" s="905">
        <f t="shared" si="18"/>
        <v>30592.939486843978</v>
      </c>
      <c r="H33" s="905">
        <f t="shared" si="18"/>
        <v>6094.8997387012068</v>
      </c>
      <c r="I33" s="905">
        <f t="shared" si="18"/>
        <v>0</v>
      </c>
      <c r="J33" s="905">
        <f t="shared" si="18"/>
        <v>195.22400315092381</v>
      </c>
      <c r="K33" s="905">
        <f t="shared" si="18"/>
        <v>0</v>
      </c>
      <c r="L33" s="905">
        <f t="shared" ca="1" si="18"/>
        <v>0</v>
      </c>
      <c r="M33" s="905">
        <f t="shared" si="18"/>
        <v>0</v>
      </c>
      <c r="N33" s="905">
        <f t="shared" ca="1" si="18"/>
        <v>0</v>
      </c>
      <c r="O33" s="905">
        <f t="shared" si="18"/>
        <v>0</v>
      </c>
      <c r="P33" s="905">
        <f t="shared" si="18"/>
        <v>0</v>
      </c>
      <c r="Q33" s="905">
        <f t="shared" ca="1" si="18"/>
        <v>107970.04992496107</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43405.692756416734</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9433.2640979228108</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0</v>
      </c>
      <c r="C8" s="974">
        <f>'SEAP template'!C76</f>
        <v>23.85</v>
      </c>
      <c r="D8" s="974">
        <f>'SEAP template'!D76</f>
        <v>28.058823529411768</v>
      </c>
      <c r="E8" s="974">
        <f>'SEAP template'!E76</f>
        <v>0</v>
      </c>
      <c r="F8" s="974">
        <f>'SEAP template'!F76</f>
        <v>0</v>
      </c>
      <c r="G8" s="974">
        <f>'SEAP template'!G76</f>
        <v>0</v>
      </c>
      <c r="H8" s="974">
        <f>'SEAP template'!H76</f>
        <v>0</v>
      </c>
      <c r="I8" s="974">
        <f>'SEAP template'!I76</f>
        <v>0</v>
      </c>
      <c r="J8" s="974">
        <f>'SEAP template'!J76</f>
        <v>0</v>
      </c>
      <c r="K8" s="974">
        <f>'SEAP template'!K76</f>
        <v>0</v>
      </c>
      <c r="L8" s="974">
        <f>'SEAP template'!L76</f>
        <v>0</v>
      </c>
      <c r="M8" s="974">
        <f>'SEAP template'!M76</f>
        <v>0</v>
      </c>
      <c r="N8" s="974">
        <f>'SEAP template'!N76</f>
        <v>0</v>
      </c>
      <c r="O8" s="974">
        <f>'SEAP template'!O76</f>
        <v>0</v>
      </c>
      <c r="P8" s="975">
        <f>'SEAP template'!Q76</f>
        <v>5.6678823529411773</v>
      </c>
    </row>
    <row r="9" spans="1:16">
      <c r="A9" s="977" t="s">
        <v>792</v>
      </c>
      <c r="B9" s="974">
        <f>'SEAP template'!B77</f>
        <v>0</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52838.956854339543</v>
      </c>
      <c r="C10" s="978">
        <f>SUM(C4:C9)</f>
        <v>23.85</v>
      </c>
      <c r="D10" s="978">
        <f t="shared" ref="D10:H10" si="0">SUM(D8:D9)</f>
        <v>28.058823529411768</v>
      </c>
      <c r="E10" s="978">
        <f t="shared" si="0"/>
        <v>0</v>
      </c>
      <c r="F10" s="978">
        <f t="shared" si="0"/>
        <v>0</v>
      </c>
      <c r="G10" s="978">
        <f t="shared" si="0"/>
        <v>0</v>
      </c>
      <c r="H10" s="978">
        <f t="shared" si="0"/>
        <v>0</v>
      </c>
      <c r="I10" s="978">
        <f>SUM(I8:I9)</f>
        <v>0</v>
      </c>
      <c r="J10" s="978">
        <f>SUM(J8:J9)</f>
        <v>0</v>
      </c>
      <c r="K10" s="978">
        <f t="shared" ref="K10:L10" si="1">SUM(K8:K9)</f>
        <v>0</v>
      </c>
      <c r="L10" s="978">
        <f t="shared" si="1"/>
        <v>0</v>
      </c>
      <c r="M10" s="978">
        <f>SUM(M8:M9)</f>
        <v>0</v>
      </c>
      <c r="N10" s="978">
        <f>SUM(N8:N9)</f>
        <v>0</v>
      </c>
      <c r="O10" s="978">
        <f>SUM(O8:O9)</f>
        <v>0</v>
      </c>
      <c r="P10" s="978">
        <f>SUM(P8:P9)</f>
        <v>5.6678823529411773</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0.15714594773281335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0</v>
      </c>
      <c r="C17" s="980">
        <f>'SEAP template'!C87</f>
        <v>34.071428571428577</v>
      </c>
      <c r="D17" s="975">
        <f>'SEAP template'!D87</f>
        <v>40.084033613445385</v>
      </c>
      <c r="E17" s="975">
        <f>'SEAP template'!E87</f>
        <v>0</v>
      </c>
      <c r="F17" s="975">
        <f>'SEAP template'!F87</f>
        <v>0</v>
      </c>
      <c r="G17" s="975">
        <f>'SEAP template'!G87</f>
        <v>0</v>
      </c>
      <c r="H17" s="975">
        <f>'SEAP template'!H87</f>
        <v>0</v>
      </c>
      <c r="I17" s="975">
        <f>'SEAP template'!I87</f>
        <v>0</v>
      </c>
      <c r="J17" s="975">
        <f>'SEAP template'!J87</f>
        <v>0</v>
      </c>
      <c r="K17" s="975">
        <f>'SEAP template'!K87</f>
        <v>0</v>
      </c>
      <c r="L17" s="975">
        <f>'SEAP template'!L87</f>
        <v>0</v>
      </c>
      <c r="M17" s="975">
        <f>'SEAP template'!M87</f>
        <v>0</v>
      </c>
      <c r="N17" s="975">
        <f>'SEAP template'!N87</f>
        <v>0</v>
      </c>
      <c r="O17" s="975">
        <f>'SEAP template'!O87</f>
        <v>0</v>
      </c>
      <c r="P17" s="975">
        <f>'SEAP template'!Q87</f>
        <v>8.0969747899159685</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0</v>
      </c>
      <c r="C20" s="978">
        <f>SUM(C17:C19)</f>
        <v>34.071428571428577</v>
      </c>
      <c r="D20" s="978">
        <f t="shared" ref="D20:H20" si="2">SUM(D17:D19)</f>
        <v>40.084033613445385</v>
      </c>
      <c r="E20" s="978">
        <f t="shared" si="2"/>
        <v>0</v>
      </c>
      <c r="F20" s="978">
        <f t="shared" si="2"/>
        <v>0</v>
      </c>
      <c r="G20" s="978">
        <f t="shared" si="2"/>
        <v>0</v>
      </c>
      <c r="H20" s="978">
        <f t="shared" si="2"/>
        <v>0</v>
      </c>
      <c r="I20" s="978">
        <f>SUM(I17:I19)</f>
        <v>0</v>
      </c>
      <c r="J20" s="978">
        <f>SUM(J17:J19)</f>
        <v>0</v>
      </c>
      <c r="K20" s="978">
        <f t="shared" ref="K20:L20" si="3">SUM(K17:K19)</f>
        <v>0</v>
      </c>
      <c r="L20" s="978">
        <f t="shared" si="3"/>
        <v>0</v>
      </c>
      <c r="M20" s="978">
        <f>SUM(M17:M19)</f>
        <v>0</v>
      </c>
      <c r="N20" s="978">
        <f>SUM(N17:N19)</f>
        <v>0</v>
      </c>
      <c r="O20" s="978">
        <f>SUM(O17:O19)</f>
        <v>0</v>
      </c>
      <c r="P20" s="978">
        <f>SUM(P17:P19)</f>
        <v>8.0969747899159685</v>
      </c>
    </row>
    <row r="22" spans="1:16">
      <c r="A22" s="451" t="s">
        <v>800</v>
      </c>
      <c r="B22" s="714" t="s">
        <v>794</v>
      </c>
      <c r="C22" s="714">
        <f ca="1">'EF ele_warmte'!B22</f>
        <v>0.23764705882352943</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0.15714594773281335</v>
      </c>
      <c r="C17" s="488">
        <f ca="1">'EF ele_warmte'!B22</f>
        <v>0.23764705882352943</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0</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0</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2022-07-26T10:51:54Z</dcterms:modified>
</cp:coreProperties>
</file>