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F4499FCA-E05E-4541-BA67-37D601EA5F3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<sst xmlns="http://schemas.openxmlformats.org/spreadsheetml/2006/main" count="2407" uniqueCount="883">
  <si>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</si>
  <si>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</si>
  <si>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</si>
  <si>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</si>
  <si>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</si>
  <si>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</si>
  <si>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</si>
  <si>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</si>
  <si>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</si>
  <si>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</si>
  <si>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</si>
  <si>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</si>
  <si>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</si>
  <si>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</si>
  <si>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</si>
  <si>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</si>
  <si>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</si>
  <si>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</si>
  <si>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</si>
  <si>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</si>
  <si>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</si>
  <si>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</si>
  <si>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</si>
  <si>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</si>
  <si>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</si>
  <si>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</si>
  <si>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</si>
  <si>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</si>
  <si>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</si>
  <si>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</si>
  <si>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</si>
  <si>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</si>
  <si>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</si>
  <si>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</si>
  <si>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</si>
  <si>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</si>
  <si>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</si>
  <si>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</si>
  <si>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</si>
  <si>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</si>
  <si>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</si>
  <si>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</si>
  <si>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</si>
  <si>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</si>
  <si>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</si>
  <si>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</si>
  <si>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</si>
  <si>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</si>
  <si>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</si>
  <si>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</si>
  <si>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</si>
  <si>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</si>
  <si>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</si>
  <si>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</si>
  <si>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</si>
  <si>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</si>
  <si>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</si>
  <si>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</si>
  <si>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</si>
  <si>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</si>
  <si>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</si>
  <si>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</si>
  <si>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</si>
  <si>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</si>
  <si>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</si>
  <si>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</si>
  <si>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</si>
  <si>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</si>
  <si>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</si>
  <si>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</si>
  <si>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</si>
  <si>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</si>
  <si>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</si>
  <si>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</si>
  <si>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</si>
  <si>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</si>
  <si>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</si>
  <si>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</si>
  <si>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</si>
  <si>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</si>
  <si>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</si>
  <si>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</si>
  <si>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</si>
  <si>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</si>
  <si>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</si>
  <si>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</si>
  <si>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</si>
  <si>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</si>
  <si>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</si>
  <si>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</si>
  <si>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</si>
  <si>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</si>
  <si>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</si>
  <si>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</si>
  <si>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</si>
  <si>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</si>
  <si>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</si>
  <si>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</si>
  <si>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</si>
  <si>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</si>
  <si>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</si>
  <si>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</si>
  <si>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</si>
  <si>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</si>
  <si>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</si>
  <si>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</si>
  <si>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</si>
  <si>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</si>
  <si>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</si>
  <si>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</si>
  <si>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</si>
  <si>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</si>
  <si>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</si>
  <si>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</si>
  <si>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</si>
  <si>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</si>
  <si>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</si>
  <si>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</si>
  <si>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</si>
  <si>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</si>
  <si>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</si>
  <si>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</si>
  <si>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</si>
  <si>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</si>
  <si>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</si>
  <si>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</si>
  <si>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</si>
  <si>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</si>
  <si>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</si>
  <si>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</si>
  <si>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</si>
  <si>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</si>
  <si>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</si>
  <si>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</si>
  <si>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</si>
  <si>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</si>
  <si>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</si>
  <si>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</si>
  <si>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</si>
  <si>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</si>
  <si>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</si>
  <si>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</si>
  <si>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</si>
  <si>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</si>
  <si>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</si>
  <si>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</si>
  <si>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</si>
  <si>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</si>
  <si>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</si>
  <si>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</si>
  <si>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</si>
  <si>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</si>
  <si>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</si>
  <si>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</si>
  <si>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</si>
  <si>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</si>
  <si>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</si>
  <si>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</si>
  <si>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</si>
  <si>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</si>
  <si>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</si>
  <si>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</si>
  <si>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</si>
  <si>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</si>
  <si>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</si>
  <si>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</si>
  <si>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</si>
  <si>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</si>
  <si>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</si>
  <si>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</si>
  <si>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</si>
  <si>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</si>
  <si>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</si>
  <si>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</si>
  <si>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</si>
  <si>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</si>
  <si>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</si>
  <si>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</si>
  <si>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</si>
  <si>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</si>
  <si>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</si>
  <si>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</si>
  <si>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</si>
  <si>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</si>
  <si>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</si>
  <si>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</si>
  <si>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</si>
  <si>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</si>
  <si>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</si>
  <si>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</si>
  <si>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</si>
  <si>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</si>
  <si>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</si>
  <si>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</si>
  <si>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</si>
  <si>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</si>
  <si>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</si>
  <si>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</si>
  <si>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</si>
  <si>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</si>
  <si>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</si>
  <si>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</si>
  <si>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</si>
  <si>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</si>
  <si>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</si>
  <si>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</si>
  <si>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</si>
  <si>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</si>
  <si>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</si>
  <si>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</si>
  <si>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</si>
  <si>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</si>
  <si>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</si>
  <si>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</si>
  <si>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</si>
  <si>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</si>
  <si>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</si>
  <si>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</si>
  <si>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</si>
  <si>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</si>
  <si>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</si>
  <si>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</si>
  <si>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</si>
  <si>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</si>
  <si>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</si>
  <si>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</si>
  <si>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</si>
  <si>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</si>
  <si>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</si>
  <si>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</si>
  <si>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</si>
  <si>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</si>
  <si>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</si>
  <si>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</si>
  <si>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</si>
  <si>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</si>
  <si>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</si>
  <si>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</si>
  <si>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</si>
  <si>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</si>
  <si>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</si>
  <si>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</si>
  <si>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</si>
  <si>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</si>
  <si>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</si>
  <si>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</si>
  <si>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</si>
  <si>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</si>
  <si>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</si>
  <si>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</si>
  <si>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</si>
  <si>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</si>
  <si>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</si>
  <si>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</si>
  <si>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</si>
  <si>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</si>
  <si>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</si>
  <si>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</si>
  <si>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</si>
  <si>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</si>
  <si>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</si>
  <si>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</si>
  <si>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</si>
  <si>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</si>
  <si>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</si>
  <si>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</si>
  <si>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</si>
  <si>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</si>
  <si>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</si>
  <si>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</si>
  <si>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</si>
  <si>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</si>
  <si>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</si>
  <si>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</si>
  <si>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</si>
  <si>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</si>
  <si>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</si>
  <si>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</si>
  <si>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</si>
  <si>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</si>
  <si>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</si>
  <si>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</si>
  <si>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</si>
  <si>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</si>
  <si>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</si>
  <si>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</si>
  <si>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</si>
  <si>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</si>
  <si>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</si>
  <si>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</si>
  <si>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</si>
  <si>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</si>
  <si>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</si>
  <si>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</si>
  <si>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</si>
  <si>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</si>
  <si>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</si>
  <si>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</si>
  <si>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</si>
  <si>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</si>
  <si>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</si>
  <si>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</si>
  <si>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</si>
  <si>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</si>
  <si>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</si>
  <si>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</si>
  <si>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</si>
  <si>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</si>
  <si>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</si>
  <si>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</si>
  <si>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</si>
  <si>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</si>
  <si>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</si>
  <si>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</si>
  <si>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</si>
  <si>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</si>
  <si>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</si>
  <si>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</si>
  <si>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</si>
  <si>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</si>
  <si>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</si>
  <si>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</si>
  <si>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</si>
  <si>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</si>
  <si>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</si>
  <si>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</si>
  <si>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</si>
  <si>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</si>
  <si>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</si>
  <si>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</si>
  <si>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</si>
  <si>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</si>
  <si>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</si>
  <si>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</si>
  <si>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</si>
  <si>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</si>
  <si>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</si>
  <si>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</si>
  <si>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</si>
  <si>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</si>
  <si>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</si>
  <si>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</si>
  <si>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</si>
  <si>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</si>
  <si>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</si>
  <si>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</si>
  <si>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</si>
  <si>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</si>
  <si>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</si>
  <si>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</si>
  <si>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</si>
  <si>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</si>
  <si>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</si>
  <si>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</si>
  <si>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</si>
  <si>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</si>
  <si>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</si>
  <si>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</si>
  <si>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</si>
  <si>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</si>
  <si>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</si>
  <si>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</si>
  <si>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</si>
  <si>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</si>
  <si>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</si>
  <si>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</si>
  <si>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</si>
  <si>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</si>
  <si>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</si>
  <si>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</si>
  <si>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</si>
  <si>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</si>
  <si>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</si>
  <si>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</si>
  <si>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</si>
  <si>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</si>
  <si>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</si>
  <si>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</si>
  <si>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</si>
  <si>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</si>
  <si>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</si>
  <si>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</si>
  <si>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</si>
  <si>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</si>
  <si>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</si>
  <si>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</si>
  <si>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</si>
  <si>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</si>
  <si>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</si>
  <si>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</si>
  <si>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</si>
  <si>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</si>
  <si>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</si>
  <si>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</si>
  <si>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</si>
  <si>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</si>
  <si>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</si>
  <si>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</si>
  <si>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</si>
  <si>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</si>
  <si>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</si>
  <si>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</si>
  <si>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</si>
  <si>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</si>
  <si>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</si>
  <si>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</si>
  <si>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</si>
  <si>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</si>
  <si>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</si>
  <si>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</si>
  <si>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</si>
  <si>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</si>
  <si>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</si>
  <si>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</si>
  <si>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</si>
  <si>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</si>
  <si>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</si>
  <si>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</si>
  <si>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</si>
  <si>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</si>
  <si>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</si>
  <si>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</si>
  <si>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</si>
  <si>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</si>
  <si>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</si>
  <si>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</si>
  <si>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</si>
  <si>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</si>
  <si>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</si>
  <si>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</si>
  <si>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</si>
  <si>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</si>
  <si>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</si>
  <si>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</si>
  <si>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</si>
  <si>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</si>
  <si>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</si>
  <si>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</si>
  <si>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</si>
  <si>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</si>
  <si>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</si>
  <si>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</si>
  <si>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</si>
  <si>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</si>
  <si>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</si>
  <si>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</si>
  <si>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</si>
  <si>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</si>
  <si>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</si>
  <si>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</si>
  <si>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</si>
  <si>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</si>
  <si>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</si>
  <si>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</si>
  <si>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</si>
  <si>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</si>
  <si>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</si>
  <si>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</si>
  <si>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</si>
  <si>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</si>
  <si>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</si>
  <si>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</si>
  <si>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</si>
  <si>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</si>
  <si>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</si>
  <si>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</si>
  <si>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</si>
  <si>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</si>
  <si>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</si>
  <si>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</si>
  <si>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</si>
  <si>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</si>
  <si>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</si>
  <si>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</si>
  <si>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</si>
  <si>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</si>
  <si>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</si>
  <si>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</si>
  <si>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</si>
  <si>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</si>
  <si>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</si>
  <si>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</si>
  <si>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</si>
  <si>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</si>
  <si>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</si>
  <si>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</si>
  <si>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</si>
  <si>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</si>
  <si>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</si>
  <si>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</si>
  <si>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</si>
  <si>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</si>
  <si>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</si>
  <si>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</si>
  <si>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</si>
  <si>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</si>
  <si>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</si>
  <si>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</si>
  <si>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</si>
  <si>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</si>
  <si>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</si>
  <si>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</si>
  <si>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</si>
  <si>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</si>
  <si>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</si>
  <si>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</si>
  <si>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</si>
  <si>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</si>
  <si>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</si>
  <si>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</si>
  <si>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</si>
  <si>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</si>
  <si>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</si>
  <si>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</si>
  <si>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</si>
  <si>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</si>
  <si>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</si>
  <si>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</si>
  <si>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</si>
  <si>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</si>
  <si>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</si>
  <si>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</si>
  <si>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</si>
  <si>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</si>
  <si>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</si>
  <si>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</si>
  <si>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</si>
  <si>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</si>
  <si>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</si>
  <si>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</si>
  <si>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</si>
  <si>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</si>
  <si>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</si>
  <si>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</si>
  <si>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</si>
  <si>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</si>
  <si>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</si>
  <si>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</si>
  <si>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</si>
  <si>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</si>
  <si>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</si>
  <si>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</si>
  <si>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</si>
  <si>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</si>
  <si>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</si>
  <si>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</si>
  <si>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</si>
  <si>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</si>
  <si>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</si>
  <si>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</si>
  <si>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</si>
  <si>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</si>
  <si>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</si>
  <si>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</si>
  <si>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</si>
  <si>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</si>
  <si>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</si>
  <si>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</si>
  <si>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</si>
  <si>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</si>
  <si>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</si>
  <si>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</si>
  <si>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</si>
  <si>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</si>
  <si>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</si>
  <si>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</si>
  <si>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</si>
  <si>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</si>
  <si>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</si>
  <si>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</si>
  <si>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</si>
  <si>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</si>
  <si>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</si>
  <si>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</si>
  <si>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</si>
  <si>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</si>
  <si>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</si>
  <si>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</si>
  <si>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</si>
  <si>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</si>
  <si>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</si>
  <si>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</si>
  <si>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</si>
  <si>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</si>
  <si>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</si>
  <si>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</si>
  <si>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</si>
  <si>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</si>
  <si>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</si>
  <si>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</si>
  <si>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</si>
  <si>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</si>
  <si>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</si>
  <si>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</si>
  <si>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</si>
  <si>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</si>
  <si>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</si>
  <si>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</si>
  <si>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</si>
  <si>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</si>
  <si>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</si>
  <si>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</si>
  <si>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</si>
  <si>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</si>
  <si>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</si>
  <si>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</si>
  <si>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</si>
  <si>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</si>
  <si>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</si>
  <si>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</si>
  <si>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</si>
  <si>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</si>
  <si>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</si>
  <si>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</si>
  <si>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</si>
  <si>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</si>
  <si>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</si>
  <si>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</si>
  <si>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</si>
  <si>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</si>
  <si>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</si>
  <si>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</si>
  <si>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</si>
  <si>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</si>
  <si>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</si>
  <si>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</si>
  <si>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</si>
  <si>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</si>
  <si>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</si>
  <si>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</si>
  <si>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</si>
  <si>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</si>
  <si>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</si>
  <si>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</si>
  <si>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</si>
  <si>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</si>
  <si>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</si>
  <si>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</si>
  <si>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</si>
  <si>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</si>
  <si>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</si>
  <si>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</si>
  <si>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</si>
  <si>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</si>
  <si>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</si>
  <si>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</si>
  <si>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</si>
  <si>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</si>
  <si>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</si>
  <si>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</si>
  <si>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</si>
  <si>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</si>
  <si>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</si>
  <si>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</si>
  <si>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</si>
  <si>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</si>
  <si>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</si>
  <si>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</si>
  <si>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</si>
  <si>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</si>
  <si>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</si>
  <si>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</si>
  <si>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</si>
  <si>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</si>
  <si>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</si>
  <si>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</si>
  <si>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</si>
  <si>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</si>
  <si>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</si>
  <si>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</si>
  <si>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</si>
  <si>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</si>
  <si>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</si>
  <si>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</si>
  <si>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</si>
  <si>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</si>
  <si>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</si>
  <si>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</si>
  <si>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</si>
  <si>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</si>
  <si>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</si>
  <si>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</si>
  <si>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</si>
  <si>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</si>
  <si>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</si>
  <si>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</si>
  <si>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</si>
  <si>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</si>
  <si>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</si>
  <si>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</si>
  <si>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</si>
  <si>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</si>
  <si>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</si>
  <si>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</si>
  <si>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</si>
  <si>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</si>
  <si>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</si>
  <si>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</si>
  <si>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</si>
  <si>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</si>
  <si>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</si>
  <si>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</si>
  <si>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</si>
  <si>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</si>
  <si>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</si>
  <si>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</si>
  <si>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</si>
  <si>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</si>
  <si>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</si>
  <si>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</si>
  <si>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</si>
  <si>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</si>
  <si>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</si>
  <si>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</si>
  <si>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</si>
  <si>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</si>
  <si>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</si>
  <si>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</si>
  <si>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</si>
  <si>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</si>
  <si>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</si>
  <si>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</si>
  <si>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</si>
  <si>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</si>
  <si>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</si>
  <si>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</si>
  <si>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</si>
  <si>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</si>
  <si>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</si>
  <si>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</si>
  <si>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</si>
  <si>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</si>
  <si>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</si>
  <si>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</si>
  <si>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</si>
  <si>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</si>
  <si>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</si>
  <si>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</si>
  <si>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</si>
  <si>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</si>
  <si>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</si>
  <si>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</si>
  <si>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</si>
  <si>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</si>
  <si>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</si>
  <si>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</si>
  <si>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</si>
  <si>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</si>
  <si>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</si>
  <si>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</si>
  <si>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</si>
  <si>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</si>
  <si>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</si>
  <si>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</si>
  <si>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</si>
  <si>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</si>
  <si>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</si>
  <si>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</si>
  <si>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</si>
  <si>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</si>
  <si>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</si>
  <si>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</si>
  <si>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</si>
  <si>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</si>
  <si>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</si>
  <si>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</si>
  <si>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</si>
  <si>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</si>
  <si>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</si>
  <si>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</si>
  <si>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</si>
  <si>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</si>
  <si>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</si>
  <si>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</si>
  <si>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</si>
  <si>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</si>
  <si>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</si>
  <si>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</si>
  <si>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</si>
  <si>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</si>
  <si>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</si>
  <si>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</si>
  <si>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</si>
  <si>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</si>
  <si>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</si>
  <si>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</si>
  <si>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</si>
  <si>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</si>
  <si>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</si>
  <si>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</si>
  <si>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</si>
  <si>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</si>
  <si>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</si>
  <si>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</si>
  <si>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</si>
  <si>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</si>
  <si>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</si>
  <si>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</si>
  <si>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</si>
  <si>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</si>
  <si>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</si>
  <si>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</si>
  <si>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</si>
  <si>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</si>
  <si>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</si>
  <si>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</si>
  <si>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</si>
  <si>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</si>
  <si>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</si>
  <si>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</si>
  <si>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</si>
  <si>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</si>
  <si>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</si>
  <si>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</si>
  <si>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</si>
  <si>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</si>
  <si>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</si>
  <si>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</si>
  <si>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</si>
  <si>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</si>
  <si>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</si>
  <si>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</si>
  <si>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</si>
  <si>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</si>
  <si>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</si>
  <si>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</si>
  <si>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</si>
  <si>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</si>
  <si>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</si>
  <si>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</si>
  <si>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</si>
  <si>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</si>
  <si>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</si>
  <si>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</si>
  <si>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</si>
  <si>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</si>
  <si>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</si>
  <si>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</si>
  <si>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</si>
  <si>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</si>
  <si>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</si>
  <si>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</si>
  <si>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</si>
  <si>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</si>
  <si>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</si>
  <si>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</si>
  <si>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</si>
  <si>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</si>
  <si>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</si>
  <si>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</si>
  <si>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</si>
  <si>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</si>
  <si>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</si>
  <si>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</si>
  <si>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</si>
  <si>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</si>
  <si>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</si>
  <si>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</si>
  <si>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</si>
  <si>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</si>
  <si>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</si>
  <si>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</si>
  <si>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</si>
  <si>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</si>
  <si>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</si>
  <si>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</si>
  <si>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</si>
  <si>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</si>
  <si>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</si>
  <si>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</si>
  <si>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</si>
  <si>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</si>
  <si>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</si>
  <si>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</si>
  <si>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</si>
  <si>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71016</t>
  </si>
  <si>
    <t>GENK</t>
  </si>
  <si>
    <t>vloeibaar gas (MWh)</t>
  </si>
  <si>
    <t>interne verbrandingsmotor</t>
  </si>
  <si>
    <t>WKK interne verbrandinsgmotor (gas)</t>
  </si>
  <si>
    <t>Inter-Energa</t>
  </si>
  <si>
    <t>biogas - RWZI</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</si>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</sst>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82FA0AD1-88EB-4001-AAF1-ACB635F8195A}"/>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532721.46488383971</c:v>
                </c:pt>
                <c:pt idx="1">
                  <c:v>317717.18099123193</c:v>
                </c:pt>
                <c:pt idx="2">
                  <c:v>4006.2060000000001</c:v>
                </c:pt>
                <c:pt idx="3">
                  <c:v>2178.7502765761697</c:v>
                </c:pt>
                <c:pt idx="4">
                  <c:v>391430.20201572694</c:v>
                </c:pt>
                <c:pt idx="5">
                  <c:v>368344.92057278455</c:v>
                </c:pt>
                <c:pt idx="6">
                  <c:v>15037.26183697508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532721.46488383971</c:v>
                </c:pt>
                <c:pt idx="1">
                  <c:v>317717.18099123193</c:v>
                </c:pt>
                <c:pt idx="2">
                  <c:v>4006.2060000000001</c:v>
                </c:pt>
                <c:pt idx="3">
                  <c:v>2178.7502765761697</c:v>
                </c:pt>
                <c:pt idx="4">
                  <c:v>391430.20201572694</c:v>
                </c:pt>
                <c:pt idx="5">
                  <c:v>368344.92057278455</c:v>
                </c:pt>
                <c:pt idx="6">
                  <c:v>15037.26183697508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108773.13627530009</c:v>
                </c:pt>
                <c:pt idx="2">
                  <c:v>61784.932413338734</c:v>
                </c:pt>
                <c:pt idx="3">
                  <c:v>723.78034592571589</c:v>
                </c:pt>
                <c:pt idx="4">
                  <c:v>538.92411364907286</c:v>
                </c:pt>
                <c:pt idx="5">
                  <c:v>78726.674386323939</c:v>
                </c:pt>
                <c:pt idx="6">
                  <c:v>92216.529722654013</c:v>
                </c:pt>
                <c:pt idx="7">
                  <c:v>3785.57105640292</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108773.13627530009</c:v>
                </c:pt>
                <c:pt idx="2">
                  <c:v>61784.932413338734</c:v>
                </c:pt>
                <c:pt idx="3">
                  <c:v>723.78034592571589</c:v>
                </c:pt>
                <c:pt idx="4">
                  <c:v>538.92411364907286</c:v>
                </c:pt>
                <c:pt idx="5">
                  <c:v>78726.674386323939</c:v>
                </c:pt>
                <c:pt idx="6">
                  <c:v>92216.529722654013</c:v>
                </c:pt>
                <c:pt idx="7">
                  <c:v>3785.57105640292</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71016</v>
      </c>
      <c r="B6" s="380"/>
      <c r="C6" s="381"/>
    </row>
    <row r="7" spans="1:7" s="378" customFormat="1" ht="15.75" customHeight="1">
      <c r="A7" s="382" t="str">
        <f>txtMunicipality</f>
        <v>GENK</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0.18066478506739689</v>
      </c>
      <c r="C17" s="488">
        <f ca="1">'EF ele_warmte'!B22</f>
        <v>0.23764705882352938</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0.18066478506739689</v>
      </c>
      <c r="C29" s="489">
        <f ca="1">'EF ele_warmte'!B22</f>
        <v>0.23764705882352938</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25742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378.24</v>
      </c>
      <c r="C14" s="322"/>
      <c r="D14" s="322"/>
      <c r="E14" s="322"/>
      <c r="F14" s="322"/>
    </row>
    <row r="15" spans="1:6">
      <c r="A15" s="1248" t="s">
        <v>177</v>
      </c>
      <c r="B15" s="1249">
        <v>0</v>
      </c>
      <c r="C15" s="322"/>
      <c r="D15" s="322"/>
      <c r="E15" s="322"/>
      <c r="F15" s="322"/>
    </row>
    <row r="16" spans="1:6">
      <c r="A16" s="1248" t="s">
        <v>6</v>
      </c>
      <c r="B16" s="1249">
        <v>0</v>
      </c>
      <c r="C16" s="322"/>
      <c r="D16" s="322"/>
      <c r="E16" s="322"/>
      <c r="F16" s="322"/>
    </row>
    <row r="17" spans="1:6">
      <c r="A17" s="1248" t="s">
        <v>7</v>
      </c>
      <c r="B17" s="1249">
        <v>6</v>
      </c>
      <c r="C17" s="322"/>
      <c r="D17" s="322"/>
      <c r="E17" s="322"/>
      <c r="F17" s="322"/>
    </row>
    <row r="18" spans="1:6">
      <c r="A18" s="1248" t="s">
        <v>8</v>
      </c>
      <c r="B18" s="1249">
        <v>8</v>
      </c>
      <c r="C18" s="322"/>
      <c r="D18" s="322"/>
      <c r="E18" s="322"/>
      <c r="F18" s="322"/>
    </row>
    <row r="19" spans="1:6">
      <c r="A19" s="1248" t="s">
        <v>9</v>
      </c>
      <c r="B19" s="1249">
        <v>3</v>
      </c>
      <c r="C19" s="322"/>
      <c r="D19" s="322"/>
      <c r="E19" s="322"/>
      <c r="F19" s="322"/>
    </row>
    <row r="20" spans="1:6">
      <c r="A20" s="1248" t="s">
        <v>10</v>
      </c>
      <c r="B20" s="1249">
        <v>17</v>
      </c>
      <c r="C20" s="322"/>
      <c r="D20" s="322"/>
      <c r="E20" s="322"/>
      <c r="F20" s="322"/>
    </row>
    <row r="21" spans="1:6">
      <c r="A21" s="1248" t="s">
        <v>11</v>
      </c>
      <c r="B21" s="1249">
        <v>0</v>
      </c>
      <c r="C21" s="322"/>
      <c r="D21" s="322"/>
      <c r="E21" s="322"/>
      <c r="F21" s="322"/>
    </row>
    <row r="22" spans="1:6">
      <c r="A22" s="1248" t="s">
        <v>12</v>
      </c>
      <c r="B22" s="1249">
        <v>22</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2</v>
      </c>
      <c r="C25" s="322"/>
      <c r="D25" s="322"/>
      <c r="E25" s="322"/>
      <c r="F25" s="322"/>
    </row>
    <row r="26" spans="1:6">
      <c r="A26" s="1248" t="s">
        <v>16</v>
      </c>
      <c r="B26" s="1249">
        <v>90</v>
      </c>
      <c r="C26" s="322"/>
      <c r="D26" s="322"/>
      <c r="E26" s="322"/>
      <c r="F26" s="322"/>
    </row>
    <row r="27" spans="1:6">
      <c r="A27" s="1248" t="s">
        <v>17</v>
      </c>
      <c r="B27" s="1249">
        <v>6</v>
      </c>
      <c r="C27" s="322"/>
      <c r="D27" s="322"/>
      <c r="E27" s="322"/>
      <c r="F27" s="322"/>
    </row>
    <row r="28" spans="1:6">
      <c r="A28" s="1248" t="s">
        <v>18</v>
      </c>
      <c r="B28" s="1250">
        <v>29</v>
      </c>
      <c r="C28" s="322"/>
      <c r="D28" s="322"/>
      <c r="E28" s="322"/>
      <c r="F28" s="322"/>
    </row>
    <row r="29" spans="1:6">
      <c r="A29" s="1248" t="s">
        <v>691</v>
      </c>
      <c r="B29" s="1250">
        <v>63</v>
      </c>
      <c r="C29" s="322"/>
      <c r="D29" s="322"/>
      <c r="E29" s="322"/>
      <c r="F29" s="322"/>
    </row>
    <row r="30" spans="1:6">
      <c r="A30" s="1243" t="s">
        <v>692</v>
      </c>
      <c r="B30" s="1251">
        <v>12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5</v>
      </c>
      <c r="F35" s="1249">
        <v>86327</v>
      </c>
    </row>
    <row r="36" spans="1:6">
      <c r="A36" s="1248" t="s">
        <v>24</v>
      </c>
      <c r="B36" s="1248" t="s">
        <v>26</v>
      </c>
      <c r="C36" s="1249">
        <v>0</v>
      </c>
      <c r="D36" s="1249">
        <v>0</v>
      </c>
      <c r="E36" s="1249">
        <v>34</v>
      </c>
      <c r="F36" s="1249">
        <v>616474</v>
      </c>
    </row>
    <row r="37" spans="1:6">
      <c r="A37" s="1248" t="s">
        <v>24</v>
      </c>
      <c r="B37" s="1248" t="s">
        <v>27</v>
      </c>
      <c r="C37" s="1249">
        <v>0</v>
      </c>
      <c r="D37" s="1249">
        <v>0</v>
      </c>
      <c r="E37" s="1249">
        <v>0</v>
      </c>
      <c r="F37" s="1249">
        <v>0</v>
      </c>
    </row>
    <row r="38" spans="1:6">
      <c r="A38" s="1248" t="s">
        <v>24</v>
      </c>
      <c r="B38" s="1248" t="s">
        <v>28</v>
      </c>
      <c r="C38" s="1249">
        <v>2</v>
      </c>
      <c r="D38" s="1249">
        <v>39556</v>
      </c>
      <c r="E38" s="1249">
        <v>0</v>
      </c>
      <c r="F38" s="1249">
        <v>0</v>
      </c>
    </row>
    <row r="39" spans="1:6">
      <c r="A39" s="1248" t="s">
        <v>29</v>
      </c>
      <c r="B39" s="1248" t="s">
        <v>30</v>
      </c>
      <c r="C39" s="1249">
        <v>12490</v>
      </c>
      <c r="D39" s="1249">
        <v>187555537.67699999</v>
      </c>
      <c r="E39" s="1249">
        <v>26108</v>
      </c>
      <c r="F39" s="1249">
        <v>109047542.3</v>
      </c>
    </row>
    <row r="40" spans="1:6">
      <c r="A40" s="1248" t="s">
        <v>29</v>
      </c>
      <c r="B40" s="1248" t="s">
        <v>28</v>
      </c>
      <c r="C40" s="1249">
        <v>0</v>
      </c>
      <c r="D40" s="1249">
        <v>0</v>
      </c>
      <c r="E40" s="1249">
        <v>0</v>
      </c>
      <c r="F40" s="1249">
        <v>0</v>
      </c>
    </row>
    <row r="41" spans="1:6">
      <c r="A41" s="1248" t="s">
        <v>31</v>
      </c>
      <c r="B41" s="1248" t="s">
        <v>32</v>
      </c>
      <c r="C41" s="1249">
        <v>156</v>
      </c>
      <c r="D41" s="1249">
        <v>7619422.5049999999</v>
      </c>
      <c r="E41" s="1249">
        <v>373</v>
      </c>
      <c r="F41" s="1249">
        <v>113325861.56200001</v>
      </c>
    </row>
    <row r="42" spans="1:6">
      <c r="A42" s="1248" t="s">
        <v>31</v>
      </c>
      <c r="B42" s="1248" t="s">
        <v>33</v>
      </c>
      <c r="C42" s="1249">
        <v>5</v>
      </c>
      <c r="D42" s="1249">
        <v>7714842.0619999999</v>
      </c>
      <c r="E42" s="1249">
        <v>10</v>
      </c>
      <c r="F42" s="1249">
        <v>33625471.897</v>
      </c>
    </row>
    <row r="43" spans="1:6">
      <c r="A43" s="1248" t="s">
        <v>31</v>
      </c>
      <c r="B43" s="1248" t="s">
        <v>34</v>
      </c>
      <c r="C43" s="1249">
        <v>0</v>
      </c>
      <c r="D43" s="1249">
        <v>0</v>
      </c>
      <c r="E43" s="1249">
        <v>3</v>
      </c>
      <c r="F43" s="1249">
        <v>2538818</v>
      </c>
    </row>
    <row r="44" spans="1:6">
      <c r="A44" s="1248" t="s">
        <v>31</v>
      </c>
      <c r="B44" s="1248" t="s">
        <v>35</v>
      </c>
      <c r="C44" s="1249">
        <v>56</v>
      </c>
      <c r="D44" s="1249">
        <v>48115058.758000001</v>
      </c>
      <c r="E44" s="1249">
        <v>117</v>
      </c>
      <c r="F44" s="1249">
        <v>28685714.386999998</v>
      </c>
    </row>
    <row r="45" spans="1:6">
      <c r="A45" s="1248" t="s">
        <v>31</v>
      </c>
      <c r="B45" s="1248" t="s">
        <v>36</v>
      </c>
      <c r="C45" s="1249">
        <v>5</v>
      </c>
      <c r="D45" s="1249">
        <v>495202</v>
      </c>
      <c r="E45" s="1249">
        <v>12</v>
      </c>
      <c r="F45" s="1249">
        <v>597049</v>
      </c>
    </row>
    <row r="46" spans="1:6">
      <c r="A46" s="1248" t="s">
        <v>31</v>
      </c>
      <c r="B46" s="1248" t="s">
        <v>37</v>
      </c>
      <c r="C46" s="1249">
        <v>0</v>
      </c>
      <c r="D46" s="1249">
        <v>0</v>
      </c>
      <c r="E46" s="1249">
        <v>0</v>
      </c>
      <c r="F46" s="1249">
        <v>0</v>
      </c>
    </row>
    <row r="47" spans="1:6">
      <c r="A47" s="1248" t="s">
        <v>31</v>
      </c>
      <c r="B47" s="1248" t="s">
        <v>38</v>
      </c>
      <c r="C47" s="1249">
        <v>13</v>
      </c>
      <c r="D47" s="1249">
        <v>7649543</v>
      </c>
      <c r="E47" s="1249">
        <v>22</v>
      </c>
      <c r="F47" s="1249">
        <v>16861832.793000001</v>
      </c>
    </row>
    <row r="48" spans="1:6">
      <c r="A48" s="1248" t="s">
        <v>31</v>
      </c>
      <c r="B48" s="1248" t="s">
        <v>28</v>
      </c>
      <c r="C48" s="1249">
        <v>2</v>
      </c>
      <c r="D48" s="1249">
        <v>1088611.8570000001</v>
      </c>
      <c r="E48" s="1249">
        <v>0</v>
      </c>
      <c r="F48" s="1249">
        <v>0</v>
      </c>
    </row>
    <row r="49" spans="1:6">
      <c r="A49" s="1248" t="s">
        <v>31</v>
      </c>
      <c r="B49" s="1248" t="s">
        <v>39</v>
      </c>
      <c r="C49" s="1249">
        <v>6</v>
      </c>
      <c r="D49" s="1249">
        <v>8093903.4850000003</v>
      </c>
      <c r="E49" s="1249">
        <v>8</v>
      </c>
      <c r="F49" s="1249">
        <v>15070465</v>
      </c>
    </row>
    <row r="50" spans="1:6">
      <c r="A50" s="1248" t="s">
        <v>31</v>
      </c>
      <c r="B50" s="1248" t="s">
        <v>40</v>
      </c>
      <c r="C50" s="1249">
        <v>16</v>
      </c>
      <c r="D50" s="1249">
        <v>6823638.2939999998</v>
      </c>
      <c r="E50" s="1249">
        <v>42</v>
      </c>
      <c r="F50" s="1249">
        <v>8666452</v>
      </c>
    </row>
    <row r="51" spans="1:6">
      <c r="A51" s="1248" t="s">
        <v>41</v>
      </c>
      <c r="B51" s="1248" t="s">
        <v>42</v>
      </c>
      <c r="C51" s="1249">
        <v>8</v>
      </c>
      <c r="D51" s="1249">
        <v>309065</v>
      </c>
      <c r="E51" s="1249">
        <v>29</v>
      </c>
      <c r="F51" s="1249">
        <v>381165.9</v>
      </c>
    </row>
    <row r="52" spans="1:6">
      <c r="A52" s="1248" t="s">
        <v>41</v>
      </c>
      <c r="B52" s="1248" t="s">
        <v>28</v>
      </c>
      <c r="C52" s="1249">
        <v>0</v>
      </c>
      <c r="D52" s="1249">
        <v>0</v>
      </c>
      <c r="E52" s="1249">
        <v>0</v>
      </c>
      <c r="F52" s="1249">
        <v>0</v>
      </c>
    </row>
    <row r="53" spans="1:6">
      <c r="A53" s="1248" t="s">
        <v>43</v>
      </c>
      <c r="B53" s="1248" t="s">
        <v>44</v>
      </c>
      <c r="C53" s="1249">
        <v>176</v>
      </c>
      <c r="D53" s="1249">
        <v>15252367.237</v>
      </c>
      <c r="E53" s="1249">
        <v>550</v>
      </c>
      <c r="F53" s="1249">
        <v>17294813.199999999</v>
      </c>
    </row>
    <row r="54" spans="1:6">
      <c r="A54" s="1248" t="s">
        <v>45</v>
      </c>
      <c r="B54" s="1248" t="s">
        <v>46</v>
      </c>
      <c r="C54" s="1249">
        <v>0</v>
      </c>
      <c r="D54" s="1249">
        <v>0</v>
      </c>
      <c r="E54" s="1249">
        <v>3</v>
      </c>
      <c r="F54" s="1249">
        <v>4006206</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191</v>
      </c>
      <c r="D57" s="1249">
        <v>11976133.85</v>
      </c>
      <c r="E57" s="1249">
        <v>375</v>
      </c>
      <c r="F57" s="1249">
        <v>16017996.885</v>
      </c>
    </row>
    <row r="58" spans="1:6">
      <c r="A58" s="1248" t="s">
        <v>48</v>
      </c>
      <c r="B58" s="1248" t="s">
        <v>50</v>
      </c>
      <c r="C58" s="1249">
        <v>123</v>
      </c>
      <c r="D58" s="1249">
        <v>23013637.75</v>
      </c>
      <c r="E58" s="1249">
        <v>224</v>
      </c>
      <c r="F58" s="1249">
        <v>28674654.589000002</v>
      </c>
    </row>
    <row r="59" spans="1:6">
      <c r="A59" s="1248" t="s">
        <v>48</v>
      </c>
      <c r="B59" s="1248" t="s">
        <v>51</v>
      </c>
      <c r="C59" s="1249">
        <v>389</v>
      </c>
      <c r="D59" s="1249">
        <v>29054102.265000001</v>
      </c>
      <c r="E59" s="1249">
        <v>1019</v>
      </c>
      <c r="F59" s="1249">
        <v>54731416.417000003</v>
      </c>
    </row>
    <row r="60" spans="1:6">
      <c r="A60" s="1248" t="s">
        <v>48</v>
      </c>
      <c r="B60" s="1248" t="s">
        <v>52</v>
      </c>
      <c r="C60" s="1249">
        <v>211</v>
      </c>
      <c r="D60" s="1249">
        <v>18257094.239999998</v>
      </c>
      <c r="E60" s="1249">
        <v>367</v>
      </c>
      <c r="F60" s="1249">
        <v>13982940.262</v>
      </c>
    </row>
    <row r="61" spans="1:6">
      <c r="A61" s="1248" t="s">
        <v>48</v>
      </c>
      <c r="B61" s="1248" t="s">
        <v>53</v>
      </c>
      <c r="C61" s="1249">
        <v>433</v>
      </c>
      <c r="D61" s="1249">
        <v>42272972.115000002</v>
      </c>
      <c r="E61" s="1249">
        <v>1432</v>
      </c>
      <c r="F61" s="1249">
        <v>44748307.935000002</v>
      </c>
    </row>
    <row r="62" spans="1:6">
      <c r="A62" s="1248" t="s">
        <v>48</v>
      </c>
      <c r="B62" s="1248" t="s">
        <v>54</v>
      </c>
      <c r="C62" s="1249">
        <v>57</v>
      </c>
      <c r="D62" s="1249">
        <v>10359249.991</v>
      </c>
      <c r="E62" s="1249">
        <v>82</v>
      </c>
      <c r="F62" s="1249">
        <v>5266759.4890000001</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1</v>
      </c>
      <c r="D65" s="1249">
        <v>9016</v>
      </c>
      <c r="E65" s="1249">
        <v>2</v>
      </c>
      <c r="F65" s="1249">
        <v>13044</v>
      </c>
    </row>
    <row r="66" spans="1:6">
      <c r="A66" s="1248" t="s">
        <v>55</v>
      </c>
      <c r="B66" s="1248" t="s">
        <v>57</v>
      </c>
      <c r="C66" s="1249">
        <v>0</v>
      </c>
      <c r="D66" s="1249">
        <v>0</v>
      </c>
      <c r="E66" s="1249">
        <v>42</v>
      </c>
      <c r="F66" s="1249">
        <v>1867594.1359999999</v>
      </c>
    </row>
    <row r="67" spans="1:6">
      <c r="A67" s="1248" t="s">
        <v>55</v>
      </c>
      <c r="B67" s="1248" t="s">
        <v>58</v>
      </c>
      <c r="C67" s="1249">
        <v>0</v>
      </c>
      <c r="D67" s="1249">
        <v>0</v>
      </c>
      <c r="E67" s="1249">
        <v>0</v>
      </c>
      <c r="F67" s="1249">
        <v>0</v>
      </c>
    </row>
    <row r="68" spans="1:6">
      <c r="A68" s="1243" t="s">
        <v>55</v>
      </c>
      <c r="B68" s="1243" t="s">
        <v>59</v>
      </c>
      <c r="C68" s="1251">
        <v>13</v>
      </c>
      <c r="D68" s="1251">
        <v>1146062</v>
      </c>
      <c r="E68" s="1251">
        <v>37</v>
      </c>
      <c r="F68" s="1251">
        <v>1433934.112</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174677750</v>
      </c>
      <c r="E73" s="439"/>
      <c r="F73" s="322"/>
    </row>
    <row r="74" spans="1:6">
      <c r="A74" s="1248" t="s">
        <v>63</v>
      </c>
      <c r="B74" s="1248" t="s">
        <v>617</v>
      </c>
      <c r="C74" s="1261" t="s">
        <v>619</v>
      </c>
      <c r="D74" s="1249">
        <v>9660945.5</v>
      </c>
      <c r="E74" s="439"/>
      <c r="F74" s="322"/>
    </row>
    <row r="75" spans="1:6">
      <c r="A75" s="1248" t="s">
        <v>64</v>
      </c>
      <c r="B75" s="1248" t="s">
        <v>616</v>
      </c>
      <c r="C75" s="1261" t="s">
        <v>620</v>
      </c>
      <c r="D75" s="1249">
        <v>48584853</v>
      </c>
      <c r="E75" s="439"/>
      <c r="F75" s="322"/>
    </row>
    <row r="76" spans="1:6">
      <c r="A76" s="1248" t="s">
        <v>64</v>
      </c>
      <c r="B76" s="1248" t="s">
        <v>617</v>
      </c>
      <c r="C76" s="1261" t="s">
        <v>621</v>
      </c>
      <c r="D76" s="1249">
        <v>137278.80000000002</v>
      </c>
      <c r="E76" s="439"/>
      <c r="F76" s="322"/>
    </row>
    <row r="77" spans="1:6">
      <c r="A77" s="1248" t="s">
        <v>65</v>
      </c>
      <c r="B77" s="1248" t="s">
        <v>616</v>
      </c>
      <c r="C77" s="1261" t="s">
        <v>622</v>
      </c>
      <c r="D77" s="1249">
        <v>164962955</v>
      </c>
      <c r="E77" s="439"/>
      <c r="F77" s="322"/>
    </row>
    <row r="78" spans="1:6">
      <c r="A78" s="1243" t="s">
        <v>65</v>
      </c>
      <c r="B78" s="1243" t="s">
        <v>617</v>
      </c>
      <c r="C78" s="1243" t="s">
        <v>623</v>
      </c>
      <c r="D78" s="1251">
        <v>30007154</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4089931</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59166.093102496619</v>
      </c>
      <c r="C90" s="322"/>
      <c r="D90" s="322"/>
      <c r="E90" s="322"/>
      <c r="F90" s="322"/>
    </row>
    <row r="91" spans="1:6">
      <c r="A91" s="1248" t="s">
        <v>67</v>
      </c>
      <c r="B91" s="1249">
        <v>11323.513808664249</v>
      </c>
      <c r="C91" s="322"/>
      <c r="D91" s="322"/>
      <c r="E91" s="322"/>
      <c r="F91" s="322"/>
    </row>
    <row r="92" spans="1:6">
      <c r="A92" s="1243" t="s">
        <v>68</v>
      </c>
      <c r="B92" s="1244">
        <v>24061.794058457683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3815</v>
      </c>
      <c r="C97" s="322"/>
      <c r="D97" s="322"/>
      <c r="E97" s="322"/>
      <c r="F97" s="322"/>
    </row>
    <row r="98" spans="1:6">
      <c r="A98" s="1248" t="s">
        <v>71</v>
      </c>
      <c r="B98" s="1249">
        <v>9</v>
      </c>
      <c r="C98" s="322"/>
      <c r="D98" s="322"/>
      <c r="E98" s="322"/>
      <c r="F98" s="322"/>
    </row>
    <row r="99" spans="1:6">
      <c r="A99" s="1248" t="s">
        <v>72</v>
      </c>
      <c r="B99" s="1249">
        <v>73</v>
      </c>
      <c r="C99" s="322"/>
      <c r="D99" s="322"/>
      <c r="E99" s="322"/>
      <c r="F99" s="322"/>
    </row>
    <row r="100" spans="1:6">
      <c r="A100" s="1248" t="s">
        <v>73</v>
      </c>
      <c r="B100" s="1249">
        <v>4328</v>
      </c>
      <c r="C100" s="322"/>
      <c r="D100" s="322"/>
      <c r="E100" s="322"/>
      <c r="F100" s="322"/>
    </row>
    <row r="101" spans="1:6">
      <c r="A101" s="1248" t="s">
        <v>74</v>
      </c>
      <c r="B101" s="1249">
        <v>91</v>
      </c>
      <c r="C101" s="322"/>
      <c r="D101" s="322"/>
      <c r="E101" s="322"/>
      <c r="F101" s="322"/>
    </row>
    <row r="102" spans="1:6">
      <c r="A102" s="1248" t="s">
        <v>75</v>
      </c>
      <c r="B102" s="1249">
        <v>353</v>
      </c>
      <c r="C102" s="322"/>
      <c r="D102" s="322"/>
      <c r="E102" s="322"/>
      <c r="F102" s="322"/>
    </row>
    <row r="103" spans="1:6">
      <c r="A103" s="1248" t="s">
        <v>76</v>
      </c>
      <c r="B103" s="1249">
        <v>446</v>
      </c>
      <c r="C103" s="322"/>
      <c r="D103" s="322"/>
      <c r="E103" s="322"/>
      <c r="F103" s="322"/>
    </row>
    <row r="104" spans="1:6">
      <c r="A104" s="1248" t="s">
        <v>77</v>
      </c>
      <c r="B104" s="1249">
        <v>12961</v>
      </c>
      <c r="C104" s="322"/>
      <c r="D104" s="322"/>
      <c r="E104" s="322"/>
      <c r="F104" s="322"/>
    </row>
    <row r="105" spans="1:6">
      <c r="A105" s="1243" t="s">
        <v>78</v>
      </c>
      <c r="B105" s="1251">
        <v>14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1</v>
      </c>
      <c r="C121" s="1249">
        <v>0</v>
      </c>
      <c r="D121" s="322"/>
      <c r="E121" s="322"/>
      <c r="F121" s="322"/>
    </row>
    <row r="122" spans="1:6">
      <c r="A122" s="1248" t="s">
        <v>86</v>
      </c>
      <c r="B122" s="1249">
        <v>1</v>
      </c>
      <c r="C122" s="1249">
        <v>0</v>
      </c>
      <c r="D122" s="322"/>
      <c r="E122" s="322"/>
      <c r="F122" s="322"/>
    </row>
    <row r="123" spans="1:6">
      <c r="A123" s="1248" t="s">
        <v>87</v>
      </c>
      <c r="B123" s="1249">
        <v>56</v>
      </c>
      <c r="C123" s="1249">
        <v>76</v>
      </c>
      <c r="D123" s="322"/>
      <c r="E123" s="322"/>
      <c r="F123" s="322"/>
    </row>
    <row r="124" spans="1:6">
      <c r="A124" s="1248" t="s">
        <v>88</v>
      </c>
      <c r="B124" s="1249">
        <v>2</v>
      </c>
      <c r="C124" s="1249">
        <v>4</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812</v>
      </c>
      <c r="C129" s="322"/>
      <c r="D129" s="322"/>
      <c r="E129" s="322"/>
      <c r="F129" s="322"/>
    </row>
    <row r="130" spans="1:6">
      <c r="A130" s="1248" t="s">
        <v>283</v>
      </c>
      <c r="B130" s="1249">
        <v>3</v>
      </c>
      <c r="C130" s="322"/>
      <c r="D130" s="322"/>
      <c r="E130" s="322"/>
      <c r="F130" s="322"/>
    </row>
    <row r="131" spans="1:6">
      <c r="A131" s="1248" t="s">
        <v>284</v>
      </c>
      <c r="B131" s="1249">
        <v>5</v>
      </c>
      <c r="C131" s="322"/>
      <c r="D131" s="322"/>
      <c r="E131" s="322"/>
      <c r="F131" s="322"/>
    </row>
    <row r="132" spans="1:6">
      <c r="A132" s="1243" t="s">
        <v>285</v>
      </c>
      <c r="B132" s="1244">
        <v>86</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526903.25248859474</v>
      </c>
      <c r="C3" s="43" t="s">
        <v>163</v>
      </c>
      <c r="D3" s="43"/>
      <c r="E3" s="153"/>
      <c r="F3" s="43"/>
      <c r="G3" s="43"/>
      <c r="H3" s="43"/>
      <c r="I3" s="43"/>
      <c r="J3" s="43"/>
      <c r="K3" s="96"/>
    </row>
    <row r="4" spans="1:11">
      <c r="A4" s="348" t="s">
        <v>164</v>
      </c>
      <c r="B4" s="49">
        <f>IF(ISERROR('SEAP template'!B78+'SEAP template'!C78),0,'SEAP template'!B78+'SEAP template'!C78)</f>
        <v>96238.900969618553</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16.041176470588237</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0.18066478506739689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22.915966386554619</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96.428571428571431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0.23764705882352938</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4006.2060000000001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4006.2060000000001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0.18066478506739689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723.78034592571589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109047.5423</v>
      </c>
      <c r="C5" s="17">
        <f>IF(ISERROR('Eigen informatie GS &amp; warmtenet'!B57),0,'Eigen informatie GS &amp; warmtenet'!B57)</f>
        <v>0</v>
      </c>
      <c r="D5" s="30">
        <f>(SUM(HH_hh_gas_kWh,HH_rest_gas_kWh)/1000)*0.902</f>
        <v>169175.09498465399</v>
      </c>
      <c r="E5" s="17">
        <f>B32*B41</f>
        <v>8184.0792848679121</v>
      </c>
      <c r="F5" s="17">
        <f>B36*B45</f>
        <v>189700.59047696649</v>
      </c>
      <c r="G5" s="18"/>
      <c r="H5" s="17"/>
      <c r="I5" s="17"/>
      <c r="J5" s="17">
        <f>B35*B44+C35*C44</f>
        <v>974.89393552970944</v>
      </c>
      <c r="K5" s="17"/>
      <c r="L5" s="17"/>
      <c r="M5" s="17"/>
      <c r="N5" s="17">
        <f>B34*B43+C34*C43</f>
        <v>40175.656759824065</v>
      </c>
      <c r="O5" s="17">
        <f>B52*B53*B54</f>
        <v>1394.4933333333333</v>
      </c>
      <c r="P5" s="17">
        <f>B60*B61*B62/1000-B60*B61*B62/1000/B63</f>
        <v>2745.6</v>
      </c>
    </row>
    <row r="6" spans="1:16">
      <c r="A6" s="16" t="s">
        <v>582</v>
      </c>
      <c r="B6" s="716">
        <f>kWh_PV_kleiner_dan_10kW</f>
        <v>11323.513808664249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120371.05610866426</v>
      </c>
      <c r="C8" s="21">
        <f>C5</f>
        <v>0</v>
      </c>
      <c r="D8" s="21">
        <f>D5</f>
        <v>169175.09498465399</v>
      </c>
      <c r="E8" s="21">
        <f>E5</f>
        <v>8184.0792848679121</v>
      </c>
      <c r="F8" s="21">
        <f>F5</f>
        <v>189700.59047696649</v>
      </c>
      <c r="G8" s="21"/>
      <c r="H8" s="21"/>
      <c r="I8" s="21"/>
      <c r="J8" s="21">
        <f>J5</f>
        <v>974.89393552970944</v>
      </c>
      <c r="K8" s="21"/>
      <c r="L8" s="21">
        <f>L5</f>
        <v>0</v>
      </c>
      <c r="M8" s="21">
        <f>M5</f>
        <v>0</v>
      </c>
      <c r="N8" s="21">
        <f>N5</f>
        <v>40175.656759824065</v>
      </c>
      <c r="O8" s="21">
        <f>O5</f>
        <v>1394.4933333333333</v>
      </c>
      <c r="P8" s="21">
        <f>P5</f>
        <v>2745.6</v>
      </c>
    </row>
    <row r="9" spans="1:16">
      <c r="B9" s="19"/>
      <c r="C9" s="19"/>
      <c r="D9" s="253"/>
      <c r="E9" s="19"/>
      <c r="F9" s="19"/>
      <c r="G9" s="19"/>
      <c r="H9" s="19"/>
      <c r="I9" s="19"/>
      <c r="J9" s="19"/>
      <c r="K9" s="19"/>
      <c r="L9" s="19"/>
      <c r="M9" s="19"/>
      <c r="N9" s="19"/>
      <c r="O9" s="19"/>
      <c r="P9" s="19"/>
    </row>
    <row r="10" spans="1:16">
      <c r="A10" s="24" t="s">
        <v>207</v>
      </c>
      <c r="B10" s="25">
        <f ca="1">'EF ele_warmte'!B12</f>
        <v>0.18066478506739689</v>
      </c>
      <c r="C10" s="25">
        <f ca="1">'EF ele_warmte'!B22</f>
        <v>0.23764705882352938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21746.8109802074</v>
      </c>
      <c r="C12" s="23">
        <f ca="1">C10*C8</f>
        <v>0</v>
      </c>
      <c r="D12" s="23">
        <f>D8*D10</f>
        <v>34173.369186900105</v>
      </c>
      <c r="E12" s="23">
        <f>E10*E8</f>
        <v>1857.7859976650161</v>
      </c>
      <c r="F12" s="23">
        <f>F10*F8</f>
        <v>50650.057657350058</v>
      </c>
      <c r="G12" s="23"/>
      <c r="H12" s="23"/>
      <c r="I12" s="23"/>
      <c r="J12" s="23">
        <f>J10*J8</f>
        <v>345.11245317751712</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25742</v>
      </c>
      <c r="C26" s="36"/>
      <c r="D26" s="224"/>
    </row>
    <row r="27" spans="1:5" s="15" customFormat="1">
      <c r="A27" s="226" t="s">
        <v>736</v>
      </c>
      <c r="B27" s="37">
        <f>SUM(HH_hh_gas_aantal,HH_rest_gas_aantal)</f>
        <v>12490</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11865.5</v>
      </c>
      <c r="C31" s="34" t="s">
        <v>104</v>
      </c>
      <c r="D31" s="170"/>
    </row>
    <row r="32" spans="1:5">
      <c r="A32" s="167" t="s">
        <v>72</v>
      </c>
      <c r="B32" s="33">
        <f>IF((B21*($B$26-($B$27-0.05*$B$27)-$B$60))&lt;0,0,B21*($B$26-($B$27-0.05*$B$27)-$B$60))</f>
        <v>151.23372977057986</v>
      </c>
      <c r="C32" s="34" t="s">
        <v>104</v>
      </c>
      <c r="D32" s="170"/>
    </row>
    <row r="33" spans="1:6">
      <c r="A33" s="167" t="s">
        <v>73</v>
      </c>
      <c r="B33" s="33">
        <f>IF((B22*($B$26-($B$27-0.05*$B$27)-$B$60))&lt;0,0,B22*($B$26-($B$27-0.05*$B$27)-$B$60))</f>
        <v>3144.2762433712314</v>
      </c>
      <c r="C33" s="34" t="s">
        <v>104</v>
      </c>
      <c r="D33" s="170"/>
    </row>
    <row r="34" spans="1:6">
      <c r="A34" s="167" t="s">
        <v>74</v>
      </c>
      <c r="B34" s="33">
        <f>IF((B24*($B$26-($B$27-0.05*$B$27)-$B$60))&lt;0,0,B24*($B$26-($B$27-0.05*$B$27)-$B$60))</f>
        <v>1227.2002384428044</v>
      </c>
      <c r="C34" s="33">
        <f>B26*C24</f>
        <v>4559.5424508866818</v>
      </c>
      <c r="D34" s="229"/>
    </row>
    <row r="35" spans="1:6">
      <c r="A35" s="167" t="s">
        <v>76</v>
      </c>
      <c r="B35" s="33">
        <f>IF((B19*($B$26-($B$27-0.05*$B$27)-$B$60))&lt;0,0,B19*($B$26-($B$27-0.05*$B$27)-$B$60))</f>
        <v>114.46762580078914</v>
      </c>
      <c r="C35" s="33">
        <f>B35/2</f>
        <v>57.233812900394568</v>
      </c>
      <c r="D35" s="229"/>
    </row>
    <row r="36" spans="1:6">
      <c r="A36" s="167" t="s">
        <v>77</v>
      </c>
      <c r="B36" s="33">
        <f>IF((B18*($B$26-($B$27-0.05*$B$27)-$B$60))&lt;0,0,B18*($B$26-($B$27-0.05*$B$27)-$B$60))</f>
        <v>9095.3221626145951</v>
      </c>
      <c r="C36" s="34" t="s">
        <v>104</v>
      </c>
      <c r="D36" s="170"/>
    </row>
    <row r="37" spans="1:6">
      <c r="A37" s="167" t="s">
        <v>78</v>
      </c>
      <c r="B37" s="33">
        <f>B60</f>
        <v>144</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892</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144</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163422.07557700001</v>
      </c>
      <c r="C5" s="17">
        <f>IF(ISERROR('Eigen informatie GS &amp; warmtenet'!B58),0,'Eigen informatie GS &amp; warmtenet'!B58)</f>
        <v>0</v>
      </c>
      <c r="D5" s="30">
        <f>SUM(D6:D12)</f>
        <v>121709.73757032199</v>
      </c>
      <c r="E5" s="17">
        <f>SUM(E6:E12)</f>
        <v>2125.5642306246773</v>
      </c>
      <c r="F5" s="17">
        <f>SUM(F6:F12)</f>
        <v>25856.012308212659</v>
      </c>
      <c r="G5" s="18"/>
      <c r="H5" s="17"/>
      <c r="I5" s="17"/>
      <c r="J5" s="17">
        <f>SUM(J6:J12)</f>
        <v>0.17584681319880346</v>
      </c>
      <c r="K5" s="17"/>
      <c r="L5" s="17"/>
      <c r="M5" s="17"/>
      <c r="N5" s="17">
        <f>SUM(N6:N12)</f>
        <v>7502.9587915927741</v>
      </c>
      <c r="O5" s="17">
        <f>B38*B39*B40</f>
        <v>4.6900000000000004</v>
      </c>
      <c r="P5" s="17">
        <f>B46*B47*B48/1000-B46*B47*B48/1000/B49</f>
        <v>133.46666666666667</v>
      </c>
      <c r="R5" s="32"/>
    </row>
    <row r="6" spans="1:18">
      <c r="A6" s="32" t="s">
        <v>53</v>
      </c>
      <c r="B6" s="37">
        <f>B26</f>
        <v>44748.307935000004</v>
      </c>
      <c r="C6" s="33"/>
      <c r="D6" s="37">
        <f>IF(ISERROR(TER_kantoor_gas_kWh/1000),0,TER_kantoor_gas_kWh/1000)*0.902</f>
        <v>38130.220847730008</v>
      </c>
      <c r="E6" s="33">
        <f>$C$26*'E Balans VL '!I12/100/3.6*1000000</f>
        <v>-3.674418552703541E-3</v>
      </c>
      <c r="F6" s="33">
        <f>$C$26*('E Balans VL '!L12+'E Balans VL '!N12)/100/3.6*1000000</f>
        <v>5671.014840224917</v>
      </c>
      <c r="G6" s="34"/>
      <c r="H6" s="33"/>
      <c r="I6" s="33"/>
      <c r="J6" s="33">
        <f>$C$26*('E Balans VL '!D12+'E Balans VL '!E12)/100/3.6*1000000</f>
        <v>0</v>
      </c>
      <c r="K6" s="33"/>
      <c r="L6" s="33"/>
      <c r="M6" s="33"/>
      <c r="N6" s="33">
        <f>$C$26*'E Balans VL '!Y12/100/3.6*1000000</f>
        <v>54.886446510745522</v>
      </c>
      <c r="O6" s="33"/>
      <c r="P6" s="33"/>
      <c r="R6" s="32"/>
    </row>
    <row r="7" spans="1:18">
      <c r="A7" s="32" t="s">
        <v>52</v>
      </c>
      <c r="B7" s="37">
        <f t="shared" ref="B7:B12" si="0">B27</f>
        <v>13982.940262</v>
      </c>
      <c r="C7" s="33"/>
      <c r="D7" s="37">
        <f>IF(ISERROR(TER_horeca_gas_kWh/1000),0,TER_horeca_gas_kWh/1000)*0.902</f>
        <v>16467.899004479998</v>
      </c>
      <c r="E7" s="33">
        <f>$C$27*'E Balans VL '!I9/100/3.6*1000000</f>
        <v>160.95049039429276</v>
      </c>
      <c r="F7" s="33">
        <f>$C$27*('E Balans VL '!L9+'E Balans VL '!N9)/100/3.6*1000000</f>
        <v>1802.874137835568</v>
      </c>
      <c r="G7" s="34"/>
      <c r="H7" s="33"/>
      <c r="I7" s="33"/>
      <c r="J7" s="33">
        <f>$C$27*('E Balans VL '!D9+'E Balans VL '!E9)/100/3.6*1000000</f>
        <v>0</v>
      </c>
      <c r="K7" s="33"/>
      <c r="L7" s="33"/>
      <c r="M7" s="33"/>
      <c r="N7" s="33">
        <f>$C$27*'E Balans VL '!Y9/100/3.6*1000000</f>
        <v>147.586730127599</v>
      </c>
      <c r="O7" s="33"/>
      <c r="P7" s="33"/>
      <c r="R7" s="32"/>
    </row>
    <row r="8" spans="1:18">
      <c r="A8" s="6" t="s">
        <v>51</v>
      </c>
      <c r="B8" s="37">
        <f t="shared" si="0"/>
        <v>54731.416417</v>
      </c>
      <c r="C8" s="33"/>
      <c r="D8" s="37">
        <f>IF(ISERROR(TER_handel_gas_kWh/1000),0,TER_handel_gas_kWh/1000)*0.902</f>
        <v>26206.80024303</v>
      </c>
      <c r="E8" s="33">
        <f>$C$28*'E Balans VL '!I13/100/3.6*1000000</f>
        <v>1544.214348282627</v>
      </c>
      <c r="F8" s="33">
        <f>$C$28*('E Balans VL '!L13+'E Balans VL '!N13)/100/3.6*1000000</f>
        <v>5504.8071155618081</v>
      </c>
      <c r="G8" s="34"/>
      <c r="H8" s="33"/>
      <c r="I8" s="33"/>
      <c r="J8" s="33">
        <f>$C$28*('E Balans VL '!D13+'E Balans VL '!E13)/100/3.6*1000000</f>
        <v>0</v>
      </c>
      <c r="K8" s="33"/>
      <c r="L8" s="33"/>
      <c r="M8" s="33"/>
      <c r="N8" s="33">
        <f>$C$28*'E Balans VL '!Y13/100/3.6*1000000</f>
        <v>75.55058982673026</v>
      </c>
      <c r="O8" s="33"/>
      <c r="P8" s="33"/>
      <c r="R8" s="32"/>
    </row>
    <row r="9" spans="1:18">
      <c r="A9" s="32" t="s">
        <v>50</v>
      </c>
      <c r="B9" s="37">
        <f t="shared" si="0"/>
        <v>28674.654589000002</v>
      </c>
      <c r="C9" s="33"/>
      <c r="D9" s="37">
        <f>IF(ISERROR(TER_gezond_gas_kWh/1000),0,TER_gezond_gas_kWh/1000)*0.902</f>
        <v>20758.301250500001</v>
      </c>
      <c r="E9" s="33">
        <f>$C$29*'E Balans VL '!I10/100/3.6*1000000</f>
        <v>57.283131914678144</v>
      </c>
      <c r="F9" s="33">
        <f>$C$29*('E Balans VL '!L10+'E Balans VL '!N10)/100/3.6*1000000</f>
        <v>2512.4749276043849</v>
      </c>
      <c r="G9" s="34"/>
      <c r="H9" s="33"/>
      <c r="I9" s="33"/>
      <c r="J9" s="33">
        <f>$C$29*('E Balans VL '!D10+'E Balans VL '!E10)/100/3.6*1000000</f>
        <v>0</v>
      </c>
      <c r="K9" s="33"/>
      <c r="L9" s="33"/>
      <c r="M9" s="33"/>
      <c r="N9" s="33">
        <f>$C$29*'E Balans VL '!Y10/100/3.6*1000000</f>
        <v>433.74536825303659</v>
      </c>
      <c r="O9" s="33"/>
      <c r="P9" s="33"/>
      <c r="R9" s="32"/>
    </row>
    <row r="10" spans="1:18">
      <c r="A10" s="32" t="s">
        <v>49</v>
      </c>
      <c r="B10" s="37">
        <f t="shared" si="0"/>
        <v>16017.996885</v>
      </c>
      <c r="C10" s="33"/>
      <c r="D10" s="37">
        <f>IF(ISERROR(TER_ander_gas_kWh/1000),0,TER_ander_gas_kWh/1000)*0.902</f>
        <v>10802.4727327</v>
      </c>
      <c r="E10" s="33">
        <f>$C$30*'E Balans VL '!I14/100/3.6*1000000</f>
        <v>225.65492300153218</v>
      </c>
      <c r="F10" s="33">
        <f>$C$30*('E Balans VL '!L14+'E Balans VL '!N14)/100/3.6*1000000</f>
        <v>9716.7222749308166</v>
      </c>
      <c r="G10" s="34"/>
      <c r="H10" s="33"/>
      <c r="I10" s="33"/>
      <c r="J10" s="33">
        <f>$C$30*('E Balans VL '!D14+'E Balans VL '!E14)/100/3.6*1000000</f>
        <v>0.17584681319880346</v>
      </c>
      <c r="K10" s="33"/>
      <c r="L10" s="33"/>
      <c r="M10" s="33"/>
      <c r="N10" s="33">
        <f>$C$30*'E Balans VL '!Y14/100/3.6*1000000</f>
        <v>6774.511383406475</v>
      </c>
      <c r="O10" s="33"/>
      <c r="P10" s="33"/>
      <c r="R10" s="32"/>
    </row>
    <row r="11" spans="1:18">
      <c r="A11" s="32" t="s">
        <v>54</v>
      </c>
      <c r="B11" s="37">
        <f t="shared" si="0"/>
        <v>5266.759489</v>
      </c>
      <c r="C11" s="33"/>
      <c r="D11" s="37">
        <f>IF(ISERROR(TER_onderwijs_gas_kWh/1000),0,TER_onderwijs_gas_kWh/1000)*0.902</f>
        <v>9344.043491882001</v>
      </c>
      <c r="E11" s="33">
        <f>$C$31*'E Balans VL '!I11/100/3.6*1000000</f>
        <v>137.46501145010004</v>
      </c>
      <c r="F11" s="33">
        <f>$C$31*('E Balans VL '!L11+'E Balans VL '!N11)/100/3.6*1000000</f>
        <v>648.11901205516574</v>
      </c>
      <c r="G11" s="34"/>
      <c r="H11" s="33"/>
      <c r="I11" s="33"/>
      <c r="J11" s="33">
        <f>$C$31*('E Balans VL '!D11+'E Balans VL '!E11)/100/3.6*1000000</f>
        <v>0</v>
      </c>
      <c r="K11" s="33"/>
      <c r="L11" s="33"/>
      <c r="M11" s="33"/>
      <c r="N11" s="33">
        <f>$C$31*'E Balans VL '!Y11/100/3.6*1000000</f>
        <v>16.678273468187257</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energieproductie'!N38+'lokale energieproductie'!N31</f>
        <v>1687.5</v>
      </c>
      <c r="C13" s="242">
        <f ca="1">'lokale energieproductie'!O38+'lokale energieproductie'!O31</f>
        <v>96.428571428571431</v>
      </c>
      <c r="D13" s="300">
        <f ca="1">('lokale energieproductie'!P31+'lokale energieproductie'!P38)*(-1)</f>
        <v>-192.85714285714286</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-4628.5714285714284</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165109.57557700001</v>
      </c>
      <c r="C16" s="21">
        <f t="shared" ca="1" si="1"/>
        <v>96.428571428571431</v>
      </c>
      <c r="D16" s="21">
        <f t="shared" ca="1" si="1"/>
        <v>121516.88042746484</v>
      </c>
      <c r="E16" s="21">
        <f t="shared" si="1"/>
        <v>2125.5642306246773</v>
      </c>
      <c r="F16" s="21">
        <f t="shared" ca="1" si="1"/>
        <v>25856.012308212659</v>
      </c>
      <c r="G16" s="21">
        <f t="shared" si="1"/>
        <v>0</v>
      </c>
      <c r="H16" s="21">
        <f t="shared" si="1"/>
        <v>0</v>
      </c>
      <c r="I16" s="21">
        <f t="shared" si="1"/>
        <v>0</v>
      </c>
      <c r="J16" s="21">
        <f t="shared" si="1"/>
        <v>0.17584681319880346</v>
      </c>
      <c r="K16" s="21">
        <f t="shared" si="1"/>
        <v>0</v>
      </c>
      <c r="L16" s="21">
        <f t="shared" ca="1" si="1"/>
        <v>0</v>
      </c>
      <c r="M16" s="21">
        <f t="shared" si="1"/>
        <v>0</v>
      </c>
      <c r="N16" s="21">
        <f t="shared" ca="1" si="1"/>
        <v>2874.3873630213457</v>
      </c>
      <c r="O16" s="21">
        <f>O5</f>
        <v>4.6900000000000004</v>
      </c>
      <c r="P16" s="21">
        <f>P5</f>
        <v>133.46666666666667</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0.18066478506739689</v>
      </c>
      <c r="C18" s="25">
        <f ca="1">'EF ele_warmte'!B22</f>
        <v>0.23764705882352938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29829.485984187828</v>
      </c>
      <c r="C20" s="23">
        <f t="shared" ref="C20:P20" ca="1" si="2">C16*C18</f>
        <v>22.915966386554619</v>
      </c>
      <c r="D20" s="23">
        <f t="shared" ca="1" si="2"/>
        <v>24546.409846347899</v>
      </c>
      <c r="E20" s="23">
        <f t="shared" si="2"/>
        <v>482.50308035180177</v>
      </c>
      <c r="F20" s="23">
        <f t="shared" ca="1" si="2"/>
        <v>6903.5552862927807</v>
      </c>
      <c r="G20" s="23">
        <f t="shared" si="2"/>
        <v>0</v>
      </c>
      <c r="H20" s="23">
        <f t="shared" si="2"/>
        <v>0</v>
      </c>
      <c r="I20" s="23">
        <f t="shared" si="2"/>
        <v>0</v>
      </c>
      <c r="J20" s="23">
        <f t="shared" si="2"/>
        <v>6.2249771872376423E-2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44748.307935000004</v>
      </c>
      <c r="C26" s="39">
        <f>IF(ISERROR(B26*3.6/1000000/'E Balans VL '!Z12*100),0,B26*3.6/1000000/'E Balans VL '!Z12*100)</f>
        <v>1.2131650847322324</v>
      </c>
      <c r="D26" s="232" t="s">
        <v>700</v>
      </c>
      <c r="F26" s="6"/>
    </row>
    <row r="27" spans="1:18">
      <c r="A27" s="227" t="s">
        <v>52</v>
      </c>
      <c r="B27" s="33">
        <f>IF(ISERROR(TER_horeca_ele_kWh/1000),0,TER_horeca_ele_kWh/1000)</f>
        <v>13982.940262</v>
      </c>
      <c r="C27" s="39">
        <f>IF(ISERROR(B27*3.6/1000000/'E Balans VL '!Z9*100),0,B27*3.6/1000000/'E Balans VL '!Z9*100)</f>
        <v>1.0815950970964883</v>
      </c>
      <c r="D27" s="232" t="s">
        <v>700</v>
      </c>
      <c r="F27" s="6"/>
    </row>
    <row r="28" spans="1:18">
      <c r="A28" s="167" t="s">
        <v>51</v>
      </c>
      <c r="B28" s="33">
        <f>IF(ISERROR(TER_handel_ele_kWh/1000),0,TER_handel_ele_kWh/1000)</f>
        <v>54731.416417</v>
      </c>
      <c r="C28" s="39">
        <f>IF(ISERROR(B28*3.6/1000000/'E Balans VL '!Z13*100),0,B28*3.6/1000000/'E Balans VL '!Z13*100)</f>
        <v>1.5829741149897749</v>
      </c>
      <c r="D28" s="232" t="s">
        <v>700</v>
      </c>
      <c r="F28" s="6"/>
    </row>
    <row r="29" spans="1:18">
      <c r="A29" s="227" t="s">
        <v>50</v>
      </c>
      <c r="B29" s="33">
        <f>IF(ISERROR(TER_gezond_ele_kWh/1000),0,TER_gezond_ele_kWh/1000)</f>
        <v>28674.654589000002</v>
      </c>
      <c r="C29" s="39">
        <f>IF(ISERROR(B29*3.6/1000000/'E Balans VL '!Z10*100),0,B29*3.6/1000000/'E Balans VL '!Z10*100)</f>
        <v>2.9532082107420758</v>
      </c>
      <c r="D29" s="232" t="s">
        <v>700</v>
      </c>
      <c r="F29" s="6"/>
    </row>
    <row r="30" spans="1:18">
      <c r="A30" s="227" t="s">
        <v>49</v>
      </c>
      <c r="B30" s="33">
        <f>IF(ISERROR(TER_ander_ele_kWh/1000),0,TER_ander_ele_kWh/1000)</f>
        <v>16017.996885</v>
      </c>
      <c r="C30" s="39">
        <f>IF(ISERROR(B30*3.6/1000000/'E Balans VL '!Z14*100),0,B30*3.6/1000000/'E Balans VL '!Z14*100)</f>
        <v>0.72019172641148166</v>
      </c>
      <c r="D30" s="232" t="s">
        <v>700</v>
      </c>
      <c r="F30" s="6"/>
    </row>
    <row r="31" spans="1:18">
      <c r="A31" s="227" t="s">
        <v>54</v>
      </c>
      <c r="B31" s="33">
        <f>IF(ISERROR(TER_onderwijs_ele_kWh/1000),0,TER_onderwijs_ele_kWh/1000)</f>
        <v>5266.759489</v>
      </c>
      <c r="C31" s="39">
        <f>IF(ISERROR(B31*3.6/1000000/'E Balans VL '!Z11*100),0,B31*3.6/1000000/'E Balans VL '!Z11*100)</f>
        <v>1.4718850964902843</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3</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7</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219371.664639</v>
      </c>
      <c r="C5" s="17">
        <f>IF(ISERROR('Eigen informatie GS &amp; warmtenet'!B59),0,'Eigen informatie GS &amp; warmtenet'!B59)</f>
        <v>0</v>
      </c>
      <c r="D5" s="30">
        <f>SUM(D6:D15)</f>
        <v>79015.400208822015</v>
      </c>
      <c r="E5" s="17">
        <f>SUM(E6:E15)</f>
        <v>7308.7430145201015</v>
      </c>
      <c r="F5" s="17">
        <f>SUM(F6:F15)</f>
        <v>80421.05781510823</v>
      </c>
      <c r="G5" s="18"/>
      <c r="H5" s="17"/>
      <c r="I5" s="17"/>
      <c r="J5" s="17">
        <f>SUM(J6:J15)</f>
        <v>3.7339020619502632</v>
      </c>
      <c r="K5" s="17"/>
      <c r="L5" s="17"/>
      <c r="M5" s="17"/>
      <c r="N5" s="17">
        <f>SUM(N6:N15)</f>
        <v>5309.6024362146673</v>
      </c>
      <c r="O5" s="17">
        <f>B43*B44*B45</f>
        <v>0</v>
      </c>
      <c r="P5" s="17">
        <f>B51*B52*B53/1000-B51*B52*B53/1000/B54</f>
        <v>0</v>
      </c>
      <c r="R5" s="32"/>
    </row>
    <row r="6" spans="1:18">
      <c r="A6" s="6" t="s">
        <v>34</v>
      </c>
      <c r="B6" s="37">
        <f>IF( ISERROR(IND_ijzer_ele_kWh/1000),0,IND_ijzer_ele_kWh/1000)</f>
        <v>2538.8180000000002</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28685.714387</v>
      </c>
      <c r="C8" s="33"/>
      <c r="D8" s="37">
        <f>IF( ISERROR(IND_metaal_Gas_kWH/1000),0,IND_metaal_Gas_kWH/1000)*0.902</f>
        <v>43399.782999716001</v>
      </c>
      <c r="E8" s="33">
        <f>C30*'E Balans VL '!I18/100/3.6*1000000</f>
        <v>260.33164688855436</v>
      </c>
      <c r="F8" s="33">
        <f>C30*'E Balans VL '!L18/100/3.6*1000000+C30*'E Balans VL '!N18/100/3.6*1000000</f>
        <v>2640.2929249029289</v>
      </c>
      <c r="G8" s="34"/>
      <c r="H8" s="33"/>
      <c r="I8" s="33"/>
      <c r="J8" s="40">
        <f>C30*'E Balans VL '!D18/100/3.6*1000000+C30*'E Balans VL '!E18/100/3.6*1000000</f>
        <v>0</v>
      </c>
      <c r="K8" s="33"/>
      <c r="L8" s="33"/>
      <c r="M8" s="33"/>
      <c r="N8" s="33">
        <f>C30*'E Balans VL '!Y18/100/3.6*1000000</f>
        <v>418.78884042027039</v>
      </c>
      <c r="O8" s="33"/>
      <c r="P8" s="33"/>
      <c r="R8" s="32"/>
    </row>
    <row r="9" spans="1:18">
      <c r="A9" s="6" t="s">
        <v>32</v>
      </c>
      <c r="B9" s="37">
        <f t="shared" si="0"/>
        <v>113325.86156200001</v>
      </c>
      <c r="C9" s="33"/>
      <c r="D9" s="37">
        <f>IF( ISERROR(IND_andere_gas_kWh/1000),0,IND_andere_gas_kWh/1000)*0.902</f>
        <v>6872.71909951</v>
      </c>
      <c r="E9" s="33">
        <f>C31*'E Balans VL '!I19/100/3.6*1000000</f>
        <v>657.7689117292764</v>
      </c>
      <c r="F9" s="33">
        <f>C31*'E Balans VL '!L19/100/3.6*1000000+C31*'E Balans VL '!N19/100/3.6*1000000</f>
        <v>74737.133192952242</v>
      </c>
      <c r="G9" s="34"/>
      <c r="H9" s="33"/>
      <c r="I9" s="33"/>
      <c r="J9" s="40">
        <f>C31*'E Balans VL '!D19/100/3.6*1000000+C31*'E Balans VL '!E19/100/3.6*1000000</f>
        <v>0</v>
      </c>
      <c r="K9" s="33"/>
      <c r="L9" s="33"/>
      <c r="M9" s="33"/>
      <c r="N9" s="33">
        <f>C31*'E Balans VL '!Y19/100/3.6*1000000</f>
        <v>5248.2191584264929</v>
      </c>
      <c r="O9" s="33"/>
      <c r="P9" s="33"/>
      <c r="R9" s="32"/>
    </row>
    <row r="10" spans="1:18">
      <c r="A10" s="6" t="s">
        <v>40</v>
      </c>
      <c r="B10" s="37">
        <f t="shared" si="0"/>
        <v>8666.4519999999993</v>
      </c>
      <c r="C10" s="33"/>
      <c r="D10" s="37">
        <f>IF( ISERROR(IND_voed_gas_kWh/1000),0,IND_voed_gas_kWh/1000)*0.902</f>
        <v>6154.9217411879999</v>
      </c>
      <c r="E10" s="33">
        <f>C32*'E Balans VL '!I20/100/3.6*1000000</f>
        <v>18.366233299867218</v>
      </c>
      <c r="F10" s="33">
        <f>C32*'E Balans VL '!L20/100/3.6*1000000+C32*'E Balans VL '!N20/100/3.6*1000000</f>
        <v>550.7888242975697</v>
      </c>
      <c r="G10" s="34"/>
      <c r="H10" s="33"/>
      <c r="I10" s="33"/>
      <c r="J10" s="40">
        <f>C32*'E Balans VL '!D20/100/3.6*1000000+C32*'E Balans VL '!E20/100/3.6*1000000</f>
        <v>0</v>
      </c>
      <c r="K10" s="33"/>
      <c r="L10" s="33"/>
      <c r="M10" s="33"/>
      <c r="N10" s="33">
        <f>C32*'E Balans VL '!Y20/100/3.6*1000000</f>
        <v>251.23084462736634</v>
      </c>
      <c r="O10" s="33"/>
      <c r="P10" s="33"/>
      <c r="R10" s="32"/>
    </row>
    <row r="11" spans="1:18">
      <c r="A11" s="6" t="s">
        <v>39</v>
      </c>
      <c r="B11" s="37">
        <f t="shared" si="0"/>
        <v>15070.465</v>
      </c>
      <c r="C11" s="33"/>
      <c r="D11" s="37">
        <f>IF( ISERROR(IND_textiel_gas_kWh/1000),0,IND_textiel_gas_kWh/1000)*0.902</f>
        <v>7300.7009434700012</v>
      </c>
      <c r="E11" s="33">
        <f>C33*'E Balans VL '!I21/100/3.6*1000000</f>
        <v>47.176757708271559</v>
      </c>
      <c r="F11" s="33">
        <f>C33*'E Balans VL '!L21/100/3.6*1000000+C33*'E Balans VL '!N21/100/3.6*1000000</f>
        <v>1540.4497129330503</v>
      </c>
      <c r="G11" s="34"/>
      <c r="H11" s="33"/>
      <c r="I11" s="33"/>
      <c r="J11" s="40">
        <f>C33*'E Balans VL '!D21/100/3.6*1000000+C33*'E Balans VL '!E21/100/3.6*1000000</f>
        <v>0</v>
      </c>
      <c r="K11" s="33"/>
      <c r="L11" s="33"/>
      <c r="M11" s="33"/>
      <c r="N11" s="33">
        <f>C33*'E Balans VL '!Y21/100/3.6*1000000</f>
        <v>2.0806561654128064</v>
      </c>
      <c r="O11" s="33"/>
      <c r="P11" s="33"/>
      <c r="R11" s="32"/>
    </row>
    <row r="12" spans="1:18">
      <c r="A12" s="6" t="s">
        <v>36</v>
      </c>
      <c r="B12" s="37">
        <f t="shared" si="0"/>
        <v>597.04899999999998</v>
      </c>
      <c r="C12" s="33"/>
      <c r="D12" s="37">
        <f>IF( ISERROR(IND_min_gas_kWh/1000),0,IND_min_gas_kWh/1000)*0.902</f>
        <v>446.67220400000002</v>
      </c>
      <c r="E12" s="33">
        <f>C34*'E Balans VL '!I22/100/3.6*1000000</f>
        <v>14.551882819229172</v>
      </c>
      <c r="F12" s="33">
        <f>C34*'E Balans VL '!L22/100/3.6*1000000+C34*'E Balans VL '!N22/100/3.6*1000000</f>
        <v>168.42199490085579</v>
      </c>
      <c r="G12" s="34"/>
      <c r="H12" s="33"/>
      <c r="I12" s="33"/>
      <c r="J12" s="40">
        <f>C34*'E Balans VL '!D22/100/3.6*1000000+C34*'E Balans VL '!E22/100/3.6*1000000</f>
        <v>1.020751477676108</v>
      </c>
      <c r="K12" s="33"/>
      <c r="L12" s="33"/>
      <c r="M12" s="33"/>
      <c r="N12" s="33">
        <f>C34*'E Balans VL '!Y22/100/3.6*1000000</f>
        <v>135.98192040729214</v>
      </c>
      <c r="O12" s="33"/>
      <c r="P12" s="33"/>
      <c r="R12" s="32"/>
    </row>
    <row r="13" spans="1:18">
      <c r="A13" s="6" t="s">
        <v>38</v>
      </c>
      <c r="B13" s="37">
        <f t="shared" si="0"/>
        <v>16861.832793000001</v>
      </c>
      <c r="C13" s="33"/>
      <c r="D13" s="37">
        <f>IF( ISERROR(IND_papier_gas_kWh/1000),0,IND_papier_gas_kWh/1000)*0.902</f>
        <v>6899.8877860000002</v>
      </c>
      <c r="E13" s="33">
        <f>C35*'E Balans VL '!I23/100/3.6*1000000</f>
        <v>24.889146542619223</v>
      </c>
      <c r="F13" s="33">
        <f>C35*'E Balans VL '!L23/100/3.6*1000000+C35*'E Balans VL '!N23/100/3.6*1000000</f>
        <v>436.67056515800959</v>
      </c>
      <c r="G13" s="34"/>
      <c r="H13" s="33"/>
      <c r="I13" s="33"/>
      <c r="J13" s="40">
        <f>C35*'E Balans VL '!D23/100/3.6*1000000+C35*'E Balans VL '!E23/100/3.6*1000000</f>
        <v>2.7131505842741555</v>
      </c>
      <c r="K13" s="33"/>
      <c r="L13" s="33"/>
      <c r="M13" s="33"/>
      <c r="N13" s="33">
        <f>C35*'E Balans VL '!Y23/100/3.6*1000000</f>
        <v>-765.81332312264283</v>
      </c>
      <c r="O13" s="33"/>
      <c r="P13" s="33"/>
      <c r="R13" s="32"/>
    </row>
    <row r="14" spans="1:18">
      <c r="A14" s="6" t="s">
        <v>33</v>
      </c>
      <c r="B14" s="37">
        <f t="shared" si="0"/>
        <v>33625.471897000003</v>
      </c>
      <c r="C14" s="33"/>
      <c r="D14" s="37">
        <f>IF( ISERROR(IND_chemie_gas_kWh/1000),0,IND_chemie_gas_kWh/1000)*0.902</f>
        <v>6958.7875399240002</v>
      </c>
      <c r="E14" s="33">
        <f>C36*'E Balans VL '!I24/100/3.6*1000000</f>
        <v>6285.6584355322839</v>
      </c>
      <c r="F14" s="33">
        <f>C36*'E Balans VL '!L24/100/3.6*1000000+C36*'E Balans VL '!N24/100/3.6*1000000</f>
        <v>347.30059996355726</v>
      </c>
      <c r="G14" s="34"/>
      <c r="H14" s="33"/>
      <c r="I14" s="33"/>
      <c r="J14" s="40">
        <f>C36*'E Balans VL '!D24/100/3.6*1000000+C36*'E Balans VL '!E24/100/3.6*1000000</f>
        <v>0</v>
      </c>
      <c r="K14" s="33"/>
      <c r="L14" s="33"/>
      <c r="M14" s="33"/>
      <c r="N14" s="33">
        <f>C36*'E Balans VL '!Y24/100/3.6*1000000</f>
        <v>19.114339290475975</v>
      </c>
      <c r="O14" s="33"/>
      <c r="P14" s="33"/>
      <c r="R14" s="32"/>
    </row>
    <row r="15" spans="1:18">
      <c r="A15" s="6" t="s">
        <v>258</v>
      </c>
      <c r="B15" s="37">
        <f t="shared" si="0"/>
        <v>0</v>
      </c>
      <c r="C15" s="33"/>
      <c r="D15" s="37">
        <f>IF( ISERROR(IND_rest_gas_kWh/1000),0,IND_rest_gas_kWh/1000)*0.902</f>
        <v>981.92789501400011</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219371.664639</v>
      </c>
      <c r="C18" s="21">
        <f>C5+C16</f>
        <v>0</v>
      </c>
      <c r="D18" s="21">
        <f>MAX((D5+D16),0)</f>
        <v>79015.400208822015</v>
      </c>
      <c r="E18" s="21">
        <f>MAX((E5+E16),0)</f>
        <v>7308.7430145201015</v>
      </c>
      <c r="F18" s="21">
        <f>MAX((F5+F16),0)</f>
        <v>80421.05781510823</v>
      </c>
      <c r="G18" s="21"/>
      <c r="H18" s="21"/>
      <c r="I18" s="21"/>
      <c r="J18" s="21">
        <f>MAX((J5+J16),0)</f>
        <v>3.7339020619502632</v>
      </c>
      <c r="K18" s="21"/>
      <c r="L18" s="21">
        <f>MAX((L5+L16),0)</f>
        <v>0</v>
      </c>
      <c r="M18" s="21"/>
      <c r="N18" s="21">
        <f>MAX((N5+N16),0)</f>
        <v>5309.6024362146673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0.18066478506739689</v>
      </c>
      <c r="C20" s="25">
        <f ca="1">'EF ele_warmte'!B22</f>
        <v>0.23764705882352938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39632.734641882002</v>
      </c>
      <c r="C22" s="23">
        <f ca="1">C18*C20</f>
        <v>0</v>
      </c>
      <c r="D22" s="23">
        <f>D18*D20</f>
        <v>15961.110842182048</v>
      </c>
      <c r="E22" s="23">
        <f>E18*E20</f>
        <v>1659.084664296063</v>
      </c>
      <c r="F22" s="23">
        <f>F18*F20</f>
        <v>21472.4224366339</v>
      </c>
      <c r="G22" s="23"/>
      <c r="H22" s="23"/>
      <c r="I22" s="23"/>
      <c r="J22" s="23">
        <f>J18*J20</f>
        <v>1.321801329930393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28685.714387</v>
      </c>
      <c r="C30" s="39">
        <f>IF(ISERROR(B30*3.6/1000000/'E Balans VL '!Z18*100),0,B30*3.6/1000000/'E Balans VL '!Z18*100)</f>
        <v>1.6635883796613606</v>
      </c>
      <c r="D30" s="232" t="s">
        <v>700</v>
      </c>
    </row>
    <row r="31" spans="1:18">
      <c r="A31" s="6" t="s">
        <v>32</v>
      </c>
      <c r="B31" s="37">
        <f>IF( ISERROR(IND_ander_ele_kWh/1000),0,IND_ander_ele_kWh/1000)</f>
        <v>113325.86156200001</v>
      </c>
      <c r="C31" s="39">
        <f>IF(ISERROR(B31*3.6/1000000/'E Balans VL '!Z19*100),0,B31*3.6/1000000/'E Balans VL '!Z19*100)</f>
        <v>4.7329144334167426</v>
      </c>
      <c r="D31" s="232" t="s">
        <v>700</v>
      </c>
    </row>
    <row r="32" spans="1:18">
      <c r="A32" s="167" t="s">
        <v>40</v>
      </c>
      <c r="B32" s="37">
        <f>IF( ISERROR(IND_voed_ele_kWh/1000),0,IND_voed_ele_kWh/1000)</f>
        <v>8666.4519999999993</v>
      </c>
      <c r="C32" s="39">
        <f>IF(ISERROR(B32*3.6/1000000/'E Balans VL '!Z20*100),0,B32*3.6/1000000/'E Balans VL '!Z20*100)</f>
        <v>0.26879919425737953</v>
      </c>
      <c r="D32" s="232" t="s">
        <v>700</v>
      </c>
    </row>
    <row r="33" spans="1:5">
      <c r="A33" s="167" t="s">
        <v>39</v>
      </c>
      <c r="B33" s="37">
        <f>IF( ISERROR(IND_textiel_ele_kWh/1000),0,IND_textiel_ele_kWh/1000)</f>
        <v>15070.465</v>
      </c>
      <c r="C33" s="39">
        <f>IF(ISERROR(B33*3.6/1000000/'E Balans VL '!Z21*100),0,B33*3.6/1000000/'E Balans VL '!Z21*100)</f>
        <v>2.0887791956179873</v>
      </c>
      <c r="D33" s="232" t="s">
        <v>700</v>
      </c>
    </row>
    <row r="34" spans="1:5">
      <c r="A34" s="167" t="s">
        <v>36</v>
      </c>
      <c r="B34" s="37">
        <f>IF( ISERROR(IND_min_ele_kWh/1000),0,IND_min_ele_kWh/1000)</f>
        <v>597.04899999999998</v>
      </c>
      <c r="C34" s="39">
        <f>IF(ISERROR(B34*3.6/1000000/'E Balans VL '!Z22*100),0,B34*3.6/1000000/'E Balans VL '!Z22*100)</f>
        <v>0.11172713042365472</v>
      </c>
      <c r="D34" s="232" t="s">
        <v>700</v>
      </c>
    </row>
    <row r="35" spans="1:5">
      <c r="A35" s="167" t="s">
        <v>38</v>
      </c>
      <c r="B35" s="37">
        <f>IF( ISERROR(IND_papier_ele_kWh/1000),0,IND_papier_ele_kWh/1000)</f>
        <v>16861.832793000001</v>
      </c>
      <c r="C35" s="39">
        <f>IF(ISERROR(B35*3.6/1000000/'E Balans VL '!Z22*100),0,B35*3.6/1000000/'E Balans VL '!Z22*100)</f>
        <v>3.1553929269546872</v>
      </c>
      <c r="D35" s="232" t="s">
        <v>700</v>
      </c>
    </row>
    <row r="36" spans="1:5">
      <c r="A36" s="167" t="s">
        <v>33</v>
      </c>
      <c r="B36" s="37">
        <f>IF( ISERROR(IND_chemie_ele_kWh/1000),0,IND_chemie_ele_kWh/1000)</f>
        <v>33625.471897000003</v>
      </c>
      <c r="C36" s="39">
        <f>IF(ISERROR(B36*3.6/1000000/'E Balans VL '!Z24*100),0,B36*3.6/1000000/'E Balans VL '!Z24*100)</f>
        <v>0.98274237997305669</v>
      </c>
      <c r="D36" s="232" t="s">
        <v>700</v>
      </c>
    </row>
    <row r="37" spans="1:5">
      <c r="A37" s="167" t="s">
        <v>258</v>
      </c>
      <c r="B37" s="37">
        <f>IF( ISERROR(IND_rest_ele_kWh/1000),0,IND_rest_ele_kWh/1000)</f>
        <v>0</v>
      </c>
      <c r="C37" s="39">
        <f>IF(ISERROR(B37*3.6/1000000/'E Balans VL '!Z15*100),0,B37*3.6/1000000/'E Balans VL '!Z15*100)</f>
        <v>0</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381.16590000000002</v>
      </c>
      <c r="C5" s="17">
        <f>'Eigen informatie GS &amp; warmtenet'!B60</f>
        <v>0</v>
      </c>
      <c r="D5" s="30">
        <f>IF(ISERROR(SUM(LB_lb_gas_kWh,LB_rest_gas_kWh)/1000),0,SUM(LB_lb_gas_kWh,LB_rest_gas_kWh)/1000)*0.902</f>
        <v>278.77663000000001</v>
      </c>
      <c r="E5" s="17">
        <f>B17*'E Balans VL '!I25/3.6*1000000/100</f>
        <v>12.370086448105821</v>
      </c>
      <c r="F5" s="17">
        <f>B17*('E Balans VL '!L25/3.6*1000000+'E Balans VL '!N25/3.6*1000000)/100</f>
        <v>1406.1949691781917</v>
      </c>
      <c r="G5" s="18"/>
      <c r="H5" s="17"/>
      <c r="I5" s="17"/>
      <c r="J5" s="17">
        <f>('E Balans VL '!D25+'E Balans VL '!E25)/3.6*1000000*landbouw!B17/100</f>
        <v>100.24269094987217</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381.16590000000002</v>
      </c>
      <c r="C8" s="21">
        <f>C5+C6</f>
        <v>0</v>
      </c>
      <c r="D8" s="21">
        <f>MAX((D5+D6),0)</f>
        <v>278.77663000000001</v>
      </c>
      <c r="E8" s="21">
        <f>MAX((E5+E6),0)</f>
        <v>12.370086448105821</v>
      </c>
      <c r="F8" s="21">
        <f>MAX((F5+F6),0)</f>
        <v>1406.1949691781917</v>
      </c>
      <c r="G8" s="21"/>
      <c r="H8" s="21"/>
      <c r="I8" s="21"/>
      <c r="J8" s="21">
        <f>MAX((J5+J6),0)</f>
        <v>100.24269094987217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0.18066478506739689</v>
      </c>
      <c r="C10" s="31">
        <f ca="1">'EF ele_warmte'!B22</f>
        <v>0.23764705882352938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68.863255398520906</v>
      </c>
      <c r="C12" s="23">
        <f ca="1">C8*C10</f>
        <v>0</v>
      </c>
      <c r="D12" s="23">
        <f>D8*D10</f>
        <v>56.312879260000003</v>
      </c>
      <c r="E12" s="23">
        <f>E8*E10</f>
        <v>2.8080096237200216</v>
      </c>
      <c r="F12" s="23">
        <f>F8*F10</f>
        <v>375.45405677057721</v>
      </c>
      <c r="G12" s="23"/>
      <c r="H12" s="23"/>
      <c r="I12" s="23"/>
      <c r="J12" s="23">
        <f>J8*J10</f>
        <v>35.485912596254749</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5.4088637081540894E-2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3.5567453838966334</v>
      </c>
      <c r="C26" s="242">
        <f>B26*'GWP N2O_CH4'!B5</f>
        <v>74.6916530618293</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0.34969593782596298</v>
      </c>
      <c r="C27" s="242">
        <f>B27*'GWP N2O_CH4'!B5</f>
        <v>7.3436146943452227</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3.9350676907620667E-2</v>
      </c>
      <c r="C28" s="242">
        <f>B28*'GWP N2O_CH4'!B4</f>
        <v>12.198709841362406</v>
      </c>
      <c r="D28" s="50"/>
    </row>
    <row r="29" spans="1:4">
      <c r="A29" s="41" t="s">
        <v>265</v>
      </c>
      <c r="B29" s="242">
        <f>B34*'ha_N2O bodem landbouw'!B4</f>
        <v>2.4609203632296817</v>
      </c>
      <c r="C29" s="242">
        <f>B29*'GWP N2O_CH4'!B4</f>
        <v>762.88531260120135</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5.6157354618015969E-4</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7.8812143036928624E-4</v>
      </c>
      <c r="C5" s="427" t="s">
        <v>204</v>
      </c>
      <c r="D5" s="412">
        <f>SUM(D6:D11)</f>
        <v>1.2507457214429719E-3</v>
      </c>
      <c r="E5" s="412">
        <f>SUM(E6:E11)</f>
        <v>2.3520119046067907E-3</v>
      </c>
      <c r="F5" s="425" t="s">
        <v>204</v>
      </c>
      <c r="G5" s="412">
        <f>SUM(G6:G11)</f>
        <v>1.0347493836864259</v>
      </c>
      <c r="H5" s="412">
        <f>SUM(H6:H11)</f>
        <v>0.2199697928930795</v>
      </c>
      <c r="I5" s="427" t="s">
        <v>204</v>
      </c>
      <c r="J5" s="427" t="s">
        <v>204</v>
      </c>
      <c r="K5" s="427" t="s">
        <v>204</v>
      </c>
      <c r="L5" s="427" t="s">
        <v>204</v>
      </c>
      <c r="M5" s="412">
        <f>SUM(M6:M11)</f>
        <v>6.693165842609991E-2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3.0639269666156519E-4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5.1769995040346929E-4</v>
      </c>
      <c r="E6" s="818">
        <f>vkm_GW_PW*SUMIFS(TableVerdeelsleutelVkm[LPG],TableVerdeelsleutelVkm[Voertuigtype],"Lichte voertuigen")*SUMIFS(TableECFTransport[EnergieConsumptieFactor (PJ per km)],TableECFTransport[Index],CONCATENATE($A6,"_LPG_LPG"))</f>
        <v>8.9991810375576254E-4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0.27256132691841556</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8.9759445223445325E-2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1.8567114227589932E-2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2.8256857696444386E-6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9.076170724873403E-2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1.8107792340021781E-6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5.3028118229142386E-3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1.1269694915589614E-4</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2.4379563102595045E-4</v>
      </c>
      <c r="E8" s="415">
        <f>vkm_NGW_PW*SUMIFS(TableVerdeelsleutelVkm[LPG],TableVerdeelsleutelVkm[Voertuigtype],"Lichte voertuigen")*SUMIFS(TableECFTransport[EnergieConsumptieFactor (PJ per km)],TableECFTransport[Index],CONCATENATE($A8,"_LPG_LPG"))</f>
        <v>4.0457606208864225E-4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0.11443810564832518</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4.1294047269951735E-2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7.9018346810798019E-3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4.0152048433961763E-8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1.6547620985283579E-3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3.1057449924952526E-8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9.6680495087778001E-5</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3.5738929148345771E-4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4.8925014001355229E-4</v>
      </c>
      <c r="E10" s="415">
        <f>vkm_SW_PW*SUMIFS(TableVerdeelsleutelVkm[LPG],TableVerdeelsleutelVkm[Voertuigtype],"Lichte voertuigen")*SUMIFS(TableECFTransport[EnergieConsumptieFactor (PJ per km)],TableECFTransport[Index],CONCATENATE($A10,"_LPG_LPG"))</f>
        <v>1.0475177387623859E-3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0.28682049567279072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8.8908669595387638E-2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1.9375158495474765E-2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8.7766552502888241E-6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0.26851298609963209</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5.7889676108984385E-6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1.5688058703953393E-2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218.92261954702394</v>
      </c>
      <c r="C14" s="21"/>
      <c r="D14" s="21">
        <f t="shared" ref="D14:M14" si="0">((D5)*10^9/3600)+D12</f>
        <v>347.42936706749219</v>
      </c>
      <c r="E14" s="21">
        <f t="shared" si="0"/>
        <v>653.336640168553</v>
      </c>
      <c r="F14" s="21"/>
      <c r="G14" s="21">
        <f t="shared" si="0"/>
        <v>287430.38435734052</v>
      </c>
      <c r="H14" s="21">
        <f t="shared" si="0"/>
        <v>61102.72024807764</v>
      </c>
      <c r="I14" s="21"/>
      <c r="J14" s="21"/>
      <c r="K14" s="21"/>
      <c r="L14" s="21"/>
      <c r="M14" s="21">
        <f t="shared" si="0"/>
        <v>18592.127340583309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0.18066478506739689</v>
      </c>
      <c r="C16" s="56">
        <f ca="1">'EF ele_warmte'!B22</f>
        <v>0.23764705882352938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39.551608006854579</v>
      </c>
      <c r="C18" s="23"/>
      <c r="D18" s="23">
        <f t="shared" ref="D18:M18" si="1">D14*D16</f>
        <v>70.180732147633421</v>
      </c>
      <c r="E18" s="23">
        <f t="shared" si="1"/>
        <v>148.30741731826154</v>
      </c>
      <c r="F18" s="23"/>
      <c r="G18" s="23">
        <f t="shared" si="1"/>
        <v>76743.912623409924</v>
      </c>
      <c r="H18" s="23">
        <f t="shared" si="1"/>
        <v>15214.577341771332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5.394543997804302E-4</v>
      </c>
      <c r="C50" s="311">
        <f t="shared" ref="C50:P50" si="2">SUM(C51:C52)</f>
        <v>0</v>
      </c>
      <c r="D50" s="311">
        <f t="shared" si="2"/>
        <v>0</v>
      </c>
      <c r="E50" s="311">
        <f t="shared" si="2"/>
        <v>0</v>
      </c>
      <c r="F50" s="311">
        <f t="shared" si="2"/>
        <v>0</v>
      </c>
      <c r="G50" s="311">
        <f t="shared" si="2"/>
        <v>5.0676387227942023E-2</v>
      </c>
      <c r="H50" s="311">
        <f t="shared" si="2"/>
        <v>0</v>
      </c>
      <c r="I50" s="311">
        <f t="shared" si="2"/>
        <v>0</v>
      </c>
      <c r="J50" s="311">
        <f t="shared" si="2"/>
        <v>0</v>
      </c>
      <c r="K50" s="311">
        <f t="shared" si="2"/>
        <v>0</v>
      </c>
      <c r="L50" s="311">
        <f t="shared" si="2"/>
        <v>0</v>
      </c>
      <c r="M50" s="311">
        <f t="shared" si="2"/>
        <v>2.9183009853878355E-3</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5.394543997804302E-4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5.0676387227942023E-2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2.9183009853878355E-3</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149.84844438345286</v>
      </c>
      <c r="C54" s="21">
        <f t="shared" ref="C54:P54" si="3">(C50)*10^9/3600</f>
        <v>0</v>
      </c>
      <c r="D54" s="21">
        <f t="shared" si="3"/>
        <v>0</v>
      </c>
      <c r="E54" s="21">
        <f t="shared" si="3"/>
        <v>0</v>
      </c>
      <c r="F54" s="21">
        <f t="shared" si="3"/>
        <v>0</v>
      </c>
      <c r="G54" s="21">
        <f t="shared" si="3"/>
        <v>14076.774229983894</v>
      </c>
      <c r="H54" s="21">
        <f t="shared" si="3"/>
        <v>0</v>
      </c>
      <c r="I54" s="21">
        <f t="shared" si="3"/>
        <v>0</v>
      </c>
      <c r="J54" s="21">
        <f t="shared" si="3"/>
        <v>0</v>
      </c>
      <c r="K54" s="21">
        <f t="shared" si="3"/>
        <v>0</v>
      </c>
      <c r="L54" s="21">
        <f t="shared" si="3"/>
        <v>0</v>
      </c>
      <c r="M54" s="21">
        <f t="shared" si="3"/>
        <v>810.63916260773215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0.18066478506739689</v>
      </c>
      <c r="C56" s="56">
        <f ca="1">'EF ele_warmte'!B22</f>
        <v>0.23764705882352938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27.072336997220287</v>
      </c>
      <c r="C58" s="23">
        <f t="shared" ref="C58:P58" ca="1" si="4">C54*C56</f>
        <v>0</v>
      </c>
      <c r="D58" s="23">
        <f t="shared" si="4"/>
        <v>0</v>
      </c>
      <c r="E58" s="23">
        <f t="shared" si="4"/>
        <v>0</v>
      </c>
      <c r="F58" s="23">
        <f t="shared" si="4"/>
        <v>0</v>
      </c>
      <c r="G58" s="23">
        <f t="shared" si="4"/>
        <v>3758.4987194056998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59166.093102496619</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35385.307867121934</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67.5</v>
      </c>
      <c r="C8" s="534">
        <f>B48</f>
        <v>79.411764705882348</v>
      </c>
      <c r="D8" s="962"/>
      <c r="E8" s="962">
        <f>E48</f>
        <v>0</v>
      </c>
      <c r="F8" s="963"/>
      <c r="G8" s="535"/>
      <c r="H8" s="962">
        <f>I48</f>
        <v>0</v>
      </c>
      <c r="I8" s="962">
        <f>G48+F48</f>
        <v>0</v>
      </c>
      <c r="J8" s="962">
        <f>H48+D48+C48</f>
        <v>0</v>
      </c>
      <c r="K8" s="962"/>
      <c r="L8" s="962"/>
      <c r="M8" s="962"/>
      <c r="N8" s="536"/>
      <c r="O8" s="537">
        <f>C8*$C$12+D8*$D$12+E8*$E$12+F8*$F$12+G8*$G$12+H8*$H$12+I8*$I$12+J8*$J$12</f>
        <v>16.041176470588237</v>
      </c>
      <c r="P8" s="1180"/>
      <c r="Q8" s="1181"/>
      <c r="S8" s="925"/>
      <c r="T8" s="1217"/>
      <c r="U8" s="1217"/>
    </row>
    <row r="9" spans="1:21" s="523" customFormat="1" ht="17.45" customHeight="1" thickBot="1">
      <c r="A9" s="538" t="s">
        <v>236</v>
      </c>
      <c r="B9" s="539">
        <f>N36+'Eigen informatie GS &amp; warmtenet'!B12</f>
        <v>1620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4628.5714285714284</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96238.900969618553</v>
      </c>
      <c r="C10" s="547">
        <f t="shared" ref="C10:L10" si="0">SUM(C8:C9)</f>
        <v>79.411764705882348</v>
      </c>
      <c r="D10" s="547">
        <f t="shared" si="0"/>
        <v>0</v>
      </c>
      <c r="E10" s="547">
        <f t="shared" si="0"/>
        <v>0</v>
      </c>
      <c r="F10" s="547">
        <f t="shared" si="0"/>
        <v>0</v>
      </c>
      <c r="G10" s="547">
        <f t="shared" si="0"/>
        <v>0</v>
      </c>
      <c r="H10" s="547">
        <f t="shared" si="0"/>
        <v>0</v>
      </c>
      <c r="I10" s="547">
        <f t="shared" si="0"/>
        <v>0</v>
      </c>
      <c r="J10" s="547">
        <f t="shared" si="0"/>
        <v>4628.5714285714284</v>
      </c>
      <c r="K10" s="547">
        <f t="shared" si="0"/>
        <v>0</v>
      </c>
      <c r="L10" s="547">
        <f t="shared" si="0"/>
        <v>0</v>
      </c>
      <c r="M10" s="965"/>
      <c r="N10" s="965"/>
      <c r="O10" s="548">
        <f>SUM(O4:O9)</f>
        <v>16.041176470588237</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96.428571428571431</v>
      </c>
      <c r="C17" s="559">
        <f>B49</f>
        <v>113.44537815126048</v>
      </c>
      <c r="D17" s="560"/>
      <c r="E17" s="560">
        <f>E49</f>
        <v>0</v>
      </c>
      <c r="F17" s="968"/>
      <c r="G17" s="561"/>
      <c r="H17" s="559">
        <f>I49</f>
        <v>0</v>
      </c>
      <c r="I17" s="560">
        <f>G49+F49</f>
        <v>0</v>
      </c>
      <c r="J17" s="560">
        <f>H49+D49+C49</f>
        <v>0</v>
      </c>
      <c r="K17" s="560"/>
      <c r="L17" s="560"/>
      <c r="M17" s="560"/>
      <c r="N17" s="969"/>
      <c r="O17" s="562">
        <f>C17*$C$22+E17*$E$22+H17*$H$22+I17*$I$22+J17*$J$22+D17*$D$22+F17*$F$22+G17*$G$22+K17*$K$22+L17*$L$22</f>
        <v>22.915966386554619</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96.428571428571431</v>
      </c>
      <c r="C20" s="546">
        <f>SUM(C17:C19)</f>
        <v>113.44537815126048</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22.915966386554619</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71016</v>
      </c>
      <c r="C28" s="724">
        <v>3600</v>
      </c>
      <c r="D28" s="617"/>
      <c r="E28" s="616"/>
      <c r="F28" s="616"/>
      <c r="G28" s="616" t="s">
        <v>878</v>
      </c>
      <c r="H28" s="616" t="s">
        <v>879</v>
      </c>
      <c r="I28" s="616"/>
      <c r="J28" s="723"/>
      <c r="K28" s="723"/>
      <c r="L28" s="616" t="s">
        <v>880</v>
      </c>
      <c r="M28" s="616">
        <v>15</v>
      </c>
      <c r="N28" s="616">
        <v>67.5</v>
      </c>
      <c r="O28" s="616">
        <v>96.428571428571431</v>
      </c>
      <c r="P28" s="616">
        <v>192.85714285714286</v>
      </c>
      <c r="Q28" s="616">
        <v>0</v>
      </c>
      <c r="R28" s="616">
        <v>0</v>
      </c>
      <c r="S28" s="616">
        <v>0</v>
      </c>
      <c r="T28" s="616">
        <v>0</v>
      </c>
      <c r="U28" s="616">
        <v>0</v>
      </c>
      <c r="V28" s="616">
        <v>0</v>
      </c>
      <c r="W28" s="616">
        <v>0</v>
      </c>
      <c r="X28" s="616"/>
      <c r="Y28" s="616">
        <v>1300</v>
      </c>
      <c r="Z28" s="616" t="s">
        <v>53</v>
      </c>
      <c r="AA28" s="618" t="s">
        <v>149</v>
      </c>
    </row>
    <row r="29" spans="1:27" s="554" customFormat="1" hidden="1">
      <c r="A29" s="572" t="s">
        <v>268</v>
      </c>
      <c r="B29" s="573"/>
      <c r="C29" s="573"/>
      <c r="D29" s="573"/>
      <c r="E29" s="573"/>
      <c r="F29" s="573"/>
      <c r="G29" s="573"/>
      <c r="H29" s="573"/>
      <c r="I29" s="573"/>
      <c r="J29" s="573"/>
      <c r="K29" s="573"/>
      <c r="L29" s="574"/>
      <c r="M29" s="574">
        <f>SUM(M28:M28)</f>
        <v>15</v>
      </c>
      <c r="N29" s="574">
        <f>SUM(N28:N28)</f>
        <v>67.5</v>
      </c>
      <c r="O29" s="574">
        <f>SUM(O28:O28)</f>
        <v>96.428571428571431</v>
      </c>
      <c r="P29" s="574">
        <f>SUM(P28:P28)</f>
        <v>192.85714285714286</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15</v>
      </c>
      <c r="N31" s="574">
        <f ca="1">SUMIF($AA$28:AE28,"tertiair",N28:N28)</f>
        <v>67.5</v>
      </c>
      <c r="O31" s="574">
        <f ca="1">SUMIF($AA$28:AF28,"tertiair",O28:O28)</f>
        <v>96.428571428571431</v>
      </c>
      <c r="P31" s="574">
        <f ca="1">SUMIF($AA$28:AG28,"tertiair",P28:P28)</f>
        <v>192.85714285714286</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63.75" hidden="1">
      <c r="A35" s="571"/>
      <c r="B35" s="724">
        <v>71016</v>
      </c>
      <c r="C35" s="724">
        <v>3600</v>
      </c>
      <c r="D35" s="619"/>
      <c r="E35" s="619"/>
      <c r="F35" s="619"/>
      <c r="G35" s="619" t="s">
        <v>881</v>
      </c>
      <c r="H35" s="619" t="s">
        <v>882</v>
      </c>
      <c r="I35" s="619"/>
      <c r="J35" s="723"/>
      <c r="K35" s="723"/>
      <c r="L35" s="619" t="s">
        <v>880</v>
      </c>
      <c r="M35" s="619">
        <v>360</v>
      </c>
      <c r="N35" s="619">
        <v>1620</v>
      </c>
      <c r="O35" s="619">
        <v>0</v>
      </c>
      <c r="P35" s="619">
        <v>0</v>
      </c>
      <c r="Q35" s="619">
        <v>4628.5714285714284</v>
      </c>
      <c r="R35" s="619">
        <v>0</v>
      </c>
      <c r="S35" s="619">
        <v>0</v>
      </c>
      <c r="T35" s="619">
        <v>0</v>
      </c>
      <c r="U35" s="619">
        <v>0</v>
      </c>
      <c r="V35" s="619">
        <v>0</v>
      </c>
      <c r="W35" s="619">
        <v>0</v>
      </c>
      <c r="X35" s="619"/>
      <c r="Y35" s="619">
        <v>1600</v>
      </c>
      <c r="Z35" s="619" t="s">
        <v>49</v>
      </c>
      <c r="AA35" s="620" t="s">
        <v>149</v>
      </c>
    </row>
    <row r="36" spans="1:28" s="554" customFormat="1" hidden="1">
      <c r="A36" s="572" t="s">
        <v>268</v>
      </c>
      <c r="B36" s="573"/>
      <c r="C36" s="573"/>
      <c r="D36" s="573"/>
      <c r="E36" s="573"/>
      <c r="F36" s="573"/>
      <c r="G36" s="573"/>
      <c r="H36" s="573"/>
      <c r="I36" s="573"/>
      <c r="J36" s="573"/>
      <c r="K36" s="573"/>
      <c r="L36" s="574"/>
      <c r="M36" s="574">
        <f>SUM(M35:M35)</f>
        <v>360</v>
      </c>
      <c r="N36" s="574">
        <f>SUM(N35:N35)</f>
        <v>1620</v>
      </c>
      <c r="O36" s="574">
        <f>SUM(O35:O35)</f>
        <v>0</v>
      </c>
      <c r="P36" s="574">
        <f>SUM(P35:P35)</f>
        <v>0</v>
      </c>
      <c r="Q36" s="574">
        <f>SUM(Q35:Q35)</f>
        <v>4628.5714285714284</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360</v>
      </c>
      <c r="N38" s="574">
        <f>SUMIF($AA$35:$AA$36,"tertiair",N35:N36)</f>
        <v>1620</v>
      </c>
      <c r="O38" s="574">
        <f>SUMIF($AA$35:$AA$36,"tertiair",O35:O36)</f>
        <v>0</v>
      </c>
      <c r="P38" s="574">
        <f>SUMIF($AA$35:$AA$36,"tertiair",P35:P36)</f>
        <v>0</v>
      </c>
      <c r="Q38" s="574">
        <f>SUMIF($AA$35:$AA$36,"tertiair",Q35:Q36)</f>
        <v>4628.5714285714284</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0.58823529411764697</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79.411764705882348</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113.44537815126048</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169115.78157700002</v>
      </c>
      <c r="D10" s="931">
        <f ca="1">tertiair!C16</f>
        <v>96.428571428571431</v>
      </c>
      <c r="E10" s="931">
        <f ca="1">tertiair!D16</f>
        <v>121516.88042746484</v>
      </c>
      <c r="F10" s="931">
        <f>tertiair!E16</f>
        <v>2125.5642306246773</v>
      </c>
      <c r="G10" s="931">
        <f ca="1">tertiair!F16</f>
        <v>25856.012308212659</v>
      </c>
      <c r="H10" s="931">
        <f>tertiair!G16</f>
        <v>0</v>
      </c>
      <c r="I10" s="931">
        <f>tertiair!H16</f>
        <v>0</v>
      </c>
      <c r="J10" s="931">
        <f>tertiair!I16</f>
        <v>0</v>
      </c>
      <c r="K10" s="931">
        <f>tertiair!J16</f>
        <v>0.17584681319880346</v>
      </c>
      <c r="L10" s="931">
        <f>tertiair!K16</f>
        <v>0</v>
      </c>
      <c r="M10" s="931">
        <f ca="1">tertiair!L16</f>
        <v>0</v>
      </c>
      <c r="N10" s="931">
        <f>tertiair!M16</f>
        <v>0</v>
      </c>
      <c r="O10" s="931">
        <f ca="1">tertiair!N16</f>
        <v>2874.3873630213457</v>
      </c>
      <c r="P10" s="931">
        <f>tertiair!O16</f>
        <v>4.6900000000000004</v>
      </c>
      <c r="Q10" s="932">
        <f>tertiair!P16</f>
        <v>133.46666666666667</v>
      </c>
      <c r="R10" s="628">
        <f ca="1">SUM(C10:Q10)</f>
        <v>321723.38699123194</v>
      </c>
      <c r="S10" s="67"/>
    </row>
    <row r="11" spans="1:19" s="437" customFormat="1">
      <c r="A11" s="736" t="s">
        <v>213</v>
      </c>
      <c r="B11" s="741"/>
      <c r="C11" s="931">
        <f>huishoudens!B8</f>
        <v>120371.05610866426</v>
      </c>
      <c r="D11" s="931">
        <f>huishoudens!C8</f>
        <v>0</v>
      </c>
      <c r="E11" s="931">
        <f>huishoudens!D8</f>
        <v>169175.09498465399</v>
      </c>
      <c r="F11" s="931">
        <f>huishoudens!E8</f>
        <v>8184.0792848679121</v>
      </c>
      <c r="G11" s="931">
        <f>huishoudens!F8</f>
        <v>189700.59047696649</v>
      </c>
      <c r="H11" s="931">
        <f>huishoudens!G8</f>
        <v>0</v>
      </c>
      <c r="I11" s="931">
        <f>huishoudens!H8</f>
        <v>0</v>
      </c>
      <c r="J11" s="931">
        <f>huishoudens!I8</f>
        <v>0</v>
      </c>
      <c r="K11" s="931">
        <f>huishoudens!J8</f>
        <v>974.89393552970944</v>
      </c>
      <c r="L11" s="931">
        <f>huishoudens!K8</f>
        <v>0</v>
      </c>
      <c r="M11" s="931">
        <f>huishoudens!L8</f>
        <v>0</v>
      </c>
      <c r="N11" s="931">
        <f>huishoudens!M8</f>
        <v>0</v>
      </c>
      <c r="O11" s="931">
        <f>huishoudens!N8</f>
        <v>40175.656759824065</v>
      </c>
      <c r="P11" s="931">
        <f>huishoudens!O8</f>
        <v>1394.4933333333333</v>
      </c>
      <c r="Q11" s="932">
        <f>huishoudens!P8</f>
        <v>2745.6</v>
      </c>
      <c r="R11" s="628">
        <f>SUM(C11:Q11)</f>
        <v>532721.46488383971</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219371.664639</v>
      </c>
      <c r="D13" s="931">
        <f>industrie!C18</f>
        <v>0</v>
      </c>
      <c r="E13" s="931">
        <f>industrie!D18</f>
        <v>79015.400208822015</v>
      </c>
      <c r="F13" s="931">
        <f>industrie!E18</f>
        <v>7308.7430145201015</v>
      </c>
      <c r="G13" s="931">
        <f>industrie!F18</f>
        <v>80421.05781510823</v>
      </c>
      <c r="H13" s="931">
        <f>industrie!G18</f>
        <v>0</v>
      </c>
      <c r="I13" s="931">
        <f>industrie!H18</f>
        <v>0</v>
      </c>
      <c r="J13" s="931">
        <f>industrie!I18</f>
        <v>0</v>
      </c>
      <c r="K13" s="931">
        <f>industrie!J18</f>
        <v>3.7339020619502632</v>
      </c>
      <c r="L13" s="931">
        <f>industrie!K18</f>
        <v>0</v>
      </c>
      <c r="M13" s="931">
        <f>industrie!L18</f>
        <v>0</v>
      </c>
      <c r="N13" s="931">
        <f>industrie!M18</f>
        <v>0</v>
      </c>
      <c r="O13" s="931">
        <f>industrie!N18</f>
        <v>5309.6024362146673</v>
      </c>
      <c r="P13" s="931">
        <f>industrie!O18</f>
        <v>0</v>
      </c>
      <c r="Q13" s="932">
        <f>industrie!P18</f>
        <v>0</v>
      </c>
      <c r="R13" s="628">
        <f>SUM(C13:Q13)</f>
        <v>391430.20201572694</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508858.50232466427</v>
      </c>
      <c r="D16" s="660">
        <f t="shared" ref="D16:R16" ca="1" si="0">SUM(D9:D15)</f>
        <v>96.428571428571431</v>
      </c>
      <c r="E16" s="660">
        <f t="shared" ca="1" si="0"/>
        <v>369707.37562094082</v>
      </c>
      <c r="F16" s="660">
        <f t="shared" si="0"/>
        <v>17618.386530012693</v>
      </c>
      <c r="G16" s="660">
        <f t="shared" ca="1" si="0"/>
        <v>295977.66060028737</v>
      </c>
      <c r="H16" s="660">
        <f t="shared" si="0"/>
        <v>0</v>
      </c>
      <c r="I16" s="660">
        <f t="shared" si="0"/>
        <v>0</v>
      </c>
      <c r="J16" s="660">
        <f t="shared" si="0"/>
        <v>0</v>
      </c>
      <c r="K16" s="660">
        <f t="shared" si="0"/>
        <v>978.80368440485859</v>
      </c>
      <c r="L16" s="660">
        <f t="shared" si="0"/>
        <v>0</v>
      </c>
      <c r="M16" s="660">
        <f t="shared" ca="1" si="0"/>
        <v>0</v>
      </c>
      <c r="N16" s="660">
        <f t="shared" si="0"/>
        <v>0</v>
      </c>
      <c r="O16" s="660">
        <f t="shared" ca="1" si="0"/>
        <v>48359.646559060086</v>
      </c>
      <c r="P16" s="660">
        <f t="shared" si="0"/>
        <v>1399.1833333333334</v>
      </c>
      <c r="Q16" s="660">
        <f t="shared" si="0"/>
        <v>2879.0666666666666</v>
      </c>
      <c r="R16" s="660">
        <f t="shared" ca="1" si="0"/>
        <v>1245875.0538907987</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149.84844438345286</v>
      </c>
      <c r="D19" s="931">
        <f>transport!C54</f>
        <v>0</v>
      </c>
      <c r="E19" s="931">
        <f>transport!D54</f>
        <v>0</v>
      </c>
      <c r="F19" s="931">
        <f>transport!E54</f>
        <v>0</v>
      </c>
      <c r="G19" s="931">
        <f>transport!F54</f>
        <v>0</v>
      </c>
      <c r="H19" s="931">
        <f>transport!G54</f>
        <v>14076.774229983894</v>
      </c>
      <c r="I19" s="931">
        <f>transport!H54</f>
        <v>0</v>
      </c>
      <c r="J19" s="931">
        <f>transport!I54</f>
        <v>0</v>
      </c>
      <c r="K19" s="931">
        <f>transport!J54</f>
        <v>0</v>
      </c>
      <c r="L19" s="931">
        <f>transport!K54</f>
        <v>0</v>
      </c>
      <c r="M19" s="931">
        <f>transport!L54</f>
        <v>0</v>
      </c>
      <c r="N19" s="931">
        <f>transport!M54</f>
        <v>810.63916260773215</v>
      </c>
      <c r="O19" s="931">
        <f>transport!N54</f>
        <v>0</v>
      </c>
      <c r="P19" s="931">
        <f>transport!O54</f>
        <v>0</v>
      </c>
      <c r="Q19" s="932">
        <f>transport!P54</f>
        <v>0</v>
      </c>
      <c r="R19" s="628">
        <f>SUM(C19:Q19)</f>
        <v>15037.26183697508</v>
      </c>
      <c r="S19" s="67"/>
    </row>
    <row r="20" spans="1:19" s="437" customFormat="1">
      <c r="A20" s="736" t="s">
        <v>295</v>
      </c>
      <c r="B20" s="741"/>
      <c r="C20" s="931">
        <f>transport!B14</f>
        <v>218.92261954702394</v>
      </c>
      <c r="D20" s="931">
        <f>transport!C14</f>
        <v>0</v>
      </c>
      <c r="E20" s="931">
        <f>transport!D14</f>
        <v>347.42936706749219</v>
      </c>
      <c r="F20" s="931">
        <f>transport!E14</f>
        <v>653.336640168553</v>
      </c>
      <c r="G20" s="931">
        <f>transport!F14</f>
        <v>0</v>
      </c>
      <c r="H20" s="931">
        <f>transport!G14</f>
        <v>287430.38435734052</v>
      </c>
      <c r="I20" s="931">
        <f>transport!H14</f>
        <v>61102.72024807764</v>
      </c>
      <c r="J20" s="931">
        <f>transport!I14</f>
        <v>0</v>
      </c>
      <c r="K20" s="931">
        <f>transport!J14</f>
        <v>0</v>
      </c>
      <c r="L20" s="931">
        <f>transport!K14</f>
        <v>0</v>
      </c>
      <c r="M20" s="931">
        <f>transport!L14</f>
        <v>0</v>
      </c>
      <c r="N20" s="931">
        <f>transport!M14</f>
        <v>18592.127340583309</v>
      </c>
      <c r="O20" s="931">
        <f>transport!N14</f>
        <v>0</v>
      </c>
      <c r="P20" s="931">
        <f>transport!O14</f>
        <v>0</v>
      </c>
      <c r="Q20" s="932">
        <f>transport!P14</f>
        <v>0</v>
      </c>
      <c r="R20" s="628">
        <f>SUM(C20:Q20)</f>
        <v>368344.92057278455</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368.77106393047677</v>
      </c>
      <c r="D22" s="739">
        <f t="shared" ref="D22:R22" si="1">SUM(D18:D21)</f>
        <v>0</v>
      </c>
      <c r="E22" s="739">
        <f t="shared" si="1"/>
        <v>347.42936706749219</v>
      </c>
      <c r="F22" s="739">
        <f t="shared" si="1"/>
        <v>653.336640168553</v>
      </c>
      <c r="G22" s="739">
        <f t="shared" si="1"/>
        <v>0</v>
      </c>
      <c r="H22" s="739">
        <f t="shared" si="1"/>
        <v>301507.15858732443</v>
      </c>
      <c r="I22" s="739">
        <f t="shared" si="1"/>
        <v>61102.72024807764</v>
      </c>
      <c r="J22" s="739">
        <f t="shared" si="1"/>
        <v>0</v>
      </c>
      <c r="K22" s="739">
        <f t="shared" si="1"/>
        <v>0</v>
      </c>
      <c r="L22" s="739">
        <f t="shared" si="1"/>
        <v>0</v>
      </c>
      <c r="M22" s="739">
        <f t="shared" si="1"/>
        <v>0</v>
      </c>
      <c r="N22" s="739">
        <f t="shared" si="1"/>
        <v>19402.76650319104</v>
      </c>
      <c r="O22" s="739">
        <f t="shared" si="1"/>
        <v>0</v>
      </c>
      <c r="P22" s="739">
        <f t="shared" si="1"/>
        <v>0</v>
      </c>
      <c r="Q22" s="739">
        <f t="shared" si="1"/>
        <v>0</v>
      </c>
      <c r="R22" s="739">
        <f t="shared" si="1"/>
        <v>383382.18240975961</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381.16590000000002</v>
      </c>
      <c r="D24" s="931">
        <f>+landbouw!C8</f>
        <v>0</v>
      </c>
      <c r="E24" s="931">
        <f>+landbouw!D8</f>
        <v>278.77663000000001</v>
      </c>
      <c r="F24" s="931">
        <f>+landbouw!E8</f>
        <v>12.370086448105821</v>
      </c>
      <c r="G24" s="931">
        <f>+landbouw!F8</f>
        <v>1406.1949691781917</v>
      </c>
      <c r="H24" s="931">
        <f>+landbouw!G8</f>
        <v>0</v>
      </c>
      <c r="I24" s="931">
        <f>+landbouw!H8</f>
        <v>0</v>
      </c>
      <c r="J24" s="931">
        <f>+landbouw!I8</f>
        <v>0</v>
      </c>
      <c r="K24" s="931">
        <f>+landbouw!J8</f>
        <v>100.24269094987217</v>
      </c>
      <c r="L24" s="931">
        <f>+landbouw!K8</f>
        <v>0</v>
      </c>
      <c r="M24" s="931">
        <f>+landbouw!L8</f>
        <v>0</v>
      </c>
      <c r="N24" s="931">
        <f>+landbouw!M8</f>
        <v>0</v>
      </c>
      <c r="O24" s="931">
        <f>+landbouw!N8</f>
        <v>0</v>
      </c>
      <c r="P24" s="931">
        <f>+landbouw!O8</f>
        <v>0</v>
      </c>
      <c r="Q24" s="932">
        <f>+landbouw!P8</f>
        <v>0</v>
      </c>
      <c r="R24" s="628">
        <f>SUM(C24:Q24)</f>
        <v>2178.7502765761697</v>
      </c>
      <c r="S24" s="67"/>
    </row>
    <row r="25" spans="1:19" s="437" customFormat="1" ht="15" thickBot="1">
      <c r="A25" s="758" t="s">
        <v>775</v>
      </c>
      <c r="B25" s="934"/>
      <c r="C25" s="935">
        <f>IF(Onbekend_ele_kWh="---",0,Onbekend_ele_kWh)/1000+IF(REST_rest_ele_kWh="---",0,REST_rest_ele_kWh)/1000</f>
        <v>17294.813200000001</v>
      </c>
      <c r="D25" s="935"/>
      <c r="E25" s="935">
        <f>IF(onbekend_gas_kWh="---",0,onbekend_gas_kWh)/1000+IF(REST_rest_gas_kWh="---",0,REST_rest_gas_kWh)/1000</f>
        <v>15252.367237</v>
      </c>
      <c r="F25" s="935"/>
      <c r="G25" s="935"/>
      <c r="H25" s="935"/>
      <c r="I25" s="935"/>
      <c r="J25" s="935"/>
      <c r="K25" s="935"/>
      <c r="L25" s="935"/>
      <c r="M25" s="935"/>
      <c r="N25" s="935"/>
      <c r="O25" s="935"/>
      <c r="P25" s="935"/>
      <c r="Q25" s="936"/>
      <c r="R25" s="628">
        <f>SUM(C25:Q25)</f>
        <v>32547.180437000003</v>
      </c>
      <c r="S25" s="67"/>
    </row>
    <row r="26" spans="1:19" s="437" customFormat="1" ht="15.75" thickBot="1">
      <c r="A26" s="633" t="s">
        <v>776</v>
      </c>
      <c r="B26" s="744"/>
      <c r="C26" s="739">
        <f>SUM(C24:C25)</f>
        <v>17675.9791</v>
      </c>
      <c r="D26" s="739">
        <f t="shared" ref="D26:R26" si="2">SUM(D24:D25)</f>
        <v>0</v>
      </c>
      <c r="E26" s="739">
        <f t="shared" si="2"/>
        <v>15531.143867000001</v>
      </c>
      <c r="F26" s="739">
        <f t="shared" si="2"/>
        <v>12.370086448105821</v>
      </c>
      <c r="G26" s="739">
        <f t="shared" si="2"/>
        <v>1406.1949691781917</v>
      </c>
      <c r="H26" s="739">
        <f t="shared" si="2"/>
        <v>0</v>
      </c>
      <c r="I26" s="739">
        <f t="shared" si="2"/>
        <v>0</v>
      </c>
      <c r="J26" s="739">
        <f t="shared" si="2"/>
        <v>0</v>
      </c>
      <c r="K26" s="739">
        <f t="shared" si="2"/>
        <v>100.24269094987217</v>
      </c>
      <c r="L26" s="739">
        <f t="shared" si="2"/>
        <v>0</v>
      </c>
      <c r="M26" s="739">
        <f t="shared" si="2"/>
        <v>0</v>
      </c>
      <c r="N26" s="739">
        <f t="shared" si="2"/>
        <v>0</v>
      </c>
      <c r="O26" s="739">
        <f t="shared" si="2"/>
        <v>0</v>
      </c>
      <c r="P26" s="739">
        <f t="shared" si="2"/>
        <v>0</v>
      </c>
      <c r="Q26" s="739">
        <f t="shared" si="2"/>
        <v>0</v>
      </c>
      <c r="R26" s="739">
        <f t="shared" si="2"/>
        <v>34725.93071357617</v>
      </c>
      <c r="S26" s="67"/>
    </row>
    <row r="27" spans="1:19" s="437" customFormat="1" ht="17.25" thickTop="1" thickBot="1">
      <c r="A27" s="634" t="s">
        <v>109</v>
      </c>
      <c r="B27" s="732"/>
      <c r="C27" s="635">
        <f ca="1">C22+C16+C26</f>
        <v>526903.25248859474</v>
      </c>
      <c r="D27" s="635">
        <f t="shared" ref="D27:R27" ca="1" si="3">D22+D16+D26</f>
        <v>96.428571428571431</v>
      </c>
      <c r="E27" s="635">
        <f t="shared" ca="1" si="3"/>
        <v>385585.94885500829</v>
      </c>
      <c r="F27" s="635">
        <f t="shared" si="3"/>
        <v>18284.093256629352</v>
      </c>
      <c r="G27" s="635">
        <f t="shared" ca="1" si="3"/>
        <v>297383.85556946555</v>
      </c>
      <c r="H27" s="635">
        <f t="shared" si="3"/>
        <v>301507.15858732443</v>
      </c>
      <c r="I27" s="635">
        <f t="shared" si="3"/>
        <v>61102.72024807764</v>
      </c>
      <c r="J27" s="635">
        <f t="shared" si="3"/>
        <v>0</v>
      </c>
      <c r="K27" s="635">
        <f t="shared" si="3"/>
        <v>1079.0463753547308</v>
      </c>
      <c r="L27" s="635">
        <f t="shared" si="3"/>
        <v>0</v>
      </c>
      <c r="M27" s="635">
        <f t="shared" ca="1" si="3"/>
        <v>0</v>
      </c>
      <c r="N27" s="635">
        <f t="shared" si="3"/>
        <v>19402.76650319104</v>
      </c>
      <c r="O27" s="635">
        <f t="shared" ca="1" si="3"/>
        <v>48359.646559060086</v>
      </c>
      <c r="P27" s="635">
        <f t="shared" si="3"/>
        <v>1399.1833333333334</v>
      </c>
      <c r="Q27" s="635">
        <f t="shared" si="3"/>
        <v>2879.0666666666666</v>
      </c>
      <c r="R27" s="635">
        <f t="shared" ca="1" si="3"/>
        <v>1663983.1670141346</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30553.266330113544</v>
      </c>
      <c r="D40" s="931">
        <f ca="1">tertiair!C20</f>
        <v>22.915966386554619</v>
      </c>
      <c r="E40" s="931">
        <f ca="1">tertiair!D20</f>
        <v>24546.409846347899</v>
      </c>
      <c r="F40" s="931">
        <f>tertiair!E20</f>
        <v>482.50308035180177</v>
      </c>
      <c r="G40" s="931">
        <f ca="1">tertiair!F20</f>
        <v>6903.5552862927807</v>
      </c>
      <c r="H40" s="931">
        <f>tertiair!G20</f>
        <v>0</v>
      </c>
      <c r="I40" s="931">
        <f>tertiair!H20</f>
        <v>0</v>
      </c>
      <c r="J40" s="931">
        <f>tertiair!I20</f>
        <v>0</v>
      </c>
      <c r="K40" s="931">
        <f>tertiair!J20</f>
        <v>6.2249771872376423E-2</v>
      </c>
      <c r="L40" s="931">
        <f>tertiair!K20</f>
        <v>0</v>
      </c>
      <c r="M40" s="931">
        <f ca="1">tertiair!L20</f>
        <v>0</v>
      </c>
      <c r="N40" s="931">
        <f>tertiair!M20</f>
        <v>0</v>
      </c>
      <c r="O40" s="931">
        <f ca="1">tertiair!N20</f>
        <v>0</v>
      </c>
      <c r="P40" s="931">
        <f>tertiair!O20</f>
        <v>0</v>
      </c>
      <c r="Q40" s="702">
        <f>tertiair!P20</f>
        <v>0</v>
      </c>
      <c r="R40" s="777">
        <f t="shared" ca="1" si="4"/>
        <v>62508.712759264447</v>
      </c>
    </row>
    <row r="41" spans="1:18">
      <c r="A41" s="749" t="s">
        <v>213</v>
      </c>
      <c r="B41" s="756"/>
      <c r="C41" s="931">
        <f ca="1">huishoudens!B12</f>
        <v>21746.8109802074</v>
      </c>
      <c r="D41" s="931">
        <f ca="1">huishoudens!C12</f>
        <v>0</v>
      </c>
      <c r="E41" s="931">
        <f>huishoudens!D12</f>
        <v>34173.369186900105</v>
      </c>
      <c r="F41" s="931">
        <f>huishoudens!E12</f>
        <v>1857.7859976650161</v>
      </c>
      <c r="G41" s="931">
        <f>huishoudens!F12</f>
        <v>50650.057657350058</v>
      </c>
      <c r="H41" s="931">
        <f>huishoudens!G12</f>
        <v>0</v>
      </c>
      <c r="I41" s="931">
        <f>huishoudens!H12</f>
        <v>0</v>
      </c>
      <c r="J41" s="931">
        <f>huishoudens!I12</f>
        <v>0</v>
      </c>
      <c r="K41" s="931">
        <f>huishoudens!J12</f>
        <v>345.11245317751712</v>
      </c>
      <c r="L41" s="931">
        <f>huishoudens!K12</f>
        <v>0</v>
      </c>
      <c r="M41" s="931">
        <f>huishoudens!L12</f>
        <v>0</v>
      </c>
      <c r="N41" s="931">
        <f>huishoudens!M12</f>
        <v>0</v>
      </c>
      <c r="O41" s="931">
        <f>huishoudens!N12</f>
        <v>0</v>
      </c>
      <c r="P41" s="931">
        <f>huishoudens!O12</f>
        <v>0</v>
      </c>
      <c r="Q41" s="702">
        <f>huishoudens!P12</f>
        <v>0</v>
      </c>
      <c r="R41" s="777">
        <f t="shared" ca="1" si="4"/>
        <v>108773.13627530009</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39632.734641882002</v>
      </c>
      <c r="D43" s="931">
        <f ca="1">industrie!C22</f>
        <v>0</v>
      </c>
      <c r="E43" s="931">
        <f>industrie!D22</f>
        <v>15961.110842182048</v>
      </c>
      <c r="F43" s="931">
        <f>industrie!E22</f>
        <v>1659.084664296063</v>
      </c>
      <c r="G43" s="931">
        <f>industrie!F22</f>
        <v>21472.4224366339</v>
      </c>
      <c r="H43" s="931">
        <f>industrie!G22</f>
        <v>0</v>
      </c>
      <c r="I43" s="931">
        <f>industrie!H22</f>
        <v>0</v>
      </c>
      <c r="J43" s="931">
        <f>industrie!I22</f>
        <v>0</v>
      </c>
      <c r="K43" s="931">
        <f>industrie!J22</f>
        <v>1.321801329930393</v>
      </c>
      <c r="L43" s="931">
        <f>industrie!K22</f>
        <v>0</v>
      </c>
      <c r="M43" s="931">
        <f>industrie!L22</f>
        <v>0</v>
      </c>
      <c r="N43" s="931">
        <f>industrie!M22</f>
        <v>0</v>
      </c>
      <c r="O43" s="931">
        <f>industrie!N22</f>
        <v>0</v>
      </c>
      <c r="P43" s="931">
        <f>industrie!O22</f>
        <v>0</v>
      </c>
      <c r="Q43" s="702">
        <f>industrie!P22</f>
        <v>0</v>
      </c>
      <c r="R43" s="776">
        <f t="shared" ca="1" si="4"/>
        <v>78726.674386323939</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91932.811952202945</v>
      </c>
      <c r="D46" s="660">
        <f t="shared" ref="D46:Q46" ca="1" si="5">SUM(D39:D45)</f>
        <v>22.915966386554619</v>
      </c>
      <c r="E46" s="660">
        <f t="shared" ca="1" si="5"/>
        <v>74680.889875430061</v>
      </c>
      <c r="F46" s="660">
        <f t="shared" si="5"/>
        <v>3999.3737423128805</v>
      </c>
      <c r="G46" s="660">
        <f t="shared" ca="1" si="5"/>
        <v>79026.035380276735</v>
      </c>
      <c r="H46" s="660">
        <f t="shared" si="5"/>
        <v>0</v>
      </c>
      <c r="I46" s="660">
        <f t="shared" si="5"/>
        <v>0</v>
      </c>
      <c r="J46" s="660">
        <f t="shared" si="5"/>
        <v>0</v>
      </c>
      <c r="K46" s="660">
        <f t="shared" si="5"/>
        <v>346.49650427931988</v>
      </c>
      <c r="L46" s="660">
        <f t="shared" si="5"/>
        <v>0</v>
      </c>
      <c r="M46" s="660">
        <f t="shared" ca="1" si="5"/>
        <v>0</v>
      </c>
      <c r="N46" s="660">
        <f t="shared" si="5"/>
        <v>0</v>
      </c>
      <c r="O46" s="660">
        <f t="shared" ca="1" si="5"/>
        <v>0</v>
      </c>
      <c r="P46" s="660">
        <f t="shared" si="5"/>
        <v>0</v>
      </c>
      <c r="Q46" s="660">
        <f t="shared" si="5"/>
        <v>0</v>
      </c>
      <c r="R46" s="660">
        <f ca="1">SUM(R39:R45)</f>
        <v>250008.52342088846</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27.072336997220287</v>
      </c>
      <c r="D49" s="931">
        <f ca="1">transport!C58</f>
        <v>0</v>
      </c>
      <c r="E49" s="931">
        <f>transport!D58</f>
        <v>0</v>
      </c>
      <c r="F49" s="931">
        <f>transport!E58</f>
        <v>0</v>
      </c>
      <c r="G49" s="931">
        <f>transport!F58</f>
        <v>0</v>
      </c>
      <c r="H49" s="931">
        <f>transport!G58</f>
        <v>3758.4987194056998</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3785.57105640292</v>
      </c>
    </row>
    <row r="50" spans="1:18">
      <c r="A50" s="752" t="s">
        <v>295</v>
      </c>
      <c r="B50" s="762"/>
      <c r="C50" s="631">
        <f ca="1">transport!B18</f>
        <v>39.551608006854579</v>
      </c>
      <c r="D50" s="631">
        <f>transport!C18</f>
        <v>0</v>
      </c>
      <c r="E50" s="631">
        <f>transport!D18</f>
        <v>70.180732147633421</v>
      </c>
      <c r="F50" s="631">
        <f>transport!E18</f>
        <v>148.30741731826154</v>
      </c>
      <c r="G50" s="631">
        <f>transport!F18</f>
        <v>0</v>
      </c>
      <c r="H50" s="631">
        <f>transport!G18</f>
        <v>76743.912623409924</v>
      </c>
      <c r="I50" s="631">
        <f>transport!H18</f>
        <v>15214.577341771332</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92216.529722654013</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66.623945004074869</v>
      </c>
      <c r="D52" s="660">
        <f t="shared" ref="D52:Q52" ca="1" si="6">SUM(D48:D51)</f>
        <v>0</v>
      </c>
      <c r="E52" s="660">
        <f t="shared" si="6"/>
        <v>70.180732147633421</v>
      </c>
      <c r="F52" s="660">
        <f t="shared" si="6"/>
        <v>148.30741731826154</v>
      </c>
      <c r="G52" s="660">
        <f t="shared" si="6"/>
        <v>0</v>
      </c>
      <c r="H52" s="660">
        <f t="shared" si="6"/>
        <v>80502.411342815627</v>
      </c>
      <c r="I52" s="660">
        <f t="shared" si="6"/>
        <v>15214.577341771332</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96002.100779056927</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68.863255398520906</v>
      </c>
      <c r="D54" s="631">
        <f ca="1">+landbouw!C12</f>
        <v>0</v>
      </c>
      <c r="E54" s="631">
        <f>+landbouw!D12</f>
        <v>56.312879260000003</v>
      </c>
      <c r="F54" s="631">
        <f>+landbouw!E12</f>
        <v>2.8080096237200216</v>
      </c>
      <c r="G54" s="631">
        <f>+landbouw!F12</f>
        <v>375.45405677057721</v>
      </c>
      <c r="H54" s="631">
        <f>+landbouw!G12</f>
        <v>0</v>
      </c>
      <c r="I54" s="631">
        <f>+landbouw!H12</f>
        <v>0</v>
      </c>
      <c r="J54" s="631">
        <f>+landbouw!I12</f>
        <v>0</v>
      </c>
      <c r="K54" s="631">
        <f>+landbouw!J12</f>
        <v>35.485912596254749</v>
      </c>
      <c r="L54" s="631">
        <f>+landbouw!K12</f>
        <v>0</v>
      </c>
      <c r="M54" s="631">
        <f>+landbouw!L12</f>
        <v>0</v>
      </c>
      <c r="N54" s="631">
        <f>+landbouw!M12</f>
        <v>0</v>
      </c>
      <c r="O54" s="631">
        <f>+landbouw!N12</f>
        <v>0</v>
      </c>
      <c r="P54" s="631">
        <f>+landbouw!O12</f>
        <v>0</v>
      </c>
      <c r="Q54" s="632">
        <f>+landbouw!P12</f>
        <v>0</v>
      </c>
      <c r="R54" s="659">
        <f ca="1">SUM(C54:Q54)</f>
        <v>538.92411364907286</v>
      </c>
    </row>
    <row r="55" spans="1:18" ht="15" thickBot="1">
      <c r="A55" s="752" t="s">
        <v>775</v>
      </c>
      <c r="B55" s="762"/>
      <c r="C55" s="631">
        <f ca="1">C25*'EF ele_warmte'!B12</f>
        <v>3124.5637095587786</v>
      </c>
      <c r="D55" s="631"/>
      <c r="E55" s="631">
        <f>E25*EF_CO2_aardgas</f>
        <v>3080.9781818740003</v>
      </c>
      <c r="F55" s="631"/>
      <c r="G55" s="631"/>
      <c r="H55" s="631"/>
      <c r="I55" s="631"/>
      <c r="J55" s="631"/>
      <c r="K55" s="631"/>
      <c r="L55" s="631"/>
      <c r="M55" s="631"/>
      <c r="N55" s="631"/>
      <c r="O55" s="631"/>
      <c r="P55" s="631"/>
      <c r="Q55" s="632"/>
      <c r="R55" s="659">
        <f ca="1">SUM(C55:Q55)</f>
        <v>6205.5418914327784</v>
      </c>
    </row>
    <row r="56" spans="1:18" ht="15.75" thickBot="1">
      <c r="A56" s="750" t="s">
        <v>776</v>
      </c>
      <c r="B56" s="763"/>
      <c r="C56" s="660">
        <f ca="1">SUM(C54:C55)</f>
        <v>3193.4269649572993</v>
      </c>
      <c r="D56" s="660">
        <f t="shared" ref="D56:Q56" ca="1" si="7">SUM(D54:D55)</f>
        <v>0</v>
      </c>
      <c r="E56" s="660">
        <f t="shared" si="7"/>
        <v>3137.2910611340003</v>
      </c>
      <c r="F56" s="660">
        <f t="shared" si="7"/>
        <v>2.8080096237200216</v>
      </c>
      <c r="G56" s="660">
        <f t="shared" si="7"/>
        <v>375.45405677057721</v>
      </c>
      <c r="H56" s="660">
        <f t="shared" si="7"/>
        <v>0</v>
      </c>
      <c r="I56" s="660">
        <f t="shared" si="7"/>
        <v>0</v>
      </c>
      <c r="J56" s="660">
        <f t="shared" si="7"/>
        <v>0</v>
      </c>
      <c r="K56" s="660">
        <f t="shared" si="7"/>
        <v>35.485912596254749</v>
      </c>
      <c r="L56" s="660">
        <f t="shared" si="7"/>
        <v>0</v>
      </c>
      <c r="M56" s="660">
        <f t="shared" si="7"/>
        <v>0</v>
      </c>
      <c r="N56" s="660">
        <f t="shared" si="7"/>
        <v>0</v>
      </c>
      <c r="O56" s="660">
        <f t="shared" si="7"/>
        <v>0</v>
      </c>
      <c r="P56" s="660">
        <f t="shared" si="7"/>
        <v>0</v>
      </c>
      <c r="Q56" s="661">
        <f t="shared" si="7"/>
        <v>0</v>
      </c>
      <c r="R56" s="662">
        <f ca="1">SUM(R54:R55)</f>
        <v>6744.4660050818511</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95192.862862164315</v>
      </c>
      <c r="D61" s="668">
        <f t="shared" ref="D61:Q61" ca="1" si="8">D46+D52+D56</f>
        <v>22.915966386554619</v>
      </c>
      <c r="E61" s="668">
        <f t="shared" ca="1" si="8"/>
        <v>77888.361668711703</v>
      </c>
      <c r="F61" s="668">
        <f t="shared" si="8"/>
        <v>4150.4891692548617</v>
      </c>
      <c r="G61" s="668">
        <f t="shared" ca="1" si="8"/>
        <v>79401.489437047319</v>
      </c>
      <c r="H61" s="668">
        <f t="shared" si="8"/>
        <v>80502.411342815627</v>
      </c>
      <c r="I61" s="668">
        <f t="shared" si="8"/>
        <v>15214.577341771332</v>
      </c>
      <c r="J61" s="668">
        <f t="shared" si="8"/>
        <v>0</v>
      </c>
      <c r="K61" s="668">
        <f t="shared" si="8"/>
        <v>381.98241687557464</v>
      </c>
      <c r="L61" s="668">
        <f t="shared" si="8"/>
        <v>0</v>
      </c>
      <c r="M61" s="668">
        <f t="shared" ca="1" si="8"/>
        <v>0</v>
      </c>
      <c r="N61" s="668">
        <f t="shared" si="8"/>
        <v>0</v>
      </c>
      <c r="O61" s="668">
        <f t="shared" ca="1" si="8"/>
        <v>0</v>
      </c>
      <c r="P61" s="668">
        <f t="shared" si="8"/>
        <v>0</v>
      </c>
      <c r="Q61" s="668">
        <f t="shared" si="8"/>
        <v>0</v>
      </c>
      <c r="R61" s="668">
        <f ca="1">R46+R52+R56</f>
        <v>352755.0902050272</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0.18066478506739686</v>
      </c>
      <c r="D63" s="709">
        <f t="shared" ca="1" si="9"/>
        <v>0.23764705882352938</v>
      </c>
      <c r="E63" s="942">
        <f t="shared" ca="1" si="9"/>
        <v>0.20200000000000007</v>
      </c>
      <c r="F63" s="709">
        <f t="shared" si="9"/>
        <v>0.22699999999999992</v>
      </c>
      <c r="G63" s="709">
        <f t="shared" ca="1" si="9"/>
        <v>0.26700000000000007</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59166.093102496619</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35385.307867121934</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67.5</v>
      </c>
      <c r="D76" s="952">
        <f>'lokale energieproductie'!C8</f>
        <v>79.411764705882348</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16.041176470588237</v>
      </c>
      <c r="R76" s="779">
        <v>0</v>
      </c>
    </row>
    <row r="77" spans="1:18" ht="30.75" thickBot="1">
      <c r="A77" s="681" t="s">
        <v>339</v>
      </c>
      <c r="B77" s="678">
        <f>'lokale energieproductie'!B9*IFERROR(SUM(I77:O77)/SUM(D77:O77),0)</f>
        <v>1620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4628.5714285714284</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96171.400969618553</v>
      </c>
      <c r="C78" s="683">
        <f>SUM(C72:C77)</f>
        <v>67.5</v>
      </c>
      <c r="D78" s="684">
        <f t="shared" ref="D78:H78" si="10">SUM(D76:D77)</f>
        <v>79.411764705882348</v>
      </c>
      <c r="E78" s="684">
        <f t="shared" si="10"/>
        <v>0</v>
      </c>
      <c r="F78" s="684">
        <f t="shared" si="10"/>
        <v>0</v>
      </c>
      <c r="G78" s="684">
        <f t="shared" si="10"/>
        <v>0</v>
      </c>
      <c r="H78" s="684">
        <f t="shared" si="10"/>
        <v>0</v>
      </c>
      <c r="I78" s="684">
        <f>SUM(I76:I77)</f>
        <v>0</v>
      </c>
      <c r="J78" s="684">
        <f>SUM(J76:J77)</f>
        <v>4628.5714285714284</v>
      </c>
      <c r="K78" s="684">
        <f t="shared" ref="K78:L78" si="11">SUM(K76:K77)</f>
        <v>0</v>
      </c>
      <c r="L78" s="684">
        <f t="shared" si="11"/>
        <v>0</v>
      </c>
      <c r="M78" s="684">
        <f>SUM(M76:M77)</f>
        <v>0</v>
      </c>
      <c r="N78" s="684">
        <f>SUM(N76:N77)</f>
        <v>0</v>
      </c>
      <c r="O78" s="787">
        <f>SUM(O76:O77)</f>
        <v>0</v>
      </c>
      <c r="P78" s="685">
        <v>0</v>
      </c>
      <c r="Q78" s="685">
        <f>SUM(Q76:Q77)</f>
        <v>16.041176470588237</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96.428571428571431</v>
      </c>
      <c r="D87" s="705">
        <f>'lokale energieproductie'!C17</f>
        <v>113.44537815126048</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22.915966386554619</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96.428571428571431</v>
      </c>
      <c r="D90" s="683">
        <f t="shared" ref="D90:H90" si="12">SUM(D87:D89)</f>
        <v>113.44537815126048</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22.915966386554619</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120371.05610866426</v>
      </c>
      <c r="C4" s="441">
        <f>huishoudens!C8</f>
        <v>0</v>
      </c>
      <c r="D4" s="441">
        <f>huishoudens!D8</f>
        <v>169175.09498465399</v>
      </c>
      <c r="E4" s="441">
        <f>huishoudens!E8</f>
        <v>8184.0792848679121</v>
      </c>
      <c r="F4" s="441">
        <f>huishoudens!F8</f>
        <v>189700.59047696649</v>
      </c>
      <c r="G4" s="441">
        <f>huishoudens!G8</f>
        <v>0</v>
      </c>
      <c r="H4" s="441">
        <f>huishoudens!H8</f>
        <v>0</v>
      </c>
      <c r="I4" s="441">
        <f>huishoudens!I8</f>
        <v>0</v>
      </c>
      <c r="J4" s="441">
        <f>huishoudens!J8</f>
        <v>974.89393552970944</v>
      </c>
      <c r="K4" s="441">
        <f>huishoudens!K8</f>
        <v>0</v>
      </c>
      <c r="L4" s="441">
        <f>huishoudens!L8</f>
        <v>0</v>
      </c>
      <c r="M4" s="441">
        <f>huishoudens!M8</f>
        <v>0</v>
      </c>
      <c r="N4" s="441">
        <f>huishoudens!N8</f>
        <v>40175.656759824065</v>
      </c>
      <c r="O4" s="441">
        <f>huishoudens!O8</f>
        <v>1394.4933333333333</v>
      </c>
      <c r="P4" s="442">
        <f>huishoudens!P8</f>
        <v>2745.6</v>
      </c>
      <c r="Q4" s="443">
        <f>SUM(B4:P4)</f>
        <v>532721.46488383971</v>
      </c>
    </row>
    <row r="5" spans="1:17">
      <c r="A5" s="440" t="s">
        <v>149</v>
      </c>
      <c r="B5" s="441">
        <f ca="1">tertiair!B16</f>
        <v>165109.57557700001</v>
      </c>
      <c r="C5" s="441">
        <f ca="1">tertiair!C16</f>
        <v>96.428571428571431</v>
      </c>
      <c r="D5" s="441">
        <f ca="1">tertiair!D16</f>
        <v>121516.88042746484</v>
      </c>
      <c r="E5" s="441">
        <f>tertiair!E16</f>
        <v>2125.5642306246773</v>
      </c>
      <c r="F5" s="441">
        <f ca="1">tertiair!F16</f>
        <v>25856.012308212659</v>
      </c>
      <c r="G5" s="441">
        <f>tertiair!G16</f>
        <v>0</v>
      </c>
      <c r="H5" s="441">
        <f>tertiair!H16</f>
        <v>0</v>
      </c>
      <c r="I5" s="441">
        <f>tertiair!I16</f>
        <v>0</v>
      </c>
      <c r="J5" s="441">
        <f>tertiair!J16</f>
        <v>0.17584681319880346</v>
      </c>
      <c r="K5" s="441">
        <f>tertiair!K16</f>
        <v>0</v>
      </c>
      <c r="L5" s="441">
        <f ca="1">tertiair!L16</f>
        <v>0</v>
      </c>
      <c r="M5" s="441">
        <f>tertiair!M16</f>
        <v>0</v>
      </c>
      <c r="N5" s="441">
        <f ca="1">tertiair!N16</f>
        <v>2874.3873630213457</v>
      </c>
      <c r="O5" s="441">
        <f>tertiair!O16</f>
        <v>4.6900000000000004</v>
      </c>
      <c r="P5" s="442">
        <f>tertiair!P16</f>
        <v>133.46666666666667</v>
      </c>
      <c r="Q5" s="440">
        <f t="shared" ref="Q5:Q14" ca="1" si="0">SUM(B5:P5)</f>
        <v>317717.18099123193</v>
      </c>
    </row>
    <row r="6" spans="1:17">
      <c r="A6" s="440" t="s">
        <v>187</v>
      </c>
      <c r="B6" s="441">
        <f>'openbare verlichting'!B8</f>
        <v>4006.2060000000001</v>
      </c>
      <c r="C6" s="441"/>
      <c r="D6" s="441"/>
      <c r="E6" s="441"/>
      <c r="F6" s="441"/>
      <c r="G6" s="441"/>
      <c r="H6" s="441"/>
      <c r="I6" s="441"/>
      <c r="J6" s="441"/>
      <c r="K6" s="441"/>
      <c r="L6" s="441"/>
      <c r="M6" s="441"/>
      <c r="N6" s="441"/>
      <c r="O6" s="441"/>
      <c r="P6" s="442"/>
      <c r="Q6" s="440">
        <f t="shared" si="0"/>
        <v>4006.2060000000001</v>
      </c>
    </row>
    <row r="7" spans="1:17">
      <c r="A7" s="440" t="s">
        <v>105</v>
      </c>
      <c r="B7" s="441">
        <f>landbouw!B8</f>
        <v>381.16590000000002</v>
      </c>
      <c r="C7" s="441">
        <f>landbouw!C8</f>
        <v>0</v>
      </c>
      <c r="D7" s="441">
        <f>landbouw!D8</f>
        <v>278.77663000000001</v>
      </c>
      <c r="E7" s="441">
        <f>landbouw!E8</f>
        <v>12.370086448105821</v>
      </c>
      <c r="F7" s="441">
        <f>landbouw!F8</f>
        <v>1406.1949691781917</v>
      </c>
      <c r="G7" s="441">
        <f>landbouw!G8</f>
        <v>0</v>
      </c>
      <c r="H7" s="441">
        <f>landbouw!H8</f>
        <v>0</v>
      </c>
      <c r="I7" s="441">
        <f>landbouw!I8</f>
        <v>0</v>
      </c>
      <c r="J7" s="441">
        <f>landbouw!J8</f>
        <v>100.24269094987217</v>
      </c>
      <c r="K7" s="441">
        <f>landbouw!K8</f>
        <v>0</v>
      </c>
      <c r="L7" s="441">
        <f>landbouw!L8</f>
        <v>0</v>
      </c>
      <c r="M7" s="441">
        <f>landbouw!M8</f>
        <v>0</v>
      </c>
      <c r="N7" s="441">
        <f>landbouw!N8</f>
        <v>0</v>
      </c>
      <c r="O7" s="441">
        <f>landbouw!O8</f>
        <v>0</v>
      </c>
      <c r="P7" s="442">
        <f>landbouw!P8</f>
        <v>0</v>
      </c>
      <c r="Q7" s="440">
        <f t="shared" si="0"/>
        <v>2178.7502765761697</v>
      </c>
    </row>
    <row r="8" spans="1:17">
      <c r="A8" s="440" t="s">
        <v>596</v>
      </c>
      <c r="B8" s="441">
        <f>industrie!B18</f>
        <v>219371.664639</v>
      </c>
      <c r="C8" s="441">
        <f>industrie!C18</f>
        <v>0</v>
      </c>
      <c r="D8" s="441">
        <f>industrie!D18</f>
        <v>79015.400208822015</v>
      </c>
      <c r="E8" s="441">
        <f>industrie!E18</f>
        <v>7308.7430145201015</v>
      </c>
      <c r="F8" s="441">
        <f>industrie!F18</f>
        <v>80421.05781510823</v>
      </c>
      <c r="G8" s="441">
        <f>industrie!G18</f>
        <v>0</v>
      </c>
      <c r="H8" s="441">
        <f>industrie!H18</f>
        <v>0</v>
      </c>
      <c r="I8" s="441">
        <f>industrie!I18</f>
        <v>0</v>
      </c>
      <c r="J8" s="441">
        <f>industrie!J18</f>
        <v>3.7339020619502632</v>
      </c>
      <c r="K8" s="441">
        <f>industrie!K18</f>
        <v>0</v>
      </c>
      <c r="L8" s="441">
        <f>industrie!L18</f>
        <v>0</v>
      </c>
      <c r="M8" s="441">
        <f>industrie!M18</f>
        <v>0</v>
      </c>
      <c r="N8" s="441">
        <f>industrie!N18</f>
        <v>5309.6024362146673</v>
      </c>
      <c r="O8" s="441">
        <f>industrie!O18</f>
        <v>0</v>
      </c>
      <c r="P8" s="442">
        <f>industrie!P18</f>
        <v>0</v>
      </c>
      <c r="Q8" s="440">
        <f t="shared" si="0"/>
        <v>391430.20201572694</v>
      </c>
    </row>
    <row r="9" spans="1:17" s="446" customFormat="1">
      <c r="A9" s="444" t="s">
        <v>545</v>
      </c>
      <c r="B9" s="445">
        <f>transport!B14</f>
        <v>218.92261954702394</v>
      </c>
      <c r="C9" s="445">
        <f>transport!C14</f>
        <v>0</v>
      </c>
      <c r="D9" s="445">
        <f>transport!D14</f>
        <v>347.42936706749219</v>
      </c>
      <c r="E9" s="445">
        <f>transport!E14</f>
        <v>653.336640168553</v>
      </c>
      <c r="F9" s="445">
        <f>transport!F14</f>
        <v>0</v>
      </c>
      <c r="G9" s="445">
        <f>transport!G14</f>
        <v>287430.38435734052</v>
      </c>
      <c r="H9" s="445">
        <f>transport!H14</f>
        <v>61102.72024807764</v>
      </c>
      <c r="I9" s="445">
        <f>transport!I14</f>
        <v>0</v>
      </c>
      <c r="J9" s="445">
        <f>transport!J14</f>
        <v>0</v>
      </c>
      <c r="K9" s="445">
        <f>transport!K14</f>
        <v>0</v>
      </c>
      <c r="L9" s="445">
        <f>transport!L14</f>
        <v>0</v>
      </c>
      <c r="M9" s="445">
        <f>transport!M14</f>
        <v>18592.127340583309</v>
      </c>
      <c r="N9" s="445">
        <f>transport!N14</f>
        <v>0</v>
      </c>
      <c r="O9" s="445">
        <f>transport!O14</f>
        <v>0</v>
      </c>
      <c r="P9" s="445">
        <f>transport!P14</f>
        <v>0</v>
      </c>
      <c r="Q9" s="444">
        <f>SUM(B9:P9)</f>
        <v>368344.92057278455</v>
      </c>
    </row>
    <row r="10" spans="1:17">
      <c r="A10" s="440" t="s">
        <v>535</v>
      </c>
      <c r="B10" s="441">
        <f>transport!B54</f>
        <v>149.84844438345286</v>
      </c>
      <c r="C10" s="441">
        <f>transport!C54</f>
        <v>0</v>
      </c>
      <c r="D10" s="441">
        <f>transport!D54</f>
        <v>0</v>
      </c>
      <c r="E10" s="441">
        <f>transport!E54</f>
        <v>0</v>
      </c>
      <c r="F10" s="441">
        <f>transport!F54</f>
        <v>0</v>
      </c>
      <c r="G10" s="441">
        <f>transport!G54</f>
        <v>14076.774229983894</v>
      </c>
      <c r="H10" s="441">
        <f>transport!H54</f>
        <v>0</v>
      </c>
      <c r="I10" s="441">
        <f>transport!I54</f>
        <v>0</v>
      </c>
      <c r="J10" s="441">
        <f>transport!J54</f>
        <v>0</v>
      </c>
      <c r="K10" s="441">
        <f>transport!K54</f>
        <v>0</v>
      </c>
      <c r="L10" s="441">
        <f>transport!L54</f>
        <v>0</v>
      </c>
      <c r="M10" s="441">
        <f>transport!M54</f>
        <v>810.63916260773215</v>
      </c>
      <c r="N10" s="441">
        <f>transport!N54</f>
        <v>0</v>
      </c>
      <c r="O10" s="441">
        <f>transport!O54</f>
        <v>0</v>
      </c>
      <c r="P10" s="442">
        <f>transport!P54</f>
        <v>0</v>
      </c>
      <c r="Q10" s="440">
        <f t="shared" si="0"/>
        <v>15037.26183697508</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17294.813200000001</v>
      </c>
      <c r="C14" s="448"/>
      <c r="D14" s="448">
        <f>'SEAP template'!E25</f>
        <v>15252.367237</v>
      </c>
      <c r="E14" s="448"/>
      <c r="F14" s="448"/>
      <c r="G14" s="448"/>
      <c r="H14" s="448"/>
      <c r="I14" s="448"/>
      <c r="J14" s="448"/>
      <c r="K14" s="448"/>
      <c r="L14" s="448"/>
      <c r="M14" s="448"/>
      <c r="N14" s="448"/>
      <c r="O14" s="448"/>
      <c r="P14" s="449"/>
      <c r="Q14" s="440">
        <f t="shared" si="0"/>
        <v>32547.180437000003</v>
      </c>
    </row>
    <row r="15" spans="1:17" s="450" customFormat="1">
      <c r="A15" s="957" t="s">
        <v>539</v>
      </c>
      <c r="B15" s="905">
        <f ca="1">SUM(B4:B14)</f>
        <v>526903.25248859474</v>
      </c>
      <c r="C15" s="905">
        <f t="shared" ref="C15:Q15" ca="1" si="1">SUM(C4:C14)</f>
        <v>96.428571428571431</v>
      </c>
      <c r="D15" s="905">
        <f t="shared" ca="1" si="1"/>
        <v>385585.94885500829</v>
      </c>
      <c r="E15" s="905">
        <f t="shared" si="1"/>
        <v>18284.093256629349</v>
      </c>
      <c r="F15" s="905">
        <f t="shared" ca="1" si="1"/>
        <v>297383.85556946555</v>
      </c>
      <c r="G15" s="905">
        <f t="shared" si="1"/>
        <v>301507.15858732443</v>
      </c>
      <c r="H15" s="905">
        <f t="shared" si="1"/>
        <v>61102.72024807764</v>
      </c>
      <c r="I15" s="905">
        <f t="shared" si="1"/>
        <v>0</v>
      </c>
      <c r="J15" s="905">
        <f t="shared" si="1"/>
        <v>1079.0463753547306</v>
      </c>
      <c r="K15" s="905">
        <f t="shared" si="1"/>
        <v>0</v>
      </c>
      <c r="L15" s="905">
        <f t="shared" ca="1" si="1"/>
        <v>0</v>
      </c>
      <c r="M15" s="905">
        <f t="shared" si="1"/>
        <v>19402.76650319104</v>
      </c>
      <c r="N15" s="905">
        <f t="shared" ca="1" si="1"/>
        <v>48359.646559060086</v>
      </c>
      <c r="O15" s="905">
        <f t="shared" si="1"/>
        <v>1399.1833333333334</v>
      </c>
      <c r="P15" s="905">
        <f t="shared" si="1"/>
        <v>2879.0666666666666</v>
      </c>
      <c r="Q15" s="905">
        <f t="shared" ca="1" si="1"/>
        <v>1663983.1670141343</v>
      </c>
    </row>
    <row r="17" spans="1:17">
      <c r="A17" s="451" t="s">
        <v>540</v>
      </c>
      <c r="B17" s="714">
        <f ca="1">huishoudens!B10</f>
        <v>0.18066478506739689</v>
      </c>
      <c r="C17" s="714">
        <f ca="1">huishoudens!C10</f>
        <v>0.23764705882352938</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21746.8109802074</v>
      </c>
      <c r="C22" s="441">
        <f t="shared" ref="C22:C32" ca="1" si="3">C4*$C$17</f>
        <v>0</v>
      </c>
      <c r="D22" s="441">
        <f t="shared" ref="D22:D32" si="4">D4*$D$17</f>
        <v>34173.369186900105</v>
      </c>
      <c r="E22" s="441">
        <f t="shared" ref="E22:E32" si="5">E4*$E$17</f>
        <v>1857.7859976650161</v>
      </c>
      <c r="F22" s="441">
        <f t="shared" ref="F22:F32" si="6">F4*$F$17</f>
        <v>50650.057657350058</v>
      </c>
      <c r="G22" s="441">
        <f t="shared" ref="G22:G32" si="7">G4*$G$17</f>
        <v>0</v>
      </c>
      <c r="H22" s="441">
        <f t="shared" ref="H22:H32" si="8">H4*$H$17</f>
        <v>0</v>
      </c>
      <c r="I22" s="441">
        <f t="shared" ref="I22:I32" si="9">I4*$I$17</f>
        <v>0</v>
      </c>
      <c r="J22" s="441">
        <f t="shared" ref="J22:J32" si="10">J4*$J$17</f>
        <v>345.11245317751712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108773.13627530009</v>
      </c>
    </row>
    <row r="23" spans="1:17">
      <c r="A23" s="440" t="s">
        <v>149</v>
      </c>
      <c r="B23" s="441">
        <f t="shared" ca="1" si="2"/>
        <v>29829.485984187828</v>
      </c>
      <c r="C23" s="441">
        <f t="shared" ca="1" si="3"/>
        <v>22.915966386554619</v>
      </c>
      <c r="D23" s="441">
        <f t="shared" ca="1" si="4"/>
        <v>24546.409846347899</v>
      </c>
      <c r="E23" s="441">
        <f t="shared" si="5"/>
        <v>482.50308035180177</v>
      </c>
      <c r="F23" s="441">
        <f t="shared" ca="1" si="6"/>
        <v>6903.5552862927807</v>
      </c>
      <c r="G23" s="441">
        <f t="shared" si="7"/>
        <v>0</v>
      </c>
      <c r="H23" s="441">
        <f t="shared" si="8"/>
        <v>0</v>
      </c>
      <c r="I23" s="441">
        <f t="shared" si="9"/>
        <v>0</v>
      </c>
      <c r="J23" s="441">
        <f t="shared" si="10"/>
        <v>6.2249771872376423E-2</v>
      </c>
      <c r="K23" s="441">
        <f t="shared" si="11"/>
        <v>0</v>
      </c>
      <c r="L23" s="441">
        <f t="shared" ca="1" si="12"/>
        <v>0</v>
      </c>
      <c r="M23" s="441">
        <f t="shared" si="13"/>
        <v>0</v>
      </c>
      <c r="N23" s="441">
        <f t="shared" ca="1" si="14"/>
        <v>0</v>
      </c>
      <c r="O23" s="441">
        <f t="shared" si="15"/>
        <v>0</v>
      </c>
      <c r="P23" s="442">
        <f t="shared" si="16"/>
        <v>0</v>
      </c>
      <c r="Q23" s="440">
        <f t="shared" ref="Q23:Q32" ca="1" si="17">SUM(B23:P23)</f>
        <v>61784.932413338734</v>
      </c>
    </row>
    <row r="24" spans="1:17">
      <c r="A24" s="440" t="s">
        <v>187</v>
      </c>
      <c r="B24" s="441">
        <f t="shared" ca="1" si="2"/>
        <v>723.78034592571589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723.78034592571589</v>
      </c>
    </row>
    <row r="25" spans="1:17">
      <c r="A25" s="440" t="s">
        <v>105</v>
      </c>
      <c r="B25" s="441">
        <f t="shared" ca="1" si="2"/>
        <v>68.863255398520906</v>
      </c>
      <c r="C25" s="441">
        <f t="shared" ca="1" si="3"/>
        <v>0</v>
      </c>
      <c r="D25" s="441">
        <f t="shared" si="4"/>
        <v>56.312879260000003</v>
      </c>
      <c r="E25" s="441">
        <f t="shared" si="5"/>
        <v>2.8080096237200216</v>
      </c>
      <c r="F25" s="441">
        <f t="shared" si="6"/>
        <v>375.45405677057721</v>
      </c>
      <c r="G25" s="441">
        <f t="shared" si="7"/>
        <v>0</v>
      </c>
      <c r="H25" s="441">
        <f t="shared" si="8"/>
        <v>0</v>
      </c>
      <c r="I25" s="441">
        <f t="shared" si="9"/>
        <v>0</v>
      </c>
      <c r="J25" s="441">
        <f t="shared" si="10"/>
        <v>35.485912596254749</v>
      </c>
      <c r="K25" s="441">
        <f t="shared" si="11"/>
        <v>0</v>
      </c>
      <c r="L25" s="441">
        <f t="shared" si="12"/>
        <v>0</v>
      </c>
      <c r="M25" s="441">
        <f t="shared" si="13"/>
        <v>0</v>
      </c>
      <c r="N25" s="441">
        <f t="shared" si="14"/>
        <v>0</v>
      </c>
      <c r="O25" s="441">
        <f t="shared" si="15"/>
        <v>0</v>
      </c>
      <c r="P25" s="442">
        <f t="shared" si="16"/>
        <v>0</v>
      </c>
      <c r="Q25" s="440">
        <f t="shared" ca="1" si="17"/>
        <v>538.92411364907286</v>
      </c>
    </row>
    <row r="26" spans="1:17">
      <c r="A26" s="440" t="s">
        <v>596</v>
      </c>
      <c r="B26" s="441">
        <f t="shared" ca="1" si="2"/>
        <v>39632.734641882002</v>
      </c>
      <c r="C26" s="441">
        <f t="shared" ca="1" si="3"/>
        <v>0</v>
      </c>
      <c r="D26" s="441">
        <f t="shared" si="4"/>
        <v>15961.110842182048</v>
      </c>
      <c r="E26" s="441">
        <f t="shared" si="5"/>
        <v>1659.084664296063</v>
      </c>
      <c r="F26" s="441">
        <f t="shared" si="6"/>
        <v>21472.4224366339</v>
      </c>
      <c r="G26" s="441">
        <f t="shared" si="7"/>
        <v>0</v>
      </c>
      <c r="H26" s="441">
        <f t="shared" si="8"/>
        <v>0</v>
      </c>
      <c r="I26" s="441">
        <f t="shared" si="9"/>
        <v>0</v>
      </c>
      <c r="J26" s="441">
        <f t="shared" si="10"/>
        <v>1.321801329930393</v>
      </c>
      <c r="K26" s="441">
        <f t="shared" si="11"/>
        <v>0</v>
      </c>
      <c r="L26" s="441">
        <f t="shared" si="12"/>
        <v>0</v>
      </c>
      <c r="M26" s="441">
        <f t="shared" si="13"/>
        <v>0</v>
      </c>
      <c r="N26" s="441">
        <f t="shared" si="14"/>
        <v>0</v>
      </c>
      <c r="O26" s="441">
        <f t="shared" si="15"/>
        <v>0</v>
      </c>
      <c r="P26" s="442">
        <f t="shared" si="16"/>
        <v>0</v>
      </c>
      <c r="Q26" s="440">
        <f t="shared" ca="1" si="17"/>
        <v>78726.674386323939</v>
      </c>
    </row>
    <row r="27" spans="1:17" s="446" customFormat="1">
      <c r="A27" s="444" t="s">
        <v>545</v>
      </c>
      <c r="B27" s="708">
        <f t="shared" ca="1" si="2"/>
        <v>39.551608006854579</v>
      </c>
      <c r="C27" s="445">
        <f t="shared" ca="1" si="3"/>
        <v>0</v>
      </c>
      <c r="D27" s="445">
        <f t="shared" si="4"/>
        <v>70.180732147633421</v>
      </c>
      <c r="E27" s="445">
        <f t="shared" si="5"/>
        <v>148.30741731826154</v>
      </c>
      <c r="F27" s="445">
        <f t="shared" si="6"/>
        <v>0</v>
      </c>
      <c r="G27" s="445">
        <f t="shared" si="7"/>
        <v>76743.912623409924</v>
      </c>
      <c r="H27" s="445">
        <f t="shared" si="8"/>
        <v>15214.577341771332</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92216.529722654013</v>
      </c>
    </row>
    <row r="28" spans="1:17">
      <c r="A28" s="440" t="s">
        <v>535</v>
      </c>
      <c r="B28" s="441">
        <f t="shared" ca="1" si="2"/>
        <v>27.072336997220287</v>
      </c>
      <c r="C28" s="441">
        <f t="shared" ca="1" si="3"/>
        <v>0</v>
      </c>
      <c r="D28" s="441">
        <f t="shared" si="4"/>
        <v>0</v>
      </c>
      <c r="E28" s="441">
        <f t="shared" si="5"/>
        <v>0</v>
      </c>
      <c r="F28" s="441">
        <f t="shared" si="6"/>
        <v>0</v>
      </c>
      <c r="G28" s="441">
        <f t="shared" si="7"/>
        <v>3758.4987194056998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3785.57105640292</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3124.5637095587786</v>
      </c>
      <c r="C32" s="441">
        <f t="shared" ca="1" si="3"/>
        <v>0</v>
      </c>
      <c r="D32" s="441">
        <f t="shared" si="4"/>
        <v>3080.9781818740003</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6205.5418914327784</v>
      </c>
    </row>
    <row r="33" spans="1:17" s="450" customFormat="1">
      <c r="A33" s="957" t="s">
        <v>539</v>
      </c>
      <c r="B33" s="905">
        <f ca="1">SUM(B22:B32)</f>
        <v>95192.862862164315</v>
      </c>
      <c r="C33" s="905">
        <f t="shared" ref="C33:Q33" ca="1" si="18">SUM(C22:C32)</f>
        <v>22.915966386554619</v>
      </c>
      <c r="D33" s="905">
        <f t="shared" ca="1" si="18"/>
        <v>77888.361668711688</v>
      </c>
      <c r="E33" s="905">
        <f t="shared" si="18"/>
        <v>4150.4891692548617</v>
      </c>
      <c r="F33" s="905">
        <f t="shared" ca="1" si="18"/>
        <v>79401.489437047319</v>
      </c>
      <c r="G33" s="905">
        <f t="shared" si="18"/>
        <v>80502.411342815627</v>
      </c>
      <c r="H33" s="905">
        <f t="shared" si="18"/>
        <v>15214.577341771332</v>
      </c>
      <c r="I33" s="905">
        <f t="shared" si="18"/>
        <v>0</v>
      </c>
      <c r="J33" s="905">
        <f t="shared" si="18"/>
        <v>381.98241687557464</v>
      </c>
      <c r="K33" s="905">
        <f t="shared" si="18"/>
        <v>0</v>
      </c>
      <c r="L33" s="905">
        <f t="shared" ca="1" si="18"/>
        <v>0</v>
      </c>
      <c r="M33" s="905">
        <f t="shared" si="18"/>
        <v>0</v>
      </c>
      <c r="N33" s="905">
        <f t="shared" ca="1" si="18"/>
        <v>0</v>
      </c>
      <c r="O33" s="905">
        <f t="shared" si="18"/>
        <v>0</v>
      </c>
      <c r="P33" s="905">
        <f t="shared" si="18"/>
        <v>0</v>
      </c>
      <c r="Q33" s="905">
        <f t="shared" ca="1" si="18"/>
        <v>352755.09020502726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59166.093102496619</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35385.307867121934</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67.5</v>
      </c>
      <c r="D8" s="974">
        <f>'SEAP template'!D76</f>
        <v>79.411764705882348</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16.041176470588237</v>
      </c>
    </row>
    <row r="9" spans="1:16">
      <c r="A9" s="977" t="s">
        <v>792</v>
      </c>
      <c r="B9" s="974">
        <f>'SEAP template'!B77</f>
        <v>1620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4628.5714285714284</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96171.400969618553</v>
      </c>
      <c r="C10" s="978">
        <f>SUM(C4:C9)</f>
        <v>67.5</v>
      </c>
      <c r="D10" s="978">
        <f t="shared" ref="D10:H10" si="0">SUM(D8:D9)</f>
        <v>79.411764705882348</v>
      </c>
      <c r="E10" s="978">
        <f t="shared" si="0"/>
        <v>0</v>
      </c>
      <c r="F10" s="978">
        <f t="shared" si="0"/>
        <v>0</v>
      </c>
      <c r="G10" s="978">
        <f t="shared" si="0"/>
        <v>0</v>
      </c>
      <c r="H10" s="978">
        <f t="shared" si="0"/>
        <v>0</v>
      </c>
      <c r="I10" s="978">
        <f>SUM(I8:I9)</f>
        <v>0</v>
      </c>
      <c r="J10" s="978">
        <f>SUM(J8:J9)</f>
        <v>4628.5714285714284</v>
      </c>
      <c r="K10" s="978">
        <f t="shared" ref="K10:L10" si="1">SUM(K8:K9)</f>
        <v>0</v>
      </c>
      <c r="L10" s="978">
        <f t="shared" si="1"/>
        <v>0</v>
      </c>
      <c r="M10" s="978">
        <f>SUM(M8:M9)</f>
        <v>0</v>
      </c>
      <c r="N10" s="978">
        <f>SUM(N8:N9)</f>
        <v>0</v>
      </c>
      <c r="O10" s="978">
        <f>SUM(O8:O9)</f>
        <v>0</v>
      </c>
      <c r="P10" s="978">
        <f>SUM(P8:P9)</f>
        <v>16.041176470588237</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0.18066478506739689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96.428571428571431</v>
      </c>
      <c r="D17" s="975">
        <f>'SEAP template'!D87</f>
        <v>113.44537815126048</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22.915966386554619</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96.428571428571431</v>
      </c>
      <c r="D20" s="978">
        <f t="shared" ref="D20:H20" si="2">SUM(D17:D19)</f>
        <v>113.44537815126048</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22.915966386554619</v>
      </c>
    </row>
    <row r="22" spans="1:16">
      <c r="A22" s="451" t="s">
        <v>800</v>
      </c>
      <c r="B22" s="714" t="s">
        <v>794</v>
      </c>
      <c r="C22" s="714">
        <f ca="1">'EF ele_warmte'!B22</f>
        <v>0.23764705882352938</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0.18066478506739689</v>
      </c>
      <c r="C17" s="488">
        <f ca="1">'EF ele_warmte'!B22</f>
        <v>0.23764705882352938</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2022-07-26T10:51:08Z</dcterms:modified>
</cp:coreProperties>
</file>