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DFB7A7B-2D75-4D03-9A10-44F60134841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<sst xmlns="http://schemas.openxmlformats.org/spreadsheetml/2006/main" count="2407" uniqueCount="883">
  <si>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</si>
  <si>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</si>
  <si>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</si>
  <si>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</si>
  <si>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</si>
  <si>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</si>
  <si>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</si>
  <si>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</si>
  <si>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</si>
  <si>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</si>
  <si>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</si>
  <si>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</si>
  <si>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</si>
  <si>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</si>
  <si>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</si>
  <si>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</si>
  <si>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</si>
  <si>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</si>
  <si>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</si>
  <si>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</si>
  <si>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</si>
  <si>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</si>
  <si>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</si>
  <si>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</si>
  <si>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</si>
  <si>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</si>
  <si>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</si>
  <si>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</si>
  <si>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</si>
  <si>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</si>
  <si>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</si>
  <si>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</si>
  <si>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</si>
  <si>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</si>
  <si>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</si>
  <si>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</si>
  <si>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</si>
  <si>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</si>
  <si>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</si>
  <si>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</si>
  <si>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</si>
  <si>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</si>
  <si>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</si>
  <si>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</si>
  <si>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</si>
  <si>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</si>
  <si>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</si>
  <si>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</si>
  <si>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</si>
  <si>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</si>
  <si>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</si>
  <si>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</si>
  <si>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</si>
  <si>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</si>
  <si>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</si>
  <si>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</si>
  <si>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</si>
  <si>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</si>
  <si>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</si>
  <si>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</si>
  <si>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</si>
  <si>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</si>
  <si>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</si>
  <si>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</si>
  <si>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</si>
  <si>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</si>
  <si>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</si>
  <si>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</si>
  <si>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</si>
  <si>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</si>
  <si>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</si>
  <si>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</si>
  <si>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</si>
  <si>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</si>
  <si>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</si>
  <si>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</si>
  <si>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</si>
  <si>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</si>
  <si>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</si>
  <si>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</si>
  <si>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</si>
  <si>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</si>
  <si>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</si>
  <si>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</si>
  <si>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</si>
  <si>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</si>
  <si>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</si>
  <si>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</si>
  <si>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</si>
  <si>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</si>
  <si>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</si>
  <si>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</si>
  <si>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</si>
  <si>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</si>
  <si>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</si>
  <si>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</si>
  <si>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</si>
  <si>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</si>
  <si>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</si>
  <si>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</si>
  <si>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</si>
  <si>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</si>
  <si>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</si>
  <si>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</si>
  <si>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</si>
  <si>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</si>
  <si>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</si>
  <si>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</si>
  <si>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</si>
  <si>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</si>
  <si>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</si>
  <si>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</si>
  <si>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</si>
  <si>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</si>
  <si>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</si>
  <si>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</si>
  <si>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</si>
  <si>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</si>
  <si>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</si>
  <si>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</si>
  <si>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</si>
  <si>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</si>
  <si>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</si>
  <si>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</si>
  <si>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</si>
  <si>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</si>
  <si>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</si>
  <si>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</si>
  <si>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</si>
  <si>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</si>
  <si>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</si>
  <si>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</si>
  <si>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</si>
  <si>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</si>
  <si>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</si>
  <si>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</si>
  <si>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</si>
  <si>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</si>
  <si>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</si>
  <si>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</si>
  <si>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</si>
  <si>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</si>
  <si>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</si>
  <si>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</si>
  <si>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</si>
  <si>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</si>
  <si>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</si>
  <si>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</si>
  <si>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</si>
  <si>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</si>
  <si>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</si>
  <si>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</si>
  <si>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</si>
  <si>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</si>
  <si>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</si>
  <si>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</si>
  <si>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</si>
  <si>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</si>
  <si>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</si>
  <si>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</si>
  <si>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</si>
  <si>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</si>
  <si>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</si>
  <si>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</si>
  <si>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</si>
  <si>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</si>
  <si>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</si>
  <si>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</si>
  <si>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</si>
  <si>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</si>
  <si>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</si>
  <si>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</si>
  <si>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</si>
  <si>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</si>
  <si>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</si>
  <si>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</si>
  <si>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</si>
  <si>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</si>
  <si>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</si>
  <si>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</si>
  <si>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</si>
  <si>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</si>
  <si>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</si>
  <si>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</si>
  <si>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</si>
  <si>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</si>
  <si>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</si>
  <si>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</si>
  <si>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</si>
  <si>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</si>
  <si>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</si>
  <si>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</si>
  <si>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</si>
  <si>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</si>
  <si>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</si>
  <si>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</si>
  <si>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</si>
  <si>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</si>
  <si>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</si>
  <si>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</si>
  <si>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</si>
  <si>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</si>
  <si>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</si>
  <si>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</si>
  <si>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</si>
  <si>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</si>
  <si>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</si>
  <si>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</si>
  <si>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</si>
  <si>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</si>
  <si>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</si>
  <si>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</si>
  <si>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</si>
  <si>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</si>
  <si>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</si>
  <si>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</si>
  <si>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</si>
  <si>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</si>
  <si>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</si>
  <si>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</si>
  <si>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</si>
  <si>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</si>
  <si>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</si>
  <si>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</si>
  <si>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</si>
  <si>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</si>
  <si>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</si>
  <si>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</si>
  <si>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</si>
  <si>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</si>
  <si>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</si>
  <si>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</si>
  <si>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</si>
  <si>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</si>
  <si>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</si>
  <si>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</si>
  <si>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</si>
  <si>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</si>
  <si>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</si>
  <si>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</si>
  <si>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</si>
  <si>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</si>
  <si>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</si>
  <si>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</si>
  <si>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</si>
  <si>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</si>
  <si>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</si>
  <si>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</si>
  <si>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</si>
  <si>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</si>
  <si>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</si>
  <si>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</si>
  <si>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</si>
  <si>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</si>
  <si>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</si>
  <si>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</si>
  <si>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</si>
  <si>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</si>
  <si>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</si>
  <si>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</si>
  <si>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</si>
  <si>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</si>
  <si>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</si>
  <si>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</si>
  <si>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</si>
  <si>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</si>
  <si>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</si>
  <si>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</si>
  <si>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</si>
  <si>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</si>
  <si>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</si>
  <si>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</si>
  <si>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</si>
  <si>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</si>
  <si>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</si>
  <si>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</si>
  <si>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</si>
  <si>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</si>
  <si>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</si>
  <si>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</si>
  <si>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</si>
  <si>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</si>
  <si>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</si>
  <si>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</si>
  <si>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</si>
  <si>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</si>
  <si>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</si>
  <si>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</si>
  <si>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</si>
  <si>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</si>
  <si>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</si>
  <si>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</si>
  <si>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</si>
  <si>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</si>
  <si>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</si>
  <si>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</si>
  <si>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</si>
  <si>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</si>
  <si>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</si>
  <si>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</si>
  <si>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</si>
  <si>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</si>
  <si>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</si>
  <si>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</si>
  <si>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</si>
  <si>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</si>
  <si>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</si>
  <si>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</si>
  <si>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</si>
  <si>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</si>
  <si>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</si>
  <si>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</si>
  <si>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</si>
  <si>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</si>
  <si>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</si>
  <si>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</si>
  <si>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</si>
  <si>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</si>
  <si>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</si>
  <si>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</si>
  <si>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</si>
  <si>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</si>
  <si>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</si>
  <si>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</si>
  <si>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</si>
  <si>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</si>
  <si>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</si>
  <si>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</si>
  <si>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</si>
  <si>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</si>
  <si>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</si>
  <si>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</si>
  <si>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</si>
  <si>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</si>
  <si>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</si>
  <si>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</si>
  <si>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</si>
  <si>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</si>
  <si>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</si>
  <si>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</si>
  <si>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</si>
  <si>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</si>
  <si>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</si>
  <si>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</si>
  <si>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</si>
  <si>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</si>
  <si>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</si>
  <si>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</si>
  <si>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</si>
  <si>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</si>
  <si>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</si>
  <si>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</si>
  <si>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</si>
  <si>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</si>
  <si>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</si>
  <si>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</si>
  <si>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</si>
  <si>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</si>
  <si>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</si>
  <si>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</si>
  <si>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</si>
  <si>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</si>
  <si>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</si>
  <si>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</si>
  <si>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</si>
  <si>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</si>
  <si>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</si>
  <si>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</si>
  <si>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</si>
  <si>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</si>
  <si>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</si>
  <si>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</si>
  <si>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</si>
  <si>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</si>
  <si>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</si>
  <si>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</si>
  <si>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</si>
  <si>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</si>
  <si>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</si>
  <si>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</si>
  <si>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</si>
  <si>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</si>
  <si>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</si>
  <si>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</si>
  <si>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</si>
  <si>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</si>
  <si>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</si>
  <si>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</si>
  <si>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</si>
  <si>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</si>
  <si>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</si>
  <si>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</si>
  <si>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</si>
  <si>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</si>
  <si>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</si>
  <si>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</si>
  <si>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</si>
  <si>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</si>
  <si>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</si>
  <si>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</si>
  <si>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</si>
  <si>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</si>
  <si>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</si>
  <si>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</si>
  <si>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</si>
  <si>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</si>
  <si>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</si>
  <si>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</si>
  <si>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</si>
  <si>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</si>
  <si>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</si>
  <si>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</si>
  <si>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</si>
  <si>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</si>
  <si>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</si>
  <si>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</si>
  <si>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</si>
  <si>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</si>
  <si>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</si>
  <si>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</si>
  <si>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</si>
  <si>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</si>
  <si>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</si>
  <si>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</si>
  <si>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</si>
  <si>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</si>
  <si>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</si>
  <si>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</si>
  <si>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</si>
  <si>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</si>
  <si>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</si>
  <si>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</si>
  <si>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</si>
  <si>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</si>
  <si>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</si>
  <si>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</si>
  <si>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</si>
  <si>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</si>
  <si>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</si>
  <si>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</si>
  <si>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</si>
  <si>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</si>
  <si>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</si>
  <si>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</si>
  <si>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</si>
  <si>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</si>
  <si>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</si>
  <si>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</si>
  <si>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</si>
  <si>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</si>
  <si>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</si>
  <si>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</si>
  <si>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</si>
  <si>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</si>
  <si>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</si>
  <si>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</si>
  <si>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</si>
  <si>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</si>
  <si>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</si>
  <si>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</si>
  <si>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</si>
  <si>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</si>
  <si>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</si>
  <si>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</si>
  <si>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</si>
  <si>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</si>
  <si>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</si>
  <si>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</si>
  <si>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</si>
  <si>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</si>
  <si>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</si>
  <si>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</si>
  <si>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</si>
  <si>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</si>
  <si>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</si>
  <si>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</si>
  <si>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</si>
  <si>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</si>
  <si>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</si>
  <si>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</si>
  <si>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</si>
  <si>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</si>
  <si>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</si>
  <si>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</si>
  <si>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</si>
  <si>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</si>
  <si>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</si>
  <si>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</si>
  <si>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</si>
  <si>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</si>
  <si>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</si>
  <si>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</si>
  <si>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</si>
  <si>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</si>
  <si>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</si>
  <si>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</si>
  <si>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</si>
  <si>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</si>
  <si>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</si>
  <si>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</si>
  <si>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</si>
  <si>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</si>
  <si>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</si>
  <si>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</si>
  <si>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</si>
  <si>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</si>
  <si>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</si>
  <si>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</si>
  <si>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</si>
  <si>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</si>
  <si>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</si>
  <si>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</si>
  <si>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</si>
  <si>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</si>
  <si>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</si>
  <si>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</si>
  <si>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</si>
  <si>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</si>
  <si>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</si>
  <si>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</si>
  <si>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</si>
  <si>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</si>
  <si>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</si>
  <si>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</si>
  <si>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</si>
  <si>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</si>
  <si>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</si>
  <si>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</si>
  <si>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</si>
  <si>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</si>
  <si>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</si>
  <si>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</si>
  <si>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</si>
  <si>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</si>
  <si>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</si>
  <si>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</si>
  <si>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</si>
  <si>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</si>
  <si>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</si>
  <si>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</si>
  <si>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</si>
  <si>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</si>
  <si>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</si>
  <si>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</si>
  <si>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</si>
  <si>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</si>
  <si>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</si>
  <si>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</si>
  <si>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</si>
  <si>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</si>
  <si>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</si>
  <si>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</si>
  <si>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</si>
  <si>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</si>
  <si>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</si>
  <si>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</si>
  <si>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</si>
  <si>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</si>
  <si>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</si>
  <si>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</si>
  <si>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</si>
  <si>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</si>
  <si>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</si>
  <si>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</si>
  <si>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</si>
  <si>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</si>
  <si>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</si>
  <si>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</si>
  <si>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</si>
  <si>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</si>
  <si>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</si>
  <si>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</si>
  <si>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</si>
  <si>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</si>
  <si>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</si>
  <si>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</si>
  <si>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</si>
  <si>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</si>
  <si>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</si>
  <si>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</si>
  <si>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</si>
  <si>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</si>
  <si>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</si>
  <si>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</si>
  <si>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</si>
  <si>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</si>
  <si>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</si>
  <si>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</si>
  <si>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</si>
  <si>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</si>
  <si>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</si>
  <si>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</si>
  <si>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</si>
  <si>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</si>
  <si>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</si>
  <si>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</si>
  <si>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</si>
  <si>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</si>
  <si>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</si>
  <si>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</si>
  <si>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</si>
  <si>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</si>
  <si>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</si>
  <si>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</si>
  <si>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</si>
  <si>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</si>
  <si>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</si>
  <si>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</si>
  <si>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</si>
  <si>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</si>
  <si>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</si>
  <si>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</si>
  <si>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</si>
  <si>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</si>
  <si>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</si>
  <si>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</si>
  <si>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</si>
  <si>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</si>
  <si>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</si>
  <si>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</si>
  <si>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</si>
  <si>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</si>
  <si>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</si>
  <si>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</si>
  <si>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</si>
  <si>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</si>
  <si>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</si>
  <si>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</si>
  <si>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</si>
  <si>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</si>
  <si>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</si>
  <si>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</si>
  <si>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</si>
  <si>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</si>
  <si>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</si>
  <si>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</si>
  <si>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</si>
  <si>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</si>
  <si>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</si>
  <si>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</si>
  <si>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</si>
  <si>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</si>
  <si>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</si>
  <si>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</si>
  <si>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</si>
  <si>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</si>
  <si>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</si>
  <si>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</si>
  <si>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</si>
  <si>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</si>
  <si>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</si>
  <si>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</si>
  <si>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</si>
  <si>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</si>
  <si>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</si>
  <si>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</si>
  <si>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</si>
  <si>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</si>
  <si>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</si>
  <si>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</si>
  <si>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</si>
  <si>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</si>
  <si>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</si>
  <si>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</si>
  <si>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</si>
  <si>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</si>
  <si>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</si>
  <si>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</si>
  <si>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</si>
  <si>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</si>
  <si>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</si>
  <si>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</si>
  <si>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</si>
  <si>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</si>
  <si>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</si>
  <si>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</si>
  <si>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</si>
  <si>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</si>
  <si>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</si>
  <si>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</si>
  <si>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</si>
  <si>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</si>
  <si>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</si>
  <si>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</si>
  <si>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</si>
  <si>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</si>
  <si>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</si>
  <si>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</si>
  <si>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</si>
  <si>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</si>
  <si>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</si>
  <si>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</si>
  <si>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</si>
  <si>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</si>
  <si>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</si>
  <si>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</si>
  <si>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</si>
  <si>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</si>
  <si>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</si>
  <si>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</si>
  <si>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</si>
  <si>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</si>
  <si>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</si>
  <si>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</si>
  <si>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</si>
  <si>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</si>
  <si>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</si>
  <si>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</si>
  <si>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</si>
  <si>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</si>
  <si>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</si>
  <si>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</si>
  <si>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</si>
  <si>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</si>
  <si>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</si>
  <si>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</si>
  <si>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</si>
  <si>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</si>
  <si>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</si>
  <si>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</si>
  <si>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</si>
  <si>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</si>
  <si>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</si>
  <si>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</si>
  <si>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</si>
  <si>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</si>
  <si>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</si>
  <si>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</si>
  <si>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</si>
  <si>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</si>
  <si>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</si>
  <si>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</si>
  <si>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</si>
  <si>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</si>
  <si>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</si>
  <si>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</si>
  <si>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</si>
  <si>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</si>
  <si>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</si>
  <si>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</si>
  <si>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</si>
  <si>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</si>
  <si>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</si>
  <si>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</si>
  <si>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</si>
  <si>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</si>
  <si>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</si>
  <si>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</si>
  <si>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</si>
  <si>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</si>
  <si>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</si>
  <si>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</si>
  <si>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</si>
  <si>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</si>
  <si>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</si>
  <si>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</si>
  <si>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</si>
  <si>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</si>
  <si>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</si>
  <si>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</si>
  <si>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</si>
  <si>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</si>
  <si>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</si>
  <si>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</si>
  <si>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</si>
  <si>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</si>
  <si>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</si>
  <si>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</si>
  <si>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</si>
  <si>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</si>
  <si>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</si>
  <si>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</si>
  <si>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</si>
  <si>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</si>
  <si>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</si>
  <si>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</si>
  <si>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</si>
  <si>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</si>
  <si>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</si>
  <si>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</si>
  <si>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</si>
  <si>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</si>
  <si>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</si>
  <si>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</si>
  <si>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</si>
  <si>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</si>
  <si>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</si>
  <si>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</si>
  <si>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</si>
  <si>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</si>
  <si>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</si>
  <si>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</si>
  <si>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</si>
  <si>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</si>
  <si>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</si>
  <si>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</si>
  <si>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</si>
  <si>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</si>
  <si>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</si>
  <si>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</si>
  <si>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</si>
  <si>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</si>
  <si>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</si>
  <si>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</si>
  <si>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</si>
  <si>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</si>
  <si>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</si>
  <si>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</si>
  <si>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</si>
  <si>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</si>
  <si>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</si>
  <si>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</si>
  <si>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</si>
  <si>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</si>
  <si>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</si>
  <si>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</si>
  <si>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</si>
  <si>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</si>
  <si>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</si>
  <si>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</si>
  <si>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</si>
  <si>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</si>
  <si>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</si>
  <si>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</si>
  <si>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</si>
  <si>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</si>
  <si>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</si>
  <si>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</si>
  <si>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</si>
  <si>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</si>
  <si>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</si>
  <si>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</si>
  <si>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</si>
  <si>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</si>
  <si>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</si>
  <si>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</si>
  <si>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</si>
  <si>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</si>
  <si>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</si>
  <si>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</si>
  <si>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</si>
  <si>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</si>
  <si>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</si>
  <si>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</si>
  <si>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</si>
  <si>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</si>
  <si>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</si>
  <si>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</si>
  <si>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</si>
  <si>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</si>
  <si>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</si>
  <si>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</si>
  <si>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</si>
  <si>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</si>
  <si>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</si>
  <si>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</si>
  <si>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</si>
  <si>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</si>
  <si>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</si>
  <si>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</si>
  <si>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</si>
  <si>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</si>
  <si>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</si>
  <si>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</si>
  <si>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</si>
  <si>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</si>
  <si>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</si>
  <si>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</si>
  <si>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</si>
  <si>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</si>
  <si>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</si>
  <si>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</si>
  <si>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</si>
  <si>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</si>
  <si>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</si>
  <si>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46013</t>
  </si>
  <si>
    <t>KRUIBEKE</t>
  </si>
  <si>
    <t>vloeibaar gas (MWh)</t>
  </si>
  <si>
    <t>interne verbrandingsmotor</t>
  </si>
  <si>
    <t>WKK interne verbrandinsgmotor (vloeibaar)</t>
  </si>
  <si>
    <t>eilandwerking</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</si>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</sst>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68E639E-9460-45CD-A4EB-F0BB7C14D8C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138982.1863569064</c:v>
                </c:pt>
                <c:pt idx="1">
                  <c:v>33433.274675871318</c:v>
                </c:pt>
                <c:pt idx="2">
                  <c:v>1146.2940000000001</c:v>
                </c:pt>
                <c:pt idx="3">
                  <c:v>12781.600951627846</c:v>
                </c:pt>
                <c:pt idx="4">
                  <c:v>16468.688321791669</c:v>
                </c:pt>
                <c:pt idx="5">
                  <c:v>166888.92325974177</c:v>
                </c:pt>
                <c:pt idx="6">
                  <c:v>1447.0171022240825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138982.1863569064</c:v>
                </c:pt>
                <c:pt idx="1">
                  <c:v>33433.274675871318</c:v>
                </c:pt>
                <c:pt idx="2">
                  <c:v>1146.2940000000001</c:v>
                </c:pt>
                <c:pt idx="3">
                  <c:v>12781.600951627846</c:v>
                </c:pt>
                <c:pt idx="4">
                  <c:v>16468.688321791669</c:v>
                </c:pt>
                <c:pt idx="5">
                  <c:v>166888.92325974177</c:v>
                </c:pt>
                <c:pt idx="6">
                  <c:v>1447.0171022240825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25682.948763927121</c:v>
                </c:pt>
                <c:pt idx="2">
                  <c:v>5885.207727046718</c:v>
                </c:pt>
                <c:pt idx="3">
                  <c:v>157.39802022128873</c:v>
                </c:pt>
                <c:pt idx="4">
                  <c:v>2639.572994847772</c:v>
                </c:pt>
                <c:pt idx="5">
                  <c:v>2958.6995578877118</c:v>
                </c:pt>
                <c:pt idx="6">
                  <c:v>41845.839516054955</c:v>
                </c:pt>
                <c:pt idx="7">
                  <c:v>363.65565979379886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25682.948763927121</c:v>
                </c:pt>
                <c:pt idx="2">
                  <c:v>5885.207727046718</c:v>
                </c:pt>
                <c:pt idx="3">
                  <c:v>157.39802022128873</c:v>
                </c:pt>
                <c:pt idx="4">
                  <c:v>2639.572994847772</c:v>
                </c:pt>
                <c:pt idx="5">
                  <c:v>2958.6995578877118</c:v>
                </c:pt>
                <c:pt idx="6">
                  <c:v>41845.839516054955</c:v>
                </c:pt>
                <c:pt idx="7">
                  <c:v>363.65565979379886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46013</v>
      </c>
      <c r="B6" s="380"/>
      <c r="C6" s="381"/>
    </row>
    <row r="7" spans="1:7" s="378" customFormat="1" ht="15.75" customHeight="1">
      <c r="A7" s="382" t="str">
        <f>txtMunicipality</f>
        <v>KRUIBEKE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0.13731034117014371</v>
      </c>
      <c r="C17" s="488">
        <f ca="1">'EF ele_warmte'!B22</f>
        <v>0.11553351573187415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0.13731034117014371</v>
      </c>
      <c r="C29" s="489">
        <f ca="1">'EF ele_warmte'!B22</f>
        <v>0.11553351573187415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6737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1684.68</v>
      </c>
      <c r="C14" s="322"/>
      <c r="D14" s="322"/>
      <c r="E14" s="322"/>
      <c r="F14" s="322"/>
    </row>
    <row r="15" spans="1:6">
      <c r="A15" s="1248" t="s">
        <v>177</v>
      </c>
      <c r="B15" s="1249">
        <v>29</v>
      </c>
      <c r="C15" s="322"/>
      <c r="D15" s="322"/>
      <c r="E15" s="322"/>
      <c r="F15" s="322"/>
    </row>
    <row r="16" spans="1:6">
      <c r="A16" s="1248" t="s">
        <v>6</v>
      </c>
      <c r="B16" s="1249">
        <v>1221</v>
      </c>
      <c r="C16" s="322"/>
      <c r="D16" s="322"/>
      <c r="E16" s="322"/>
      <c r="F16" s="322"/>
    </row>
    <row r="17" spans="1:6">
      <c r="A17" s="1248" t="s">
        <v>7</v>
      </c>
      <c r="B17" s="1249">
        <v>447</v>
      </c>
      <c r="C17" s="322"/>
      <c r="D17" s="322"/>
      <c r="E17" s="322"/>
      <c r="F17" s="322"/>
    </row>
    <row r="18" spans="1:6">
      <c r="A18" s="1248" t="s">
        <v>8</v>
      </c>
      <c r="B18" s="1249">
        <v>938</v>
      </c>
      <c r="C18" s="322"/>
      <c r="D18" s="322"/>
      <c r="E18" s="322"/>
      <c r="F18" s="322"/>
    </row>
    <row r="19" spans="1:6">
      <c r="A19" s="1248" t="s">
        <v>9</v>
      </c>
      <c r="B19" s="1249">
        <v>798</v>
      </c>
      <c r="C19" s="322"/>
      <c r="D19" s="322"/>
      <c r="E19" s="322"/>
      <c r="F19" s="322"/>
    </row>
    <row r="20" spans="1:6">
      <c r="A20" s="1248" t="s">
        <v>10</v>
      </c>
      <c r="B20" s="1249">
        <v>520</v>
      </c>
      <c r="C20" s="322"/>
      <c r="D20" s="322"/>
      <c r="E20" s="322"/>
      <c r="F20" s="322"/>
    </row>
    <row r="21" spans="1:6">
      <c r="A21" s="1248" t="s">
        <v>11</v>
      </c>
      <c r="B21" s="1249">
        <v>5923</v>
      </c>
      <c r="C21" s="322"/>
      <c r="D21" s="322"/>
      <c r="E21" s="322"/>
      <c r="F21" s="322"/>
    </row>
    <row r="22" spans="1:6">
      <c r="A22" s="1248" t="s">
        <v>12</v>
      </c>
      <c r="B22" s="1249">
        <v>22294</v>
      </c>
      <c r="C22" s="322"/>
      <c r="D22" s="322"/>
      <c r="E22" s="322"/>
      <c r="F22" s="322"/>
    </row>
    <row r="23" spans="1:6">
      <c r="A23" s="1248" t="s">
        <v>13</v>
      </c>
      <c r="B23" s="1249">
        <v>380</v>
      </c>
      <c r="C23" s="322"/>
      <c r="D23" s="322"/>
      <c r="E23" s="322"/>
      <c r="F23" s="322"/>
    </row>
    <row r="24" spans="1:6">
      <c r="A24" s="1248" t="s">
        <v>14</v>
      </c>
      <c r="B24" s="1249">
        <v>29</v>
      </c>
      <c r="C24" s="322"/>
      <c r="D24" s="322"/>
      <c r="E24" s="322"/>
      <c r="F24" s="322"/>
    </row>
    <row r="25" spans="1:6">
      <c r="A25" s="1248" t="s">
        <v>15</v>
      </c>
      <c r="B25" s="1249">
        <v>1429</v>
      </c>
      <c r="C25" s="322"/>
      <c r="D25" s="322"/>
      <c r="E25" s="322"/>
      <c r="F25" s="322"/>
    </row>
    <row r="26" spans="1:6">
      <c r="A26" s="1248" t="s">
        <v>16</v>
      </c>
      <c r="B26" s="1249">
        <v>68</v>
      </c>
      <c r="C26" s="322"/>
      <c r="D26" s="322"/>
      <c r="E26" s="322"/>
      <c r="F26" s="322"/>
    </row>
    <row r="27" spans="1:6">
      <c r="A27" s="1248" t="s">
        <v>17</v>
      </c>
      <c r="B27" s="1249">
        <v>255</v>
      </c>
      <c r="C27" s="322"/>
      <c r="D27" s="322"/>
      <c r="E27" s="322"/>
      <c r="F27" s="322"/>
    </row>
    <row r="28" spans="1:6">
      <c r="A28" s="1248" t="s">
        <v>18</v>
      </c>
      <c r="B28" s="1250">
        <v>2985</v>
      </c>
      <c r="C28" s="322"/>
      <c r="D28" s="322"/>
      <c r="E28" s="322"/>
      <c r="F28" s="322"/>
    </row>
    <row r="29" spans="1:6">
      <c r="A29" s="1248" t="s">
        <v>691</v>
      </c>
      <c r="B29" s="1250">
        <v>76</v>
      </c>
      <c r="C29" s="322"/>
      <c r="D29" s="322"/>
      <c r="E29" s="322"/>
      <c r="F29" s="322"/>
    </row>
    <row r="30" spans="1:6">
      <c r="A30" s="1243" t="s">
        <v>692</v>
      </c>
      <c r="B30" s="1251">
        <v>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11077.880677695999</v>
      </c>
    </row>
    <row r="39" spans="1:6">
      <c r="A39" s="1248" t="s">
        <v>29</v>
      </c>
      <c r="B39" s="1248" t="s">
        <v>30</v>
      </c>
      <c r="C39" s="1249">
        <v>5392</v>
      </c>
      <c r="D39" s="1249">
        <v>85202348.413758203</v>
      </c>
      <c r="E39" s="1249">
        <v>6706</v>
      </c>
      <c r="F39" s="1249">
        <v>25971490.112783998</v>
      </c>
    </row>
    <row r="40" spans="1:6">
      <c r="A40" s="1248" t="s">
        <v>29</v>
      </c>
      <c r="B40" s="1248" t="s">
        <v>28</v>
      </c>
      <c r="C40" s="1249">
        <v>1</v>
      </c>
      <c r="D40" s="1249">
        <v>26829.3271875672</v>
      </c>
      <c r="E40" s="1249">
        <v>1</v>
      </c>
      <c r="F40" s="1249">
        <v>7129.060562832</v>
      </c>
    </row>
    <row r="41" spans="1:6">
      <c r="A41" s="1248" t="s">
        <v>31</v>
      </c>
      <c r="B41" s="1248" t="s">
        <v>32</v>
      </c>
      <c r="C41" s="1249">
        <v>51</v>
      </c>
      <c r="D41" s="1249">
        <v>1816453.42375628</v>
      </c>
      <c r="E41" s="1249">
        <v>89</v>
      </c>
      <c r="F41" s="1249">
        <v>1171164.60463279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18</v>
      </c>
      <c r="F44" s="1249">
        <v>393823.85211468698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55630.337091524198</v>
      </c>
      <c r="E47" s="1249">
        <v>3</v>
      </c>
      <c r="F47" s="1249">
        <v>22677.406240843098</v>
      </c>
    </row>
    <row r="48" spans="1:6">
      <c r="A48" s="1248" t="s">
        <v>31</v>
      </c>
      <c r="B48" s="1248" t="s">
        <v>28</v>
      </c>
      <c r="C48" s="1249">
        <v>34</v>
      </c>
      <c r="D48" s="1249">
        <v>4448695.8734331802</v>
      </c>
      <c r="E48" s="1249">
        <v>45</v>
      </c>
      <c r="F48" s="1249">
        <v>4596708.5297553996</v>
      </c>
    </row>
    <row r="49" spans="1:6">
      <c r="A49" s="1248" t="s">
        <v>31</v>
      </c>
      <c r="B49" s="1248" t="s">
        <v>39</v>
      </c>
      <c r="C49" s="1249">
        <v>0</v>
      </c>
      <c r="D49" s="1249">
        <v>0</v>
      </c>
      <c r="E49" s="1249">
        <v>0</v>
      </c>
      <c r="F49" s="1249">
        <v>0</v>
      </c>
    </row>
    <row r="50" spans="1:6">
      <c r="A50" s="1248" t="s">
        <v>31</v>
      </c>
      <c r="B50" s="1248" t="s">
        <v>40</v>
      </c>
      <c r="C50" s="1249">
        <v>11</v>
      </c>
      <c r="D50" s="1249">
        <v>1941260.8052546</v>
      </c>
      <c r="E50" s="1249">
        <v>13</v>
      </c>
      <c r="F50" s="1249">
        <v>696704.61364051502</v>
      </c>
    </row>
    <row r="51" spans="1:6">
      <c r="A51" s="1248" t="s">
        <v>41</v>
      </c>
      <c r="B51" s="1248" t="s">
        <v>42</v>
      </c>
      <c r="C51" s="1249">
        <v>20</v>
      </c>
      <c r="D51" s="1249">
        <v>417312.50690706499</v>
      </c>
      <c r="E51" s="1249">
        <v>93</v>
      </c>
      <c r="F51" s="1249">
        <v>2030181.8652132701</v>
      </c>
    </row>
    <row r="52" spans="1:6">
      <c r="A52" s="1248" t="s">
        <v>41</v>
      </c>
      <c r="B52" s="1248" t="s">
        <v>28</v>
      </c>
      <c r="C52" s="1249">
        <v>1</v>
      </c>
      <c r="D52" s="1249">
        <v>9720.4008785047008</v>
      </c>
      <c r="E52" s="1249">
        <v>6</v>
      </c>
      <c r="F52" s="1249">
        <v>115130.012303172</v>
      </c>
    </row>
    <row r="53" spans="1:6">
      <c r="A53" s="1248" t="s">
        <v>43</v>
      </c>
      <c r="B53" s="1248" t="s">
        <v>44</v>
      </c>
      <c r="C53" s="1249">
        <v>105</v>
      </c>
      <c r="D53" s="1249">
        <v>2168154.8954820698</v>
      </c>
      <c r="E53" s="1249">
        <v>218</v>
      </c>
      <c r="F53" s="1249">
        <v>1582176.70145569</v>
      </c>
    </row>
    <row r="54" spans="1:6">
      <c r="A54" s="1248" t="s">
        <v>45</v>
      </c>
      <c r="B54" s="1248" t="s">
        <v>46</v>
      </c>
      <c r="C54" s="1249">
        <v>0</v>
      </c>
      <c r="D54" s="1249">
        <v>0</v>
      </c>
      <c r="E54" s="1249">
        <v>1</v>
      </c>
      <c r="F54" s="1249">
        <v>1146294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33</v>
      </c>
      <c r="D57" s="1249">
        <v>1133169.4282922</v>
      </c>
      <c r="E57" s="1249">
        <v>62</v>
      </c>
      <c r="F57" s="1249">
        <v>1387999.03220676</v>
      </c>
    </row>
    <row r="58" spans="1:6">
      <c r="A58" s="1248" t="s">
        <v>48</v>
      </c>
      <c r="B58" s="1248" t="s">
        <v>50</v>
      </c>
      <c r="C58" s="1249">
        <v>18</v>
      </c>
      <c r="D58" s="1249">
        <v>423080.857668938</v>
      </c>
      <c r="E58" s="1249">
        <v>27</v>
      </c>
      <c r="F58" s="1249">
        <v>229203.793980027</v>
      </c>
    </row>
    <row r="59" spans="1:6">
      <c r="A59" s="1248" t="s">
        <v>48</v>
      </c>
      <c r="B59" s="1248" t="s">
        <v>51</v>
      </c>
      <c r="C59" s="1249">
        <v>72</v>
      </c>
      <c r="D59" s="1249">
        <v>2604589.5321611702</v>
      </c>
      <c r="E59" s="1249">
        <v>141</v>
      </c>
      <c r="F59" s="1249">
        <v>5055425.7775256298</v>
      </c>
    </row>
    <row r="60" spans="1:6">
      <c r="A60" s="1248" t="s">
        <v>48</v>
      </c>
      <c r="B60" s="1248" t="s">
        <v>52</v>
      </c>
      <c r="C60" s="1249">
        <v>44</v>
      </c>
      <c r="D60" s="1249">
        <v>2256465.79976728</v>
      </c>
      <c r="E60" s="1249">
        <v>56</v>
      </c>
      <c r="F60" s="1249">
        <v>1361119.6521594799</v>
      </c>
    </row>
    <row r="61" spans="1:6">
      <c r="A61" s="1248" t="s">
        <v>48</v>
      </c>
      <c r="B61" s="1248" t="s">
        <v>53</v>
      </c>
      <c r="C61" s="1249">
        <v>138</v>
      </c>
      <c r="D61" s="1249">
        <v>6756096.5575152002</v>
      </c>
      <c r="E61" s="1249">
        <v>243</v>
      </c>
      <c r="F61" s="1249">
        <v>2464889.7320867302</v>
      </c>
    </row>
    <row r="62" spans="1:6">
      <c r="A62" s="1248" t="s">
        <v>48</v>
      </c>
      <c r="B62" s="1248" t="s">
        <v>54</v>
      </c>
      <c r="C62" s="1249">
        <v>0</v>
      </c>
      <c r="D62" s="1249">
        <v>0</v>
      </c>
      <c r="E62" s="1249">
        <v>7</v>
      </c>
      <c r="F62" s="1249">
        <v>97952.593923131106</v>
      </c>
    </row>
    <row r="63" spans="1:6">
      <c r="A63" s="1248" t="s">
        <v>48</v>
      </c>
      <c r="B63" s="1248" t="s">
        <v>28</v>
      </c>
      <c r="C63" s="1249">
        <v>91</v>
      </c>
      <c r="D63" s="1249">
        <v>5257773.5182331204</v>
      </c>
      <c r="E63" s="1249">
        <v>100</v>
      </c>
      <c r="F63" s="1249">
        <v>2725209.9117191001</v>
      </c>
    </row>
    <row r="64" spans="1:6">
      <c r="A64" s="1248" t="s">
        <v>55</v>
      </c>
      <c r="B64" s="1248" t="s">
        <v>56</v>
      </c>
      <c r="C64" s="1249">
        <v>0</v>
      </c>
      <c r="D64" s="1249">
        <v>0</v>
      </c>
      <c r="E64" s="1249">
        <v>0</v>
      </c>
      <c r="F64" s="1249">
        <v>0</v>
      </c>
    </row>
    <row r="65" spans="1:6">
      <c r="A65" s="1248" t="s">
        <v>55</v>
      </c>
      <c r="B65" s="1248" t="s">
        <v>28</v>
      </c>
      <c r="C65" s="1249">
        <v>4</v>
      </c>
      <c r="D65" s="1249">
        <v>104183.603754258</v>
      </c>
      <c r="E65" s="1249">
        <v>3</v>
      </c>
      <c r="F65" s="1249">
        <v>27290.571361077498</v>
      </c>
    </row>
    <row r="66" spans="1:6">
      <c r="A66" s="1248" t="s">
        <v>55</v>
      </c>
      <c r="B66" s="1248" t="s">
        <v>57</v>
      </c>
      <c r="C66" s="1249">
        <v>0</v>
      </c>
      <c r="D66" s="1249">
        <v>0</v>
      </c>
      <c r="E66" s="1249">
        <v>8</v>
      </c>
      <c r="F66" s="1249">
        <v>275471.434226599</v>
      </c>
    </row>
    <row r="67" spans="1:6">
      <c r="A67" s="1248" t="s">
        <v>55</v>
      </c>
      <c r="B67" s="1248" t="s">
        <v>58</v>
      </c>
      <c r="C67" s="1249">
        <v>0</v>
      </c>
      <c r="D67" s="1249">
        <v>0</v>
      </c>
      <c r="E67" s="1249">
        <v>0</v>
      </c>
      <c r="F67" s="1249">
        <v>0</v>
      </c>
    </row>
    <row r="68" spans="1:6">
      <c r="A68" s="1243" t="s">
        <v>55</v>
      </c>
      <c r="B68" s="1243" t="s">
        <v>59</v>
      </c>
      <c r="C68" s="1251">
        <v>3</v>
      </c>
      <c r="D68" s="1251">
        <v>315927.11226830201</v>
      </c>
      <c r="E68" s="1251">
        <v>7</v>
      </c>
      <c r="F68" s="1251">
        <v>369489.66752158903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31085250</v>
      </c>
      <c r="E73" s="439"/>
      <c r="F73" s="322"/>
    </row>
    <row r="74" spans="1:6">
      <c r="A74" s="1248" t="s">
        <v>63</v>
      </c>
      <c r="B74" s="1248" t="s">
        <v>617</v>
      </c>
      <c r="C74" s="1261" t="s">
        <v>619</v>
      </c>
      <c r="D74" s="1249">
        <v>3363909.5</v>
      </c>
      <c r="E74" s="439"/>
      <c r="F74" s="322"/>
    </row>
    <row r="75" spans="1:6">
      <c r="A75" s="1248" t="s">
        <v>64</v>
      </c>
      <c r="B75" s="1248" t="s">
        <v>616</v>
      </c>
      <c r="C75" s="1261" t="s">
        <v>620</v>
      </c>
      <c r="D75" s="1249">
        <v>18837529</v>
      </c>
      <c r="E75" s="439"/>
      <c r="F75" s="322"/>
    </row>
    <row r="76" spans="1:6">
      <c r="A76" s="1248" t="s">
        <v>64</v>
      </c>
      <c r="B76" s="1248" t="s">
        <v>617</v>
      </c>
      <c r="C76" s="1261" t="s">
        <v>621</v>
      </c>
      <c r="D76" s="1249">
        <v>1671582.5</v>
      </c>
      <c r="E76" s="439"/>
      <c r="F76" s="322"/>
    </row>
    <row r="77" spans="1:6">
      <c r="A77" s="1248" t="s">
        <v>65</v>
      </c>
      <c r="B77" s="1248" t="s">
        <v>616</v>
      </c>
      <c r="C77" s="1261" t="s">
        <v>622</v>
      </c>
      <c r="D77" s="1249">
        <v>85811092</v>
      </c>
      <c r="E77" s="439"/>
      <c r="F77" s="322"/>
    </row>
    <row r="78" spans="1:6">
      <c r="A78" s="1243" t="s">
        <v>65</v>
      </c>
      <c r="B78" s="1243" t="s">
        <v>617</v>
      </c>
      <c r="C78" s="1243" t="s">
        <v>623</v>
      </c>
      <c r="D78" s="1251">
        <v>21926698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393569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14296.319439613448</v>
      </c>
      <c r="C90" s="322"/>
      <c r="D90" s="322"/>
      <c r="E90" s="322"/>
      <c r="F90" s="322"/>
    </row>
    <row r="91" spans="1:6">
      <c r="A91" s="1248" t="s">
        <v>67</v>
      </c>
      <c r="B91" s="1249">
        <v>3664.6350538864472</v>
      </c>
      <c r="C91" s="322"/>
      <c r="D91" s="322"/>
      <c r="E91" s="322"/>
      <c r="F91" s="322"/>
    </row>
    <row r="92" spans="1:6">
      <c r="A92" s="1243" t="s">
        <v>68</v>
      </c>
      <c r="B92" s="1244">
        <v>1362.3674814617013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3655</v>
      </c>
      <c r="C97" s="322"/>
      <c r="D97" s="322"/>
      <c r="E97" s="322"/>
      <c r="F97" s="322"/>
    </row>
    <row r="98" spans="1:6">
      <c r="A98" s="1248" t="s">
        <v>71</v>
      </c>
      <c r="B98" s="1249">
        <v>0</v>
      </c>
      <c r="C98" s="322"/>
      <c r="D98" s="322"/>
      <c r="E98" s="322"/>
      <c r="F98" s="322"/>
    </row>
    <row r="99" spans="1:6">
      <c r="A99" s="1248" t="s">
        <v>72</v>
      </c>
      <c r="B99" s="1249">
        <v>30</v>
      </c>
      <c r="C99" s="322"/>
      <c r="D99" s="322"/>
      <c r="E99" s="322"/>
      <c r="F99" s="322"/>
    </row>
    <row r="100" spans="1:6">
      <c r="A100" s="1248" t="s">
        <v>73</v>
      </c>
      <c r="B100" s="1249">
        <v>641</v>
      </c>
      <c r="C100" s="322"/>
      <c r="D100" s="322"/>
      <c r="E100" s="322"/>
      <c r="F100" s="322"/>
    </row>
    <row r="101" spans="1:6">
      <c r="A101" s="1248" t="s">
        <v>74</v>
      </c>
      <c r="B101" s="1249">
        <v>139</v>
      </c>
      <c r="C101" s="322"/>
      <c r="D101" s="322"/>
      <c r="E101" s="322"/>
      <c r="F101" s="322"/>
    </row>
    <row r="102" spans="1:6">
      <c r="A102" s="1248" t="s">
        <v>75</v>
      </c>
      <c r="B102" s="1249">
        <v>145</v>
      </c>
      <c r="C102" s="322"/>
      <c r="D102" s="322"/>
      <c r="E102" s="322"/>
      <c r="F102" s="322"/>
    </row>
    <row r="103" spans="1:6">
      <c r="A103" s="1248" t="s">
        <v>76</v>
      </c>
      <c r="B103" s="1249">
        <v>202</v>
      </c>
      <c r="C103" s="322"/>
      <c r="D103" s="322"/>
      <c r="E103" s="322"/>
      <c r="F103" s="322"/>
    </row>
    <row r="104" spans="1:6">
      <c r="A104" s="1248" t="s">
        <v>77</v>
      </c>
      <c r="B104" s="1249">
        <v>883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36</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145</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54815.451183795645</v>
      </c>
      <c r="C3" s="43" t="s">
        <v>163</v>
      </c>
      <c r="D3" s="43"/>
      <c r="E3" s="153"/>
      <c r="F3" s="43"/>
      <c r="G3" s="43"/>
      <c r="H3" s="43"/>
      <c r="I3" s="43"/>
      <c r="J3" s="43"/>
      <c r="K3" s="96"/>
    </row>
    <row r="4" spans="1:11">
      <c r="A4" s="348" t="s">
        <v>164</v>
      </c>
      <c r="B4" s="49">
        <f>IF(ISERROR('SEAP template'!B78+'SEAP template'!C78),0,'SEAP template'!B78+'SEAP template'!C78)</f>
        <v>22329.321974961596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347.29374829001381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0.13731034117014371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412.80125170998633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3573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0.11553351573187415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1146.2940000000001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1146.2940000000001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0.13731034117014371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157.39802022128873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25978.619173346829</v>
      </c>
      <c r="C5" s="17">
        <f>IF(ISERROR('Eigen informatie GS &amp; warmtenet'!B57),0,'Eigen informatie GS &amp; warmtenet'!B57)</f>
        <v>0</v>
      </c>
      <c r="D5" s="30">
        <f>(SUM(HH_hh_gas_kWh,HH_rest_gas_kWh)/1000)*0.902</f>
        <v>76876.718322333094</v>
      </c>
      <c r="E5" s="17">
        <f>B32*B41</f>
        <v>942.01091728574283</v>
      </c>
      <c r="F5" s="17">
        <f>B36*B45</f>
        <v>21835.0801629286</v>
      </c>
      <c r="G5" s="18"/>
      <c r="H5" s="17"/>
      <c r="I5" s="17"/>
      <c r="J5" s="17">
        <f>B35*B44+C35*C44</f>
        <v>112.21307840488147</v>
      </c>
      <c r="K5" s="17"/>
      <c r="L5" s="17"/>
      <c r="M5" s="17"/>
      <c r="N5" s="17">
        <f>B34*B43+C34*C43</f>
        <v>8659.1829820541152</v>
      </c>
      <c r="O5" s="17">
        <f>B52*B53*B54</f>
        <v>284.52666666666664</v>
      </c>
      <c r="P5" s="17">
        <f>B60*B61*B62/1000-B60*B61*B62/1000/B63</f>
        <v>629.20000000000005</v>
      </c>
    </row>
    <row r="6" spans="1:16">
      <c r="A6" s="16" t="s">
        <v>582</v>
      </c>
      <c r="B6" s="716">
        <f>kWh_PV_kleiner_dan_10kW</f>
        <v>3664.6350538864472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29643.254227233276</v>
      </c>
      <c r="C8" s="21">
        <f>C5</f>
        <v>0</v>
      </c>
      <c r="D8" s="21">
        <f>D5</f>
        <v>76876.718322333094</v>
      </c>
      <c r="E8" s="21">
        <f>E5</f>
        <v>942.01091728574283</v>
      </c>
      <c r="F8" s="21">
        <f>F5</f>
        <v>21835.0801629286</v>
      </c>
      <c r="G8" s="21"/>
      <c r="H8" s="21"/>
      <c r="I8" s="21"/>
      <c r="J8" s="21">
        <f>J5</f>
        <v>112.21307840488147</v>
      </c>
      <c r="K8" s="21"/>
      <c r="L8" s="21">
        <f>L5</f>
        <v>0</v>
      </c>
      <c r="M8" s="21">
        <f>M5</f>
        <v>0</v>
      </c>
      <c r="N8" s="21">
        <f>N5</f>
        <v>8659.1829820541152</v>
      </c>
      <c r="O8" s="21">
        <f>O5</f>
        <v>284.52666666666664</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0.13731034117014371</v>
      </c>
      <c r="C10" s="25">
        <f ca="1">'EF ele_warmte'!B22</f>
        <v>0.11553351573187415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4070.3253513347058</v>
      </c>
      <c r="C12" s="23">
        <f ca="1">C10*C8</f>
        <v>0</v>
      </c>
      <c r="D12" s="23">
        <f>D8*D10</f>
        <v>15529.097101111285</v>
      </c>
      <c r="E12" s="23">
        <f>E10*E8</f>
        <v>213.83647822386362</v>
      </c>
      <c r="F12" s="23">
        <f>F10*F8</f>
        <v>5829.9664035019368</v>
      </c>
      <c r="G12" s="23"/>
      <c r="H12" s="23"/>
      <c r="I12" s="23"/>
      <c r="J12" s="23">
        <f>J10*J8</f>
        <v>39.723429755328041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6737</v>
      </c>
      <c r="C26" s="36"/>
      <c r="D26" s="224"/>
    </row>
    <row r="27" spans="1:5" s="15" customFormat="1">
      <c r="A27" s="226" t="s">
        <v>736</v>
      </c>
      <c r="B27" s="37">
        <f>SUM(HH_hh_gas_aantal,HH_rest_gas_aantal)</f>
        <v>5393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5123.3500000000004</v>
      </c>
      <c r="C31" s="34" t="s">
        <v>104</v>
      </c>
      <c r="D31" s="170"/>
    </row>
    <row r="32" spans="1:5">
      <c r="A32" s="167" t="s">
        <v>72</v>
      </c>
      <c r="B32" s="33">
        <f>IF((B21*($B$26-($B$27-0.05*$B$27)-$B$60))&lt;0,0,B21*($B$26-($B$27-0.05*$B$27)-$B$60))</f>
        <v>17.407434550290699</v>
      </c>
      <c r="C32" s="34" t="s">
        <v>104</v>
      </c>
      <c r="D32" s="170"/>
    </row>
    <row r="33" spans="1:6">
      <c r="A33" s="167" t="s">
        <v>73</v>
      </c>
      <c r="B33" s="33">
        <f>IF((B22*($B$26-($B$27-0.05*$B$27)-$B$60))&lt;0,0,B22*($B$26-($B$27-0.05*$B$27)-$B$60))</f>
        <v>361.91518252938181</v>
      </c>
      <c r="C33" s="34" t="s">
        <v>104</v>
      </c>
      <c r="D33" s="170"/>
    </row>
    <row r="34" spans="1:6">
      <c r="A34" s="167" t="s">
        <v>74</v>
      </c>
      <c r="B34" s="33">
        <f>IF((B24*($B$26-($B$27-0.05*$B$27)-$B$60))&lt;0,0,B24*($B$26-($B$27-0.05*$B$27)-$B$60))</f>
        <v>141.25425500780037</v>
      </c>
      <c r="C34" s="33">
        <f>B26*C24</f>
        <v>1193.2886913069526</v>
      </c>
      <c r="D34" s="229"/>
    </row>
    <row r="35" spans="1:6">
      <c r="A35" s="167" t="s">
        <v>76</v>
      </c>
      <c r="B35" s="33">
        <f>IF((B19*($B$26-($B$27-0.05*$B$27)-$B$60))&lt;0,0,B19*($B$26-($B$27-0.05*$B$27)-$B$60))</f>
        <v>13.175550899109215</v>
      </c>
      <c r="C35" s="33">
        <f>B35/2</f>
        <v>6.5877754495546075</v>
      </c>
      <c r="D35" s="229"/>
    </row>
    <row r="36" spans="1:6">
      <c r="A36" s="167" t="s">
        <v>77</v>
      </c>
      <c r="B36" s="33">
        <f>IF((B18*($B$26-($B$27-0.05*$B$27)-$B$60))&lt;0,0,B18*($B$26-($B$27-0.05*$B$27)-$B$60))</f>
        <v>1046.8975770134175</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182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13321.800493600858</v>
      </c>
      <c r="C5" s="17">
        <f>IF(ISERROR('Eigen informatie GS &amp; warmtenet'!B58),0,'Eigen informatie GS &amp; warmtenet'!B58)</f>
        <v>0</v>
      </c>
      <c r="D5" s="30">
        <f>SUM(D6:D12)</f>
        <v>16624.920475661394</v>
      </c>
      <c r="E5" s="17">
        <f>SUM(E6:E12)</f>
        <v>216.10548159881438</v>
      </c>
      <c r="F5" s="17">
        <f>SUM(F6:F12)</f>
        <v>2429.5487545953993</v>
      </c>
      <c r="G5" s="18"/>
      <c r="H5" s="17"/>
      <c r="I5" s="17"/>
      <c r="J5" s="17">
        <f>SUM(J6:J12)</f>
        <v>2.0786401950012912E-2</v>
      </c>
      <c r="K5" s="17"/>
      <c r="L5" s="17"/>
      <c r="M5" s="17"/>
      <c r="N5" s="17">
        <f>SUM(N6:N12)</f>
        <v>837.75201734624295</v>
      </c>
      <c r="O5" s="17">
        <f>B38*B39*B40</f>
        <v>3.1266666666666669</v>
      </c>
      <c r="P5" s="17">
        <f>B46*B47*B48/1000-B46*B47*B48/1000/B49</f>
        <v>0</v>
      </c>
      <c r="R5" s="32"/>
    </row>
    <row r="6" spans="1:18">
      <c r="A6" s="32" t="s">
        <v>53</v>
      </c>
      <c r="B6" s="37">
        <f>B26</f>
        <v>2464.88973208673</v>
      </c>
      <c r="C6" s="33"/>
      <c r="D6" s="37">
        <f>IF(ISERROR(TER_kantoor_gas_kWh/1000),0,TER_kantoor_gas_kWh/1000)*0.902</f>
        <v>6093.9990948787108</v>
      </c>
      <c r="E6" s="33">
        <f>$C$26*'E Balans VL '!I12/100/3.6*1000000</f>
        <v>-2.0239953151086535E-4</v>
      </c>
      <c r="F6" s="33">
        <f>$C$26*('E Balans VL '!L12+'E Balans VL '!N12)/100/3.6*1000000</f>
        <v>312.37887855975453</v>
      </c>
      <c r="G6" s="34"/>
      <c r="H6" s="33"/>
      <c r="I6" s="33"/>
      <c r="J6" s="33">
        <f>$C$26*('E Balans VL '!D12+'E Balans VL '!E12)/100/3.6*1000000</f>
        <v>0</v>
      </c>
      <c r="K6" s="33"/>
      <c r="L6" s="33"/>
      <c r="M6" s="33"/>
      <c r="N6" s="33">
        <f>$C$26*'E Balans VL '!Y12/100/3.6*1000000</f>
        <v>3.0233330527621463</v>
      </c>
      <c r="O6" s="33"/>
      <c r="P6" s="33"/>
      <c r="R6" s="32"/>
    </row>
    <row r="7" spans="1:18">
      <c r="A7" s="32" t="s">
        <v>52</v>
      </c>
      <c r="B7" s="37">
        <f t="shared" ref="B7:B12" si="0">B27</f>
        <v>1361.11965215948</v>
      </c>
      <c r="C7" s="33"/>
      <c r="D7" s="37">
        <f>IF(ISERROR(TER_horeca_gas_kWh/1000),0,TER_horeca_gas_kWh/1000)*0.902</f>
        <v>2035.3321513900864</v>
      </c>
      <c r="E7" s="33">
        <f>$C$27*'E Balans VL '!I9/100/3.6*1000000</f>
        <v>15.667153788515371</v>
      </c>
      <c r="F7" s="33">
        <f>$C$27*('E Balans VL '!L9+'E Balans VL '!N9)/100/3.6*1000000</f>
        <v>175.49437910757985</v>
      </c>
      <c r="G7" s="34"/>
      <c r="H7" s="33"/>
      <c r="I7" s="33"/>
      <c r="J7" s="33">
        <f>$C$27*('E Balans VL '!D9+'E Balans VL '!E9)/100/3.6*1000000</f>
        <v>0</v>
      </c>
      <c r="K7" s="33"/>
      <c r="L7" s="33"/>
      <c r="M7" s="33"/>
      <c r="N7" s="33">
        <f>$C$27*'E Balans VL '!Y9/100/3.6*1000000</f>
        <v>14.36630601366096</v>
      </c>
      <c r="O7" s="33"/>
      <c r="P7" s="33"/>
      <c r="R7" s="32"/>
    </row>
    <row r="8" spans="1:18">
      <c r="A8" s="6" t="s">
        <v>51</v>
      </c>
      <c r="B8" s="37">
        <f t="shared" si="0"/>
        <v>5055.4257775256301</v>
      </c>
      <c r="C8" s="33"/>
      <c r="D8" s="37">
        <f>IF(ISERROR(TER_handel_gas_kWh/1000),0,TER_handel_gas_kWh/1000)*0.902</f>
        <v>2349.3397580093756</v>
      </c>
      <c r="E8" s="33">
        <f>$C$28*'E Balans VL '!I13/100/3.6*1000000</f>
        <v>142.63583026709546</v>
      </c>
      <c r="F8" s="33">
        <f>$C$28*('E Balans VL '!L13+'E Balans VL '!N13)/100/3.6*1000000</f>
        <v>508.46745094785672</v>
      </c>
      <c r="G8" s="34"/>
      <c r="H8" s="33"/>
      <c r="I8" s="33"/>
      <c r="J8" s="33">
        <f>$C$28*('E Balans VL '!D13+'E Balans VL '!E13)/100/3.6*1000000</f>
        <v>0</v>
      </c>
      <c r="K8" s="33"/>
      <c r="L8" s="33"/>
      <c r="M8" s="33"/>
      <c r="N8" s="33">
        <f>$C$28*'E Balans VL '!Y13/100/3.6*1000000</f>
        <v>6.9784490210760195</v>
      </c>
      <c r="O8" s="33"/>
      <c r="P8" s="33"/>
      <c r="R8" s="32"/>
    </row>
    <row r="9" spans="1:18">
      <c r="A9" s="32" t="s">
        <v>50</v>
      </c>
      <c r="B9" s="37">
        <f t="shared" si="0"/>
        <v>229.203793980027</v>
      </c>
      <c r="C9" s="33"/>
      <c r="D9" s="37">
        <f>IF(ISERROR(TER_gezond_gas_kWh/1000),0,TER_gezond_gas_kWh/1000)*0.902</f>
        <v>381.61893361738208</v>
      </c>
      <c r="E9" s="33">
        <f>$C$29*'E Balans VL '!I10/100/3.6*1000000</f>
        <v>0.45787861629340298</v>
      </c>
      <c r="F9" s="33">
        <f>$C$29*('E Balans VL '!L10+'E Balans VL '!N10)/100/3.6*1000000</f>
        <v>20.082849957241681</v>
      </c>
      <c r="G9" s="34"/>
      <c r="H9" s="33"/>
      <c r="I9" s="33"/>
      <c r="J9" s="33">
        <f>$C$29*('E Balans VL '!D10+'E Balans VL '!E10)/100/3.6*1000000</f>
        <v>0</v>
      </c>
      <c r="K9" s="33"/>
      <c r="L9" s="33"/>
      <c r="M9" s="33"/>
      <c r="N9" s="33">
        <f>$C$29*'E Balans VL '!Y10/100/3.6*1000000</f>
        <v>3.4670368466442603</v>
      </c>
      <c r="O9" s="33"/>
      <c r="P9" s="33"/>
      <c r="R9" s="32"/>
    </row>
    <row r="10" spans="1:18">
      <c r="A10" s="32" t="s">
        <v>49</v>
      </c>
      <c r="B10" s="37">
        <f t="shared" si="0"/>
        <v>1387.9990322067599</v>
      </c>
      <c r="C10" s="33"/>
      <c r="D10" s="37">
        <f>IF(ISERROR(TER_ander_gas_kWh/1000),0,TER_ander_gas_kWh/1000)*0.902</f>
        <v>1022.1188243195643</v>
      </c>
      <c r="E10" s="33">
        <f>$C$30*'E Balans VL '!I14/100/3.6*1000000</f>
        <v>19.553556976410757</v>
      </c>
      <c r="F10" s="33">
        <f>$C$30*('E Balans VL '!L14+'E Balans VL '!N14)/100/3.6*1000000</f>
        <v>841.97800827739616</v>
      </c>
      <c r="G10" s="34"/>
      <c r="H10" s="33"/>
      <c r="I10" s="33"/>
      <c r="J10" s="33">
        <f>$C$30*('E Balans VL '!D14+'E Balans VL '!E14)/100/3.6*1000000</f>
        <v>1.5237561118840367E-2</v>
      </c>
      <c r="K10" s="33"/>
      <c r="L10" s="33"/>
      <c r="M10" s="33"/>
      <c r="N10" s="33">
        <f>$C$30*'E Balans VL '!Y14/100/3.6*1000000</f>
        <v>587.02816034677153</v>
      </c>
      <c r="O10" s="33"/>
      <c r="P10" s="33"/>
      <c r="R10" s="32"/>
    </row>
    <row r="11" spans="1:18">
      <c r="A11" s="32" t="s">
        <v>54</v>
      </c>
      <c r="B11" s="37">
        <f t="shared" si="0"/>
        <v>97.952593923131104</v>
      </c>
      <c r="C11" s="33"/>
      <c r="D11" s="37">
        <f>IF(ISERROR(TER_onderwijs_gas_kWh/1000),0,TER_onderwijs_gas_kWh/1000)*0.902</f>
        <v>0</v>
      </c>
      <c r="E11" s="33">
        <f>$C$31*'E Balans VL '!I11/100/3.6*1000000</f>
        <v>2.5566108483466792</v>
      </c>
      <c r="F11" s="33">
        <f>$C$31*('E Balans VL '!L11+'E Balans VL '!N11)/100/3.6*1000000</f>
        <v>12.053889784466776</v>
      </c>
      <c r="G11" s="34"/>
      <c r="H11" s="33"/>
      <c r="I11" s="33"/>
      <c r="J11" s="33">
        <f>$C$31*('E Balans VL '!D11+'E Balans VL '!E11)/100/3.6*1000000</f>
        <v>0</v>
      </c>
      <c r="K11" s="33"/>
      <c r="L11" s="33"/>
      <c r="M11" s="33"/>
      <c r="N11" s="33">
        <f>$C$31*'E Balans VL '!Y11/100/3.6*1000000</f>
        <v>0.31018696634625798</v>
      </c>
      <c r="O11" s="33"/>
      <c r="P11" s="33"/>
      <c r="R11" s="32"/>
    </row>
    <row r="12" spans="1:18">
      <c r="A12" s="32" t="s">
        <v>248</v>
      </c>
      <c r="B12" s="37">
        <f t="shared" si="0"/>
        <v>2725.2099117191001</v>
      </c>
      <c r="C12" s="33"/>
      <c r="D12" s="37">
        <f>IF(ISERROR(TER_rest_gas_kWh/1000),0,TER_rest_gas_kWh/1000)*0.902</f>
        <v>4742.5117134462753</v>
      </c>
      <c r="E12" s="33">
        <f>$C$32*'E Balans VL '!I8/100/3.6*1000000</f>
        <v>35.234653501684214</v>
      </c>
      <c r="F12" s="33">
        <f>$C$32*('E Balans VL '!L8+'E Balans VL '!N8)/100/3.6*1000000</f>
        <v>559.09329796110353</v>
      </c>
      <c r="G12" s="34"/>
      <c r="H12" s="33"/>
      <c r="I12" s="33"/>
      <c r="J12" s="33">
        <f>$C$32*('E Balans VL '!D8+'E Balans VL '!E8)/100/3.6*1000000</f>
        <v>5.5488408311725459E-3</v>
      </c>
      <c r="K12" s="33"/>
      <c r="L12" s="33"/>
      <c r="M12" s="33"/>
      <c r="N12" s="33">
        <f>$C$32*'E Balans VL '!Y8/100/3.6*1000000</f>
        <v>222.57854509898175</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13321.800493600858</v>
      </c>
      <c r="C16" s="21">
        <f t="shared" ca="1" si="1"/>
        <v>0</v>
      </c>
      <c r="D16" s="21">
        <f t="shared" ca="1" si="1"/>
        <v>16624.920475661394</v>
      </c>
      <c r="E16" s="21">
        <f t="shared" si="1"/>
        <v>216.10548159881438</v>
      </c>
      <c r="F16" s="21">
        <f t="shared" ca="1" si="1"/>
        <v>2429.5487545953993</v>
      </c>
      <c r="G16" s="21">
        <f t="shared" si="1"/>
        <v>0</v>
      </c>
      <c r="H16" s="21">
        <f t="shared" si="1"/>
        <v>0</v>
      </c>
      <c r="I16" s="21">
        <f t="shared" si="1"/>
        <v>0</v>
      </c>
      <c r="J16" s="21">
        <f t="shared" si="1"/>
        <v>2.0786401950012912E-2</v>
      </c>
      <c r="K16" s="21">
        <f t="shared" si="1"/>
        <v>0</v>
      </c>
      <c r="L16" s="21">
        <f t="shared" ca="1" si="1"/>
        <v>0</v>
      </c>
      <c r="M16" s="21">
        <f t="shared" si="1"/>
        <v>0</v>
      </c>
      <c r="N16" s="21">
        <f t="shared" ca="1" si="1"/>
        <v>837.75201734624295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0.13731034117014371</v>
      </c>
      <c r="C18" s="25">
        <f ca="1">'EF ele_warmte'!B22</f>
        <v>0.11553351573187415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1829.2209707769227</v>
      </c>
      <c r="C20" s="23">
        <f t="shared" ref="C20:P20" ca="1" si="2">C16*C18</f>
        <v>0</v>
      </c>
      <c r="D20" s="23">
        <f t="shared" ca="1" si="2"/>
        <v>3358.2339360836017</v>
      </c>
      <c r="E20" s="23">
        <f t="shared" si="2"/>
        <v>49.055944322930863</v>
      </c>
      <c r="F20" s="23">
        <f t="shared" ca="1" si="2"/>
        <v>648.68951747697167</v>
      </c>
      <c r="G20" s="23">
        <f t="shared" si="2"/>
        <v>0</v>
      </c>
      <c r="H20" s="23">
        <f t="shared" si="2"/>
        <v>0</v>
      </c>
      <c r="I20" s="23">
        <f t="shared" si="2"/>
        <v>0</v>
      </c>
      <c r="J20" s="23">
        <f t="shared" si="2"/>
        <v>7.3583862903045701E-3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2464.88973208673</v>
      </c>
      <c r="C26" s="39">
        <f>IF(ISERROR(B26*3.6/1000000/'E Balans VL '!Z12*100),0,B26*3.6/1000000/'E Balans VL '!Z12*100)</f>
        <v>6.682527895862006E-2</v>
      </c>
      <c r="D26" s="232" t="s">
        <v>700</v>
      </c>
      <c r="F26" s="6"/>
    </row>
    <row r="27" spans="1:18">
      <c r="A27" s="227" t="s">
        <v>52</v>
      </c>
      <c r="B27" s="33">
        <f>IF(ISERROR(TER_horeca_ele_kWh/1000),0,TER_horeca_ele_kWh/1000)</f>
        <v>1361.11965215948</v>
      </c>
      <c r="C27" s="39">
        <f>IF(ISERROR(B27*3.6/1000000/'E Balans VL '!Z9*100),0,B27*3.6/1000000/'E Balans VL '!Z9*100)</f>
        <v>0.10528403288242345</v>
      </c>
      <c r="D27" s="232" t="s">
        <v>700</v>
      </c>
      <c r="F27" s="6"/>
    </row>
    <row r="28" spans="1:18">
      <c r="A28" s="167" t="s">
        <v>51</v>
      </c>
      <c r="B28" s="33">
        <f>IF(ISERROR(TER_handel_ele_kWh/1000),0,TER_handel_ele_kWh/1000)</f>
        <v>5055.4257775256301</v>
      </c>
      <c r="C28" s="39">
        <f>IF(ISERROR(B28*3.6/1000000/'E Balans VL '!Z13*100),0,B28*3.6/1000000/'E Balans VL '!Z13*100)</f>
        <v>0.14621598836586031</v>
      </c>
      <c r="D28" s="232" t="s">
        <v>700</v>
      </c>
      <c r="F28" s="6"/>
    </row>
    <row r="29" spans="1:18">
      <c r="A29" s="227" t="s">
        <v>50</v>
      </c>
      <c r="B29" s="33">
        <f>IF(ISERROR(TER_gezond_ele_kWh/1000),0,TER_gezond_ele_kWh/1000)</f>
        <v>229.203793980027</v>
      </c>
      <c r="C29" s="39">
        <f>IF(ISERROR(B29*3.6/1000000/'E Balans VL '!Z10*100),0,B29*3.6/1000000/'E Balans VL '!Z10*100)</f>
        <v>2.3605742981633471E-2</v>
      </c>
      <c r="D29" s="232" t="s">
        <v>700</v>
      </c>
      <c r="F29" s="6"/>
    </row>
    <row r="30" spans="1:18">
      <c r="A30" s="227" t="s">
        <v>49</v>
      </c>
      <c r="B30" s="33">
        <f>IF(ISERROR(TER_ander_ele_kWh/1000),0,TER_ander_ele_kWh/1000)</f>
        <v>1387.9990322067599</v>
      </c>
      <c r="C30" s="39">
        <f>IF(ISERROR(B30*3.6/1000000/'E Balans VL '!Z14*100),0,B30*3.6/1000000/'E Balans VL '!Z14*100)</f>
        <v>6.2406393660779644E-2</v>
      </c>
      <c r="D30" s="232" t="s">
        <v>700</v>
      </c>
      <c r="F30" s="6"/>
    </row>
    <row r="31" spans="1:18">
      <c r="A31" s="227" t="s">
        <v>54</v>
      </c>
      <c r="B31" s="33">
        <f>IF(ISERROR(TER_onderwijs_ele_kWh/1000),0,TER_onderwijs_ele_kWh/1000)</f>
        <v>97.952593923131104</v>
      </c>
      <c r="C31" s="39">
        <f>IF(ISERROR(B31*3.6/1000000/'E Balans VL '!Z11*100),0,B31*3.6/1000000/'E Balans VL '!Z11*100)</f>
        <v>2.7374510542799813E-2</v>
      </c>
      <c r="D31" s="232" t="s">
        <v>700</v>
      </c>
    </row>
    <row r="32" spans="1:18">
      <c r="A32" s="227" t="s">
        <v>248</v>
      </c>
      <c r="B32" s="33">
        <f>IF(ISERROR(TER_rest_ele_kWh/1000),0,TER_rest_ele_kWh/1000)</f>
        <v>2725.2099117191001</v>
      </c>
      <c r="C32" s="39">
        <f>IF(ISERROR(B32*3.6/1000000/'E Balans VL '!Z8*100),0,B32*3.6/1000000/'E Balans VL '!Z8*100)</f>
        <v>2.2725627977498476E-2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6881.0790063842342</v>
      </c>
      <c r="C5" s="17">
        <f>IF(ISERROR('Eigen informatie GS &amp; warmtenet'!B59),0,'Eigen informatie GS &amp; warmtenet'!B59)</f>
        <v>0</v>
      </c>
      <c r="D5" s="30">
        <f>SUM(D6:D15)</f>
        <v>7452.3604764610973</v>
      </c>
      <c r="E5" s="17">
        <f>SUM(E6:E15)</f>
        <v>260.56282248879836</v>
      </c>
      <c r="F5" s="17">
        <f>SUM(F6:F15)</f>
        <v>1661.4229797183618</v>
      </c>
      <c r="G5" s="18"/>
      <c r="H5" s="17"/>
      <c r="I5" s="17"/>
      <c r="J5" s="17">
        <f>SUM(J6:J15)</f>
        <v>16.191354145417261</v>
      </c>
      <c r="K5" s="17"/>
      <c r="L5" s="17"/>
      <c r="M5" s="17"/>
      <c r="N5" s="17">
        <f>SUM(N6:N15)</f>
        <v>197.07168259376115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393.82385211468699</v>
      </c>
      <c r="C8" s="33"/>
      <c r="D8" s="37">
        <f>IF( ISERROR(IND_metaal_Gas_kWH/1000),0,IND_metaal_Gas_kWH/1000)*0.902</f>
        <v>0</v>
      </c>
      <c r="E8" s="33">
        <f>C30*'E Balans VL '!I18/100/3.6*1000000</f>
        <v>3.5740721190291804</v>
      </c>
      <c r="F8" s="33">
        <f>C30*'E Balans VL '!L18/100/3.6*1000000+C30*'E Balans VL '!N18/100/3.6*1000000</f>
        <v>36.248367963520352</v>
      </c>
      <c r="G8" s="34"/>
      <c r="H8" s="33"/>
      <c r="I8" s="33"/>
      <c r="J8" s="40">
        <f>C30*'E Balans VL '!D18/100/3.6*1000000+C30*'E Balans VL '!E18/100/3.6*1000000</f>
        <v>0</v>
      </c>
      <c r="K8" s="33"/>
      <c r="L8" s="33"/>
      <c r="M8" s="33"/>
      <c r="N8" s="33">
        <f>C30*'E Balans VL '!Y18/100/3.6*1000000</f>
        <v>5.7495181096726498</v>
      </c>
      <c r="O8" s="33"/>
      <c r="P8" s="33"/>
      <c r="R8" s="32"/>
    </row>
    <row r="9" spans="1:18">
      <c r="A9" s="6" t="s">
        <v>32</v>
      </c>
      <c r="B9" s="37">
        <f t="shared" si="0"/>
        <v>1171.1646046327899</v>
      </c>
      <c r="C9" s="33"/>
      <c r="D9" s="37">
        <f>IF( ISERROR(IND_andere_gas_kWh/1000),0,IND_andere_gas_kWh/1000)*0.902</f>
        <v>1638.4409882281645</v>
      </c>
      <c r="E9" s="33">
        <f>C31*'E Balans VL '!I19/100/3.6*1000000</f>
        <v>6.7977040441355969</v>
      </c>
      <c r="F9" s="33">
        <f>C31*'E Balans VL '!L19/100/3.6*1000000+C31*'E Balans VL '!N19/100/3.6*1000000</f>
        <v>772.36990604677749</v>
      </c>
      <c r="G9" s="34"/>
      <c r="H9" s="33"/>
      <c r="I9" s="33"/>
      <c r="J9" s="40">
        <f>C31*'E Balans VL '!D19/100/3.6*1000000+C31*'E Balans VL '!E19/100/3.6*1000000</f>
        <v>0</v>
      </c>
      <c r="K9" s="33"/>
      <c r="L9" s="33"/>
      <c r="M9" s="33"/>
      <c r="N9" s="33">
        <f>C31*'E Balans VL '!Y19/100/3.6*1000000</f>
        <v>54.237650885557663</v>
      </c>
      <c r="O9" s="33"/>
      <c r="P9" s="33"/>
      <c r="R9" s="32"/>
    </row>
    <row r="10" spans="1:18">
      <c r="A10" s="6" t="s">
        <v>40</v>
      </c>
      <c r="B10" s="37">
        <f t="shared" si="0"/>
        <v>696.70461364051505</v>
      </c>
      <c r="C10" s="33"/>
      <c r="D10" s="37">
        <f>IF( ISERROR(IND_voed_gas_kWh/1000),0,IND_voed_gas_kWh/1000)*0.902</f>
        <v>1751.0172463396493</v>
      </c>
      <c r="E10" s="33">
        <f>C32*'E Balans VL '!I20/100/3.6*1000000</f>
        <v>1.4764795876346575</v>
      </c>
      <c r="F10" s="33">
        <f>C32*'E Balans VL '!L20/100/3.6*1000000+C32*'E Balans VL '!N20/100/3.6*1000000</f>
        <v>44.278456169808813</v>
      </c>
      <c r="G10" s="34"/>
      <c r="H10" s="33"/>
      <c r="I10" s="33"/>
      <c r="J10" s="40">
        <f>C32*'E Balans VL '!D20/100/3.6*1000000+C32*'E Balans VL '!E20/100/3.6*1000000</f>
        <v>0</v>
      </c>
      <c r="K10" s="33"/>
      <c r="L10" s="33"/>
      <c r="M10" s="33"/>
      <c r="N10" s="33">
        <f>C32*'E Balans VL '!Y20/100/3.6*1000000</f>
        <v>20.196695088219442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22.677406240843098</v>
      </c>
      <c r="C13" s="33"/>
      <c r="D13" s="37">
        <f>IF( ISERROR(IND_papier_gas_kWh/1000),0,IND_papier_gas_kWh/1000)*0.902</f>
        <v>50.178564056554826</v>
      </c>
      <c r="E13" s="33">
        <f>C35*'E Balans VL '!I23/100/3.6*1000000</f>
        <v>3.3473305901192706E-2</v>
      </c>
      <c r="F13" s="33">
        <f>C35*'E Balans VL '!L23/100/3.6*1000000+C35*'E Balans VL '!N23/100/3.6*1000000</f>
        <v>0.58727636082464685</v>
      </c>
      <c r="G13" s="34"/>
      <c r="H13" s="33"/>
      <c r="I13" s="33"/>
      <c r="J13" s="40">
        <f>C35*'E Balans VL '!D23/100/3.6*1000000+C35*'E Balans VL '!E23/100/3.6*1000000</f>
        <v>3.6489045258299665E-3</v>
      </c>
      <c r="K13" s="33"/>
      <c r="L13" s="33"/>
      <c r="M13" s="33"/>
      <c r="N13" s="33">
        <f>C35*'E Balans VL '!Y23/100/3.6*1000000</f>
        <v>-1.0299390372505526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4596.7085297553995</v>
      </c>
      <c r="C15" s="33"/>
      <c r="D15" s="37">
        <f>IF( ISERROR(IND_rest_gas_kWh/1000),0,IND_rest_gas_kWh/1000)*0.902</f>
        <v>4012.7236778367287</v>
      </c>
      <c r="E15" s="33">
        <f>C37*'E Balans VL '!I15/100/3.6*1000000</f>
        <v>248.68109343209773</v>
      </c>
      <c r="F15" s="33">
        <f>C37*'E Balans VL '!L15/100/3.6*1000000+C37*'E Balans VL '!N15/100/3.6*1000000</f>
        <v>807.93897317743063</v>
      </c>
      <c r="G15" s="34"/>
      <c r="H15" s="33"/>
      <c r="I15" s="33"/>
      <c r="J15" s="40">
        <f>C37*'E Balans VL '!D15/100/3.6*1000000+C37*'E Balans VL '!E15/100/3.6*1000000</f>
        <v>16.187705240891432</v>
      </c>
      <c r="K15" s="33"/>
      <c r="L15" s="33"/>
      <c r="M15" s="33"/>
      <c r="N15" s="33">
        <f>C37*'E Balans VL '!Y15/100/3.6*1000000</f>
        <v>117.91775754756196</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6881.0790063842342</v>
      </c>
      <c r="C18" s="21">
        <f>C5+C16</f>
        <v>0</v>
      </c>
      <c r="D18" s="21">
        <f>MAX((D5+D16),0)</f>
        <v>7452.3604764610973</v>
      </c>
      <c r="E18" s="21">
        <f>MAX((E5+E16),0)</f>
        <v>260.56282248879836</v>
      </c>
      <c r="F18" s="21">
        <f>MAX((F5+F16),0)</f>
        <v>1661.4229797183618</v>
      </c>
      <c r="G18" s="21"/>
      <c r="H18" s="21"/>
      <c r="I18" s="21"/>
      <c r="J18" s="21">
        <f>MAX((J5+J16),0)</f>
        <v>16.191354145417261</v>
      </c>
      <c r="K18" s="21"/>
      <c r="L18" s="21">
        <f>MAX((L5+L16),0)</f>
        <v>0</v>
      </c>
      <c r="M18" s="21"/>
      <c r="N18" s="21">
        <f>MAX((N5+N16),0)</f>
        <v>197.07168259376115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0.13731034117014371</v>
      </c>
      <c r="C20" s="25">
        <f ca="1">'EF ele_warmte'!B22</f>
        <v>0.11553351573187415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944.84330598533268</v>
      </c>
      <c r="C22" s="23">
        <f ca="1">C18*C20</f>
        <v>0</v>
      </c>
      <c r="D22" s="23">
        <f>D18*D20</f>
        <v>1505.3768162451418</v>
      </c>
      <c r="E22" s="23">
        <f>E18*E20</f>
        <v>59.147760704957228</v>
      </c>
      <c r="F22" s="23">
        <f>F18*F20</f>
        <v>443.59993558480261</v>
      </c>
      <c r="G22" s="23"/>
      <c r="H22" s="23"/>
      <c r="I22" s="23"/>
      <c r="J22" s="23">
        <f>J18*J20</f>
        <v>5.7317393674777097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393.82385211468699</v>
      </c>
      <c r="C30" s="39">
        <f>IF(ISERROR(B30*3.6/1000000/'E Balans VL '!Z18*100),0,B30*3.6/1000000/'E Balans VL '!Z18*100)</f>
        <v>2.2839270278322856E-2</v>
      </c>
      <c r="D30" s="232" t="s">
        <v>700</v>
      </c>
    </row>
    <row r="31" spans="1:18">
      <c r="A31" s="6" t="s">
        <v>32</v>
      </c>
      <c r="B31" s="37">
        <f>IF( ISERROR(IND_ander_ele_kWh/1000),0,IND_ander_ele_kWh/1000)</f>
        <v>1171.1646046327899</v>
      </c>
      <c r="C31" s="39">
        <f>IF(ISERROR(B31*3.6/1000000/'E Balans VL '!Z19*100),0,B31*3.6/1000000/'E Balans VL '!Z19*100)</f>
        <v>4.8912241078712504E-2</v>
      </c>
      <c r="D31" s="232" t="s">
        <v>700</v>
      </c>
    </row>
    <row r="32" spans="1:18">
      <c r="A32" s="167" t="s">
        <v>40</v>
      </c>
      <c r="B32" s="37">
        <f>IF( ISERROR(IND_voed_ele_kWh/1000),0,IND_voed_ele_kWh/1000)</f>
        <v>696.70461364051505</v>
      </c>
      <c r="C32" s="39">
        <f>IF(ISERROR(B32*3.6/1000000/'E Balans VL '!Z20*100),0,B32*3.6/1000000/'E Balans VL '!Z20*100)</f>
        <v>2.1609032021635773E-2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22.677406240843098</v>
      </c>
      <c r="C35" s="39">
        <f>IF(ISERROR(B35*3.6/1000000/'E Balans VL '!Z22*100),0,B35*3.6/1000000/'E Balans VL '!Z22*100)</f>
        <v>4.2436743462276605E-3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4596.7085297553995</v>
      </c>
      <c r="C37" s="39">
        <f>IF(ISERROR(B37*3.6/1000000/'E Balans VL '!Z15*100),0,B37*3.6/1000000/'E Balans VL '!Z15*100)</f>
        <v>3.5840258645765052E-2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2145.3118775164421</v>
      </c>
      <c r="C5" s="17">
        <f>'Eigen informatie GS &amp; warmtenet'!B60</f>
        <v>0</v>
      </c>
      <c r="D5" s="30">
        <f>IF(ISERROR(SUM(LB_lb_gas_kWh,LB_rest_gas_kWh)/1000),0,SUM(LB_lb_gas_kWh,LB_rest_gas_kWh)/1000)*0.902</f>
        <v>385.18368282258382</v>
      </c>
      <c r="E5" s="17">
        <f>B17*'E Balans VL '!I25/3.6*1000000/100</f>
        <v>69.622422632839402</v>
      </c>
      <c r="F5" s="17">
        <f>B17*('E Balans VL '!L25/3.6*1000000+'E Balans VL '!N25/3.6*1000000)/100</f>
        <v>7914.4718073727008</v>
      </c>
      <c r="G5" s="18"/>
      <c r="H5" s="17"/>
      <c r="I5" s="17"/>
      <c r="J5" s="17">
        <f>('E Balans VL '!D25+'E Balans VL '!E25)/3.6*1000000*landbouw!B17/100</f>
        <v>564.19484410586244</v>
      </c>
      <c r="K5" s="17"/>
      <c r="L5" s="17">
        <f>L6*(-1)</f>
        <v>4455</v>
      </c>
      <c r="M5" s="17"/>
      <c r="N5" s="17">
        <f>N6*(-1)</f>
        <v>0</v>
      </c>
      <c r="O5" s="17"/>
      <c r="P5" s="17"/>
      <c r="R5" s="32"/>
    </row>
    <row r="6" spans="1:18">
      <c r="A6" s="16" t="s">
        <v>473</v>
      </c>
      <c r="B6" s="17" t="s">
        <v>204</v>
      </c>
      <c r="C6" s="17">
        <f>'lokale energieproductie'!O40+'lokale energieproductie'!O33</f>
        <v>3573</v>
      </c>
      <c r="D6" s="300">
        <f>('lokale energieproductie'!P33+'lokale energieproductie'!P40)*(-1)</f>
        <v>-1800.0000000000005</v>
      </c>
      <c r="E6" s="243"/>
      <c r="F6" s="300">
        <f>('lokale energieproductie'!S33+'lokale energieproductie'!S40)*(-1)</f>
        <v>-1485</v>
      </c>
      <c r="G6" s="244"/>
      <c r="H6" s="243"/>
      <c r="I6" s="243"/>
      <c r="J6" s="243"/>
      <c r="K6" s="243"/>
      <c r="L6" s="300">
        <f>('lokale energieproductie'!T33+'lokale energieproductie'!U33+'lokale energieproductie'!T40+'lokale energieproductie'!U40)*(-1)</f>
        <v>-4455</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2145.3118775164421</v>
      </c>
      <c r="C8" s="21">
        <f>C5+C6</f>
        <v>3573</v>
      </c>
      <c r="D8" s="21">
        <f>MAX((D5+D6),0)</f>
        <v>0</v>
      </c>
      <c r="E8" s="21">
        <f>MAX((E5+E6),0)</f>
        <v>69.622422632839402</v>
      </c>
      <c r="F8" s="21">
        <f>MAX((F5+F6),0)</f>
        <v>6429.4718073727008</v>
      </c>
      <c r="G8" s="21"/>
      <c r="H8" s="21"/>
      <c r="I8" s="21"/>
      <c r="J8" s="21">
        <f>MAX((J5+J6),0)</f>
        <v>564.19484410586244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0.13731034117014371</v>
      </c>
      <c r="C10" s="31">
        <f ca="1">'EF ele_warmte'!B22</f>
        <v>0.11553351573187415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294.57350581814421</v>
      </c>
      <c r="C12" s="23">
        <f ca="1">C8*C10</f>
        <v>412.80125170998633</v>
      </c>
      <c r="D12" s="23">
        <f>D8*D10</f>
        <v>0</v>
      </c>
      <c r="E12" s="23">
        <f>E8*E10</f>
        <v>15.804289937654545</v>
      </c>
      <c r="F12" s="23">
        <f>F8*F10</f>
        <v>1716.6689725685112</v>
      </c>
      <c r="G12" s="23"/>
      <c r="H12" s="23"/>
      <c r="I12" s="23"/>
      <c r="J12" s="23">
        <f>J8*J10</f>
        <v>199.72497481347528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0.30442648613033313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326.1270922585303</v>
      </c>
      <c r="C26" s="242">
        <f>B26*'GWP N2O_CH4'!B5</f>
        <v>6848.6689374291363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184.41584044245894</v>
      </c>
      <c r="C27" s="242">
        <f>B27*'GWP N2O_CH4'!B5</f>
        <v>3872.7326492916377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4.5159477006992379</v>
      </c>
      <c r="C28" s="242">
        <f>B28*'GWP N2O_CH4'!B4</f>
        <v>1399.9437872167637</v>
      </c>
      <c r="D28" s="50"/>
    </row>
    <row r="29" spans="1:4">
      <c r="A29" s="41" t="s">
        <v>265</v>
      </c>
      <c r="B29" s="242">
        <f>B34*'ha_N2O bodem landbouw'!B4</f>
        <v>10.960933051834232</v>
      </c>
      <c r="C29" s="242">
        <f>B29*'GWP N2O_CH4'!B4</f>
        <v>3397.889246068612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2.501247149372862E-3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2.9201452990951769E-4</v>
      </c>
      <c r="C5" s="427" t="s">
        <v>204</v>
      </c>
      <c r="D5" s="412">
        <f>SUM(D6:D11)</f>
        <v>4.4115428679740605E-4</v>
      </c>
      <c r="E5" s="412">
        <f>SUM(E6:E11)</f>
        <v>8.6191331197257642E-4</v>
      </c>
      <c r="F5" s="425" t="s">
        <v>204</v>
      </c>
      <c r="G5" s="412">
        <f>SUM(G6:G11)</f>
        <v>0.49003313449705455</v>
      </c>
      <c r="H5" s="412">
        <f>SUM(H6:H11)</f>
        <v>7.8238197769497683E-2</v>
      </c>
      <c r="I5" s="427" t="s">
        <v>204</v>
      </c>
      <c r="J5" s="427" t="s">
        <v>204</v>
      </c>
      <c r="K5" s="427" t="s">
        <v>204</v>
      </c>
      <c r="L5" s="427" t="s">
        <v>204</v>
      </c>
      <c r="M5" s="412">
        <f>SUM(M6:M11)</f>
        <v>3.0933709339838689E-2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5.4524938487580233E-5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9.2128690593275026E-5</v>
      </c>
      <c r="E6" s="818">
        <f>vkm_GW_PW*SUMIFS(TableVerdeelsleutelVkm[LPG],TableVerdeelsleutelVkm[Voertuigtype],"Lichte voertuigen")*SUMIFS(TableECFTransport[EnergieConsumptieFactor (PJ per km)],TableECFTransport[Index],CONCATENATE($A6,"_LPG_LPG"))</f>
        <v>1.6014735268100156E-4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4.8504385862484928E-2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1.5973384100906405E-2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3.3041608764893633E-3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9.8389450644574452E-7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3.1602928434927541E-2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6.3050738332626453E-7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1.8464216641956553E-3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4.3695347764780088E-5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9.4525494798237668E-5</v>
      </c>
      <c r="E8" s="415">
        <f>vkm_NGW_PW*SUMIFS(TableVerdeelsleutelVkm[LPG],TableVerdeelsleutelVkm[Voertuigtype],"Lichte voertuigen")*SUMIFS(TableECFTransport[EnergieConsumptieFactor (PJ per km)],TableECFTransport[Index],CONCATENATE($A8,"_LPG_LPG"))</f>
        <v>1.5686397779778399E-4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4.4370436478533531E-2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1.6010706319829489E-2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3.0637334635559461E-3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4.8891352125282919E-7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2.014929738286814E-2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3.7817266605751903E-7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1.1772351133610263E-3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1.8590819600256193E-4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2.5450010140589335E-4</v>
      </c>
      <c r="E10" s="415">
        <f>vkm_SW_PW*SUMIFS(TableVerdeelsleutelVkm[LPG],TableVerdeelsleutelVkm[Voertuigtype],"Lichte voertuigen")*SUMIFS(TableECFTransport[EnergieConsumptieFactor (PJ per km)],TableECFTransport[Index],CONCATENATE($A10,"_LPG_LPG"))</f>
        <v>5.4490198149379084E-4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0.14919943657449303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4.624886857929654E-2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1.0078647707115617E-2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6.413239626896887E-6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0.19620664976374738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4.2300894158756794E-6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1.1463510515121079E-2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81.115147197088248</v>
      </c>
      <c r="C14" s="21"/>
      <c r="D14" s="21">
        <f t="shared" ref="D14:M14" si="0">((D5)*10^9/3600)+D12</f>
        <v>122.5428574437239</v>
      </c>
      <c r="E14" s="21">
        <f t="shared" si="0"/>
        <v>239.42036443682679</v>
      </c>
      <c r="F14" s="21"/>
      <c r="G14" s="21">
        <f t="shared" si="0"/>
        <v>136120.3151380707</v>
      </c>
      <c r="H14" s="21">
        <f t="shared" si="0"/>
        <v>21732.832713749354</v>
      </c>
      <c r="I14" s="21"/>
      <c r="J14" s="21"/>
      <c r="K14" s="21"/>
      <c r="L14" s="21"/>
      <c r="M14" s="21">
        <f t="shared" si="0"/>
        <v>8592.6970388440805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0.13731034117014371</v>
      </c>
      <c r="C16" s="56">
        <f ca="1">'EF ele_warmte'!B22</f>
        <v>0.11553351573187415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11.137948535698614</v>
      </c>
      <c r="C18" s="23"/>
      <c r="D18" s="23">
        <f t="shared" ref="D18:M18" si="1">D14*D16</f>
        <v>24.75365720363223</v>
      </c>
      <c r="E18" s="23">
        <f t="shared" si="1"/>
        <v>54.348422727159679</v>
      </c>
      <c r="F18" s="23"/>
      <c r="G18" s="23">
        <f t="shared" si="1"/>
        <v>36344.124141864879</v>
      </c>
      <c r="H18" s="23">
        <f t="shared" si="1"/>
        <v>5411.4753457235893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5.1911029469001835E-5</v>
      </c>
      <c r="C50" s="311">
        <f t="shared" ref="C50:P50" si="2">SUM(C51:C52)</f>
        <v>0</v>
      </c>
      <c r="D50" s="311">
        <f t="shared" si="2"/>
        <v>0</v>
      </c>
      <c r="E50" s="311">
        <f t="shared" si="2"/>
        <v>0</v>
      </c>
      <c r="F50" s="311">
        <f t="shared" si="2"/>
        <v>0</v>
      </c>
      <c r="G50" s="311">
        <f t="shared" si="2"/>
        <v>4.8765260452838721E-3</v>
      </c>
      <c r="H50" s="311">
        <f t="shared" si="2"/>
        <v>0</v>
      </c>
      <c r="I50" s="311">
        <f t="shared" si="2"/>
        <v>0</v>
      </c>
      <c r="J50" s="311">
        <f t="shared" si="2"/>
        <v>0</v>
      </c>
      <c r="K50" s="311">
        <f t="shared" si="2"/>
        <v>0</v>
      </c>
      <c r="L50" s="311">
        <f t="shared" si="2"/>
        <v>0</v>
      </c>
      <c r="M50" s="311">
        <f t="shared" si="2"/>
        <v>2.8082449325382385E-4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5.1911029469001835E-5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4.8765260452838721E-3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2.8082449325382385E-4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14.419730408056065</v>
      </c>
      <c r="C54" s="21">
        <f t="shared" ref="C54:P54" si="3">(C50)*10^9/3600</f>
        <v>0</v>
      </c>
      <c r="D54" s="21">
        <f t="shared" si="3"/>
        <v>0</v>
      </c>
      <c r="E54" s="21">
        <f t="shared" si="3"/>
        <v>0</v>
      </c>
      <c r="F54" s="21">
        <f t="shared" si="3"/>
        <v>0</v>
      </c>
      <c r="G54" s="21">
        <f t="shared" si="3"/>
        <v>1354.5905681344088</v>
      </c>
      <c r="H54" s="21">
        <f t="shared" si="3"/>
        <v>0</v>
      </c>
      <c r="I54" s="21">
        <f t="shared" si="3"/>
        <v>0</v>
      </c>
      <c r="J54" s="21">
        <f t="shared" si="3"/>
        <v>0</v>
      </c>
      <c r="K54" s="21">
        <f t="shared" si="3"/>
        <v>0</v>
      </c>
      <c r="L54" s="21">
        <f t="shared" si="3"/>
        <v>0</v>
      </c>
      <c r="M54" s="21">
        <f t="shared" si="3"/>
        <v>78.006803681617725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0.13731034117014371</v>
      </c>
      <c r="C56" s="56">
        <f ca="1">'EF ele_warmte'!B22</f>
        <v>0.11553351573187415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1.9799781019116738</v>
      </c>
      <c r="C58" s="23">
        <f t="shared" ref="C58:P58" ca="1" si="4">C54*C56</f>
        <v>0</v>
      </c>
      <c r="D58" s="23">
        <f t="shared" si="4"/>
        <v>0</v>
      </c>
      <c r="E58" s="23">
        <f t="shared" si="4"/>
        <v>0</v>
      </c>
      <c r="F58" s="23">
        <f t="shared" si="4"/>
        <v>0</v>
      </c>
      <c r="G58" s="23">
        <f t="shared" si="4"/>
        <v>361.67568169188718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14296.319439613448</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5027.0025353481487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3006</v>
      </c>
      <c r="C8" s="534">
        <f>B49</f>
        <v>822.43502051983614</v>
      </c>
      <c r="D8" s="962"/>
      <c r="E8" s="962">
        <f>E49</f>
        <v>678.50889192886461</v>
      </c>
      <c r="F8" s="963"/>
      <c r="G8" s="535"/>
      <c r="H8" s="962">
        <f>I49</f>
        <v>0</v>
      </c>
      <c r="I8" s="962">
        <f>G49+F49</f>
        <v>2035.5266757865938</v>
      </c>
      <c r="J8" s="962">
        <f>H49+D49+C49</f>
        <v>0</v>
      </c>
      <c r="K8" s="962"/>
      <c r="L8" s="962"/>
      <c r="M8" s="962"/>
      <c r="N8" s="536"/>
      <c r="O8" s="537">
        <f>C8*$C$12+D8*$D$12+E8*$E$12+F8*$F$12+G8*$G$12+H8*$H$12+I8*$I$12+J8*$J$12</f>
        <v>347.29374829001381</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22329.321974961596</v>
      </c>
      <c r="C10" s="547">
        <f t="shared" ref="C10:L10" si="0">SUM(C8:C9)</f>
        <v>822.43502051983614</v>
      </c>
      <c r="D10" s="547">
        <f t="shared" si="0"/>
        <v>0</v>
      </c>
      <c r="E10" s="547">
        <f t="shared" si="0"/>
        <v>678.50889192886461</v>
      </c>
      <c r="F10" s="547">
        <f t="shared" si="0"/>
        <v>0</v>
      </c>
      <c r="G10" s="547">
        <f t="shared" si="0"/>
        <v>0</v>
      </c>
      <c r="H10" s="547">
        <f t="shared" si="0"/>
        <v>0</v>
      </c>
      <c r="I10" s="547">
        <f t="shared" si="0"/>
        <v>2035.5266757865938</v>
      </c>
      <c r="J10" s="547">
        <f t="shared" si="0"/>
        <v>0</v>
      </c>
      <c r="K10" s="547">
        <f t="shared" si="0"/>
        <v>0</v>
      </c>
      <c r="L10" s="547">
        <f t="shared" si="0"/>
        <v>0</v>
      </c>
      <c r="M10" s="965"/>
      <c r="N10" s="965"/>
      <c r="O10" s="548">
        <f>SUM(O4:O9)</f>
        <v>347.29374829001381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3573</v>
      </c>
      <c r="C17" s="559">
        <f>B50</f>
        <v>977.56497948016431</v>
      </c>
      <c r="D17" s="560"/>
      <c r="E17" s="560">
        <f>E50</f>
        <v>806.49110807113539</v>
      </c>
      <c r="F17" s="968"/>
      <c r="G17" s="561"/>
      <c r="H17" s="559">
        <f>I50</f>
        <v>0</v>
      </c>
      <c r="I17" s="560">
        <f>G50+F50</f>
        <v>2419.4733242134062</v>
      </c>
      <c r="J17" s="560">
        <f>H50+D50+C50</f>
        <v>0</v>
      </c>
      <c r="K17" s="560"/>
      <c r="L17" s="560"/>
      <c r="M17" s="560"/>
      <c r="N17" s="969"/>
      <c r="O17" s="562">
        <f>C17*$C$22+E17*$E$22+H17*$H$22+I17*$I$22+J17*$J$22+D17*$D$22+F17*$F$22+G17*$G$22+K17*$K$22+L17*$L$22</f>
        <v>412.80125170998633</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3573</v>
      </c>
      <c r="C20" s="546">
        <f>SUM(C17:C19)</f>
        <v>977.56497948016431</v>
      </c>
      <c r="D20" s="546">
        <f t="shared" ref="D20:L20" si="1">SUM(D17:D19)</f>
        <v>0</v>
      </c>
      <c r="E20" s="546">
        <f t="shared" si="1"/>
        <v>806.49110807113539</v>
      </c>
      <c r="F20" s="546">
        <f t="shared" si="1"/>
        <v>0</v>
      </c>
      <c r="G20" s="546">
        <f t="shared" si="1"/>
        <v>0</v>
      </c>
      <c r="H20" s="546">
        <f t="shared" si="1"/>
        <v>0</v>
      </c>
      <c r="I20" s="546">
        <f t="shared" si="1"/>
        <v>2419.4733242134062</v>
      </c>
      <c r="J20" s="546">
        <f t="shared" si="1"/>
        <v>0</v>
      </c>
      <c r="K20" s="546">
        <f t="shared" si="1"/>
        <v>0</v>
      </c>
      <c r="L20" s="546">
        <f t="shared" si="1"/>
        <v>0</v>
      </c>
      <c r="M20" s="546"/>
      <c r="N20" s="546"/>
      <c r="O20" s="565">
        <f>SUM(O17:O19)</f>
        <v>412.80125170998633</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38.25" hidden="1">
      <c r="A28" s="569"/>
      <c r="B28" s="724">
        <v>46013</v>
      </c>
      <c r="C28" s="724">
        <v>9150</v>
      </c>
      <c r="D28" s="617"/>
      <c r="E28" s="616"/>
      <c r="F28" s="616"/>
      <c r="G28" s="616" t="s">
        <v>878</v>
      </c>
      <c r="H28" s="616" t="s">
        <v>879</v>
      </c>
      <c r="I28" s="616"/>
      <c r="J28" s="723"/>
      <c r="K28" s="723"/>
      <c r="L28" s="616" t="s">
        <v>880</v>
      </c>
      <c r="M28" s="616">
        <v>528</v>
      </c>
      <c r="N28" s="616">
        <v>2376</v>
      </c>
      <c r="O28" s="616">
        <v>2673</v>
      </c>
      <c r="P28" s="616">
        <v>0</v>
      </c>
      <c r="Q28" s="616">
        <v>0</v>
      </c>
      <c r="R28" s="616">
        <v>0</v>
      </c>
      <c r="S28" s="616">
        <v>1485</v>
      </c>
      <c r="T28" s="616">
        <v>4455</v>
      </c>
      <c r="U28" s="616">
        <v>0</v>
      </c>
      <c r="V28" s="616">
        <v>0</v>
      </c>
      <c r="W28" s="616">
        <v>0</v>
      </c>
      <c r="X28" s="616"/>
      <c r="Y28" s="616">
        <v>10</v>
      </c>
      <c r="Z28" s="616" t="s">
        <v>105</v>
      </c>
      <c r="AA28" s="618" t="s">
        <v>105</v>
      </c>
    </row>
    <row r="29" spans="1:27" s="570" customFormat="1" ht="25.5" hidden="1">
      <c r="A29" s="569"/>
      <c r="B29" s="724">
        <v>46013</v>
      </c>
      <c r="C29" s="724">
        <v>9150</v>
      </c>
      <c r="D29" s="617"/>
      <c r="E29" s="616"/>
      <c r="F29" s="616"/>
      <c r="G29" s="616" t="s">
        <v>878</v>
      </c>
      <c r="H29" s="616" t="s">
        <v>881</v>
      </c>
      <c r="I29" s="616"/>
      <c r="J29" s="723"/>
      <c r="K29" s="723"/>
      <c r="L29" s="616" t="s">
        <v>882</v>
      </c>
      <c r="M29" s="616">
        <v>140</v>
      </c>
      <c r="N29" s="616">
        <v>630.00000000000011</v>
      </c>
      <c r="O29" s="616">
        <v>900.00000000000023</v>
      </c>
      <c r="P29" s="616">
        <v>1800.0000000000005</v>
      </c>
      <c r="Q29" s="616">
        <v>0</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668</v>
      </c>
      <c r="N30" s="574">
        <f>SUM(N28:N29)</f>
        <v>3006</v>
      </c>
      <c r="O30" s="574">
        <f>SUM(O28:O29)</f>
        <v>3573</v>
      </c>
      <c r="P30" s="574">
        <f>SUM(P28:P29)</f>
        <v>1800.0000000000005</v>
      </c>
      <c r="Q30" s="574">
        <f>SUM(Q28:Q29)</f>
        <v>0</v>
      </c>
      <c r="R30" s="574">
        <f>SUM(R28:R29)</f>
        <v>0</v>
      </c>
      <c r="S30" s="574">
        <f>SUM(S28:S29)</f>
        <v>1485</v>
      </c>
      <c r="T30" s="574">
        <f>SUM(T28:T29)</f>
        <v>4455</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668</v>
      </c>
      <c r="N33" s="579">
        <f>SUMIF($AA$28:$AA$29,"landbouw",N28:N29)</f>
        <v>3006</v>
      </c>
      <c r="O33" s="579">
        <f>SUMIF($AA$28:$AA$29,"landbouw",O28:O29)</f>
        <v>3573</v>
      </c>
      <c r="P33" s="579">
        <f>SUMIF($AA$28:$AA$29,"landbouw",P28:P29)</f>
        <v>1800.0000000000005</v>
      </c>
      <c r="Q33" s="579">
        <f>SUMIF($AA$28:$AA$29,"landbouw",Q28:Q29)</f>
        <v>0</v>
      </c>
      <c r="R33" s="579">
        <f>SUMIF($AA$28:$AA$29,"landbouw",R28:R29)</f>
        <v>0</v>
      </c>
      <c r="S33" s="579">
        <f>SUMIF($AA$28:$AA$29,"landbouw",S28:S29)</f>
        <v>1485</v>
      </c>
      <c r="T33" s="579">
        <f>SUMIF($AA$28:$AA$29,"landbouw",T28:T29)</f>
        <v>4455</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0.54309165526675784</v>
      </c>
      <c r="C46" s="599">
        <f>IF(ISERROR(N30/(O30+N30)),0,N30/(N30+O30))</f>
        <v>0.45690834473324216</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822.43502051983614</v>
      </c>
      <c r="C49" s="608">
        <f t="shared" si="2"/>
        <v>0</v>
      </c>
      <c r="D49" s="608">
        <f t="shared" si="2"/>
        <v>0</v>
      </c>
      <c r="E49" s="608">
        <f t="shared" si="2"/>
        <v>678.50889192886461</v>
      </c>
      <c r="F49" s="608">
        <f t="shared" si="2"/>
        <v>2035.5266757865938</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977.56497948016431</v>
      </c>
      <c r="C50" s="611">
        <f t="shared" si="3"/>
        <v>0</v>
      </c>
      <c r="D50" s="611">
        <f t="shared" si="3"/>
        <v>0</v>
      </c>
      <c r="E50" s="611">
        <f t="shared" si="3"/>
        <v>806.49110807113539</v>
      </c>
      <c r="F50" s="611">
        <f t="shared" si="3"/>
        <v>2419.4733242134062</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14468.094493600858</v>
      </c>
      <c r="D10" s="931">
        <f ca="1">tertiair!C16</f>
        <v>0</v>
      </c>
      <c r="E10" s="931">
        <f ca="1">tertiair!D16</f>
        <v>16624.920475661394</v>
      </c>
      <c r="F10" s="931">
        <f>tertiair!E16</f>
        <v>216.10548159881438</v>
      </c>
      <c r="G10" s="931">
        <f ca="1">tertiair!F16</f>
        <v>2429.5487545953993</v>
      </c>
      <c r="H10" s="931">
        <f>tertiair!G16</f>
        <v>0</v>
      </c>
      <c r="I10" s="931">
        <f>tertiair!H16</f>
        <v>0</v>
      </c>
      <c r="J10" s="931">
        <f>tertiair!I16</f>
        <v>0</v>
      </c>
      <c r="K10" s="931">
        <f>tertiair!J16</f>
        <v>2.0786401950012912E-2</v>
      </c>
      <c r="L10" s="931">
        <f>tertiair!K16</f>
        <v>0</v>
      </c>
      <c r="M10" s="931">
        <f ca="1">tertiair!L16</f>
        <v>0</v>
      </c>
      <c r="N10" s="931">
        <f>tertiair!M16</f>
        <v>0</v>
      </c>
      <c r="O10" s="931">
        <f ca="1">tertiair!N16</f>
        <v>837.75201734624295</v>
      </c>
      <c r="P10" s="931">
        <f>tertiair!O16</f>
        <v>3.1266666666666669</v>
      </c>
      <c r="Q10" s="932">
        <f>tertiair!P16</f>
        <v>0</v>
      </c>
      <c r="R10" s="628">
        <f ca="1">SUM(C10:Q10)</f>
        <v>34579.568675871313</v>
      </c>
      <c r="S10" s="67"/>
    </row>
    <row r="11" spans="1:19" s="437" customFormat="1">
      <c r="A11" s="736" t="s">
        <v>213</v>
      </c>
      <c r="B11" s="741"/>
      <c r="C11" s="931">
        <f>huishoudens!B8</f>
        <v>29643.254227233276</v>
      </c>
      <c r="D11" s="931">
        <f>huishoudens!C8</f>
        <v>0</v>
      </c>
      <c r="E11" s="931">
        <f>huishoudens!D8</f>
        <v>76876.718322333094</v>
      </c>
      <c r="F11" s="931">
        <f>huishoudens!E8</f>
        <v>942.01091728574283</v>
      </c>
      <c r="G11" s="931">
        <f>huishoudens!F8</f>
        <v>21835.0801629286</v>
      </c>
      <c r="H11" s="931">
        <f>huishoudens!G8</f>
        <v>0</v>
      </c>
      <c r="I11" s="931">
        <f>huishoudens!H8</f>
        <v>0</v>
      </c>
      <c r="J11" s="931">
        <f>huishoudens!I8</f>
        <v>0</v>
      </c>
      <c r="K11" s="931">
        <f>huishoudens!J8</f>
        <v>112.21307840488147</v>
      </c>
      <c r="L11" s="931">
        <f>huishoudens!K8</f>
        <v>0</v>
      </c>
      <c r="M11" s="931">
        <f>huishoudens!L8</f>
        <v>0</v>
      </c>
      <c r="N11" s="931">
        <f>huishoudens!M8</f>
        <v>0</v>
      </c>
      <c r="O11" s="931">
        <f>huishoudens!N8</f>
        <v>8659.1829820541152</v>
      </c>
      <c r="P11" s="931">
        <f>huishoudens!O8</f>
        <v>284.52666666666664</v>
      </c>
      <c r="Q11" s="932">
        <f>huishoudens!P8</f>
        <v>629.20000000000005</v>
      </c>
      <c r="R11" s="628">
        <f>SUM(C11:Q11)</f>
        <v>138982.1863569064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6881.0790063842342</v>
      </c>
      <c r="D13" s="931">
        <f>industrie!C18</f>
        <v>0</v>
      </c>
      <c r="E13" s="931">
        <f>industrie!D18</f>
        <v>7452.3604764610973</v>
      </c>
      <c r="F13" s="931">
        <f>industrie!E18</f>
        <v>260.56282248879836</v>
      </c>
      <c r="G13" s="931">
        <f>industrie!F18</f>
        <v>1661.4229797183618</v>
      </c>
      <c r="H13" s="931">
        <f>industrie!G18</f>
        <v>0</v>
      </c>
      <c r="I13" s="931">
        <f>industrie!H18</f>
        <v>0</v>
      </c>
      <c r="J13" s="931">
        <f>industrie!I18</f>
        <v>0</v>
      </c>
      <c r="K13" s="931">
        <f>industrie!J18</f>
        <v>16.191354145417261</v>
      </c>
      <c r="L13" s="931">
        <f>industrie!K18</f>
        <v>0</v>
      </c>
      <c r="M13" s="931">
        <f>industrie!L18</f>
        <v>0</v>
      </c>
      <c r="N13" s="931">
        <f>industrie!M18</f>
        <v>0</v>
      </c>
      <c r="O13" s="931">
        <f>industrie!N18</f>
        <v>197.07168259376115</v>
      </c>
      <c r="P13" s="931">
        <f>industrie!O18</f>
        <v>0</v>
      </c>
      <c r="Q13" s="932">
        <f>industrie!P18</f>
        <v>0</v>
      </c>
      <c r="R13" s="628">
        <f>SUM(C13:Q13)</f>
        <v>16468.688321791669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50992.427727218368</v>
      </c>
      <c r="D16" s="660">
        <f t="shared" ref="D16:R16" ca="1" si="0">SUM(D9:D15)</f>
        <v>0</v>
      </c>
      <c r="E16" s="660">
        <f t="shared" ca="1" si="0"/>
        <v>100953.99927445558</v>
      </c>
      <c r="F16" s="660">
        <f t="shared" si="0"/>
        <v>1418.6792213733556</v>
      </c>
      <c r="G16" s="660">
        <f t="shared" ca="1" si="0"/>
        <v>25926.05189724236</v>
      </c>
      <c r="H16" s="660">
        <f t="shared" si="0"/>
        <v>0</v>
      </c>
      <c r="I16" s="660">
        <f t="shared" si="0"/>
        <v>0</v>
      </c>
      <c r="J16" s="660">
        <f t="shared" si="0"/>
        <v>0</v>
      </c>
      <c r="K16" s="660">
        <f t="shared" si="0"/>
        <v>128.42521895224874</v>
      </c>
      <c r="L16" s="660">
        <f t="shared" si="0"/>
        <v>0</v>
      </c>
      <c r="M16" s="660">
        <f t="shared" ca="1" si="0"/>
        <v>0</v>
      </c>
      <c r="N16" s="660">
        <f t="shared" si="0"/>
        <v>0</v>
      </c>
      <c r="O16" s="660">
        <f t="shared" ca="1" si="0"/>
        <v>9694.0066819941203</v>
      </c>
      <c r="P16" s="660">
        <f t="shared" si="0"/>
        <v>287.65333333333331</v>
      </c>
      <c r="Q16" s="660">
        <f t="shared" si="0"/>
        <v>629.20000000000005</v>
      </c>
      <c r="R16" s="660">
        <f t="shared" ca="1" si="0"/>
        <v>190030.4433545694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14.419730408056065</v>
      </c>
      <c r="D19" s="931">
        <f>transport!C54</f>
        <v>0</v>
      </c>
      <c r="E19" s="931">
        <f>transport!D54</f>
        <v>0</v>
      </c>
      <c r="F19" s="931">
        <f>transport!E54</f>
        <v>0</v>
      </c>
      <c r="G19" s="931">
        <f>transport!F54</f>
        <v>0</v>
      </c>
      <c r="H19" s="931">
        <f>transport!G54</f>
        <v>1354.5905681344088</v>
      </c>
      <c r="I19" s="931">
        <f>transport!H54</f>
        <v>0</v>
      </c>
      <c r="J19" s="931">
        <f>transport!I54</f>
        <v>0</v>
      </c>
      <c r="K19" s="931">
        <f>transport!J54</f>
        <v>0</v>
      </c>
      <c r="L19" s="931">
        <f>transport!K54</f>
        <v>0</v>
      </c>
      <c r="M19" s="931">
        <f>transport!L54</f>
        <v>0</v>
      </c>
      <c r="N19" s="931">
        <f>transport!M54</f>
        <v>78.006803681617725</v>
      </c>
      <c r="O19" s="931">
        <f>transport!N54</f>
        <v>0</v>
      </c>
      <c r="P19" s="931">
        <f>transport!O54</f>
        <v>0</v>
      </c>
      <c r="Q19" s="932">
        <f>transport!P54</f>
        <v>0</v>
      </c>
      <c r="R19" s="628">
        <f>SUM(C19:Q19)</f>
        <v>1447.0171022240825</v>
      </c>
      <c r="S19" s="67"/>
    </row>
    <row r="20" spans="1:19" s="437" customFormat="1">
      <c r="A20" s="736" t="s">
        <v>295</v>
      </c>
      <c r="B20" s="741"/>
      <c r="C20" s="931">
        <f>transport!B14</f>
        <v>81.115147197088248</v>
      </c>
      <c r="D20" s="931">
        <f>transport!C14</f>
        <v>0</v>
      </c>
      <c r="E20" s="931">
        <f>transport!D14</f>
        <v>122.5428574437239</v>
      </c>
      <c r="F20" s="931">
        <f>transport!E14</f>
        <v>239.42036443682679</v>
      </c>
      <c r="G20" s="931">
        <f>transport!F14</f>
        <v>0</v>
      </c>
      <c r="H20" s="931">
        <f>transport!G14</f>
        <v>136120.3151380707</v>
      </c>
      <c r="I20" s="931">
        <f>transport!H14</f>
        <v>21732.832713749354</v>
      </c>
      <c r="J20" s="931">
        <f>transport!I14</f>
        <v>0</v>
      </c>
      <c r="K20" s="931">
        <f>transport!J14</f>
        <v>0</v>
      </c>
      <c r="L20" s="931">
        <f>transport!K14</f>
        <v>0</v>
      </c>
      <c r="M20" s="931">
        <f>transport!L14</f>
        <v>0</v>
      </c>
      <c r="N20" s="931">
        <f>transport!M14</f>
        <v>8592.6970388440805</v>
      </c>
      <c r="O20" s="931">
        <f>transport!N14</f>
        <v>0</v>
      </c>
      <c r="P20" s="931">
        <f>transport!O14</f>
        <v>0</v>
      </c>
      <c r="Q20" s="932">
        <f>transport!P14</f>
        <v>0</v>
      </c>
      <c r="R20" s="628">
        <f>SUM(C20:Q20)</f>
        <v>166888.92325974177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95.534877605144317</v>
      </c>
      <c r="D22" s="739">
        <f t="shared" ref="D22:R22" si="1">SUM(D18:D21)</f>
        <v>0</v>
      </c>
      <c r="E22" s="739">
        <f t="shared" si="1"/>
        <v>122.5428574437239</v>
      </c>
      <c r="F22" s="739">
        <f t="shared" si="1"/>
        <v>239.42036443682679</v>
      </c>
      <c r="G22" s="739">
        <f t="shared" si="1"/>
        <v>0</v>
      </c>
      <c r="H22" s="739">
        <f t="shared" si="1"/>
        <v>137474.90570620511</v>
      </c>
      <c r="I22" s="739">
        <f t="shared" si="1"/>
        <v>21732.832713749354</v>
      </c>
      <c r="J22" s="739">
        <f t="shared" si="1"/>
        <v>0</v>
      </c>
      <c r="K22" s="739">
        <f t="shared" si="1"/>
        <v>0</v>
      </c>
      <c r="L22" s="739">
        <f t="shared" si="1"/>
        <v>0</v>
      </c>
      <c r="M22" s="739">
        <f t="shared" si="1"/>
        <v>0</v>
      </c>
      <c r="N22" s="739">
        <f t="shared" si="1"/>
        <v>8670.7038425256978</v>
      </c>
      <c r="O22" s="739">
        <f t="shared" si="1"/>
        <v>0</v>
      </c>
      <c r="P22" s="739">
        <f t="shared" si="1"/>
        <v>0</v>
      </c>
      <c r="Q22" s="739">
        <f t="shared" si="1"/>
        <v>0</v>
      </c>
      <c r="R22" s="739">
        <f t="shared" si="1"/>
        <v>168335.94036196586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2145.3118775164421</v>
      </c>
      <c r="D24" s="931">
        <f>+landbouw!C8</f>
        <v>3573</v>
      </c>
      <c r="E24" s="931">
        <f>+landbouw!D8</f>
        <v>0</v>
      </c>
      <c r="F24" s="931">
        <f>+landbouw!E8</f>
        <v>69.622422632839402</v>
      </c>
      <c r="G24" s="931">
        <f>+landbouw!F8</f>
        <v>6429.4718073727008</v>
      </c>
      <c r="H24" s="931">
        <f>+landbouw!G8</f>
        <v>0</v>
      </c>
      <c r="I24" s="931">
        <f>+landbouw!H8</f>
        <v>0</v>
      </c>
      <c r="J24" s="931">
        <f>+landbouw!I8</f>
        <v>0</v>
      </c>
      <c r="K24" s="931">
        <f>+landbouw!J8</f>
        <v>564.19484410586244</v>
      </c>
      <c r="L24" s="931">
        <f>+landbouw!K8</f>
        <v>0</v>
      </c>
      <c r="M24" s="931">
        <f>+landbouw!L8</f>
        <v>0</v>
      </c>
      <c r="N24" s="931">
        <f>+landbouw!M8</f>
        <v>0</v>
      </c>
      <c r="O24" s="931">
        <f>+landbouw!N8</f>
        <v>0</v>
      </c>
      <c r="P24" s="931">
        <f>+landbouw!O8</f>
        <v>0</v>
      </c>
      <c r="Q24" s="932">
        <f>+landbouw!P8</f>
        <v>0</v>
      </c>
      <c r="R24" s="628">
        <f>SUM(C24:Q24)</f>
        <v>12781.600951627846</v>
      </c>
      <c r="S24" s="67"/>
    </row>
    <row r="25" spans="1:19" s="437" customFormat="1" ht="15" thickBot="1">
      <c r="A25" s="758" t="s">
        <v>775</v>
      </c>
      <c r="B25" s="934"/>
      <c r="C25" s="935">
        <f>IF(Onbekend_ele_kWh="---",0,Onbekend_ele_kWh)/1000+IF(REST_rest_ele_kWh="---",0,REST_rest_ele_kWh)/1000</f>
        <v>1582.1767014556899</v>
      </c>
      <c r="D25" s="935"/>
      <c r="E25" s="935">
        <f>IF(onbekend_gas_kWh="---",0,onbekend_gas_kWh)/1000+IF(REST_rest_gas_kWh="---",0,REST_rest_gas_kWh)/1000</f>
        <v>2168.1548954820696</v>
      </c>
      <c r="F25" s="935"/>
      <c r="G25" s="935"/>
      <c r="H25" s="935"/>
      <c r="I25" s="935"/>
      <c r="J25" s="935"/>
      <c r="K25" s="935"/>
      <c r="L25" s="935"/>
      <c r="M25" s="935"/>
      <c r="N25" s="935"/>
      <c r="O25" s="935"/>
      <c r="P25" s="935"/>
      <c r="Q25" s="936"/>
      <c r="R25" s="628">
        <f>SUM(C25:Q25)</f>
        <v>3750.3315969377595</v>
      </c>
      <c r="S25" s="67"/>
    </row>
    <row r="26" spans="1:19" s="437" customFormat="1" ht="15.75" thickBot="1">
      <c r="A26" s="633" t="s">
        <v>776</v>
      </c>
      <c r="B26" s="744"/>
      <c r="C26" s="739">
        <f>SUM(C24:C25)</f>
        <v>3727.488578972132</v>
      </c>
      <c r="D26" s="739">
        <f t="shared" ref="D26:R26" si="2">SUM(D24:D25)</f>
        <v>3573</v>
      </c>
      <c r="E26" s="739">
        <f t="shared" si="2"/>
        <v>2168.1548954820696</v>
      </c>
      <c r="F26" s="739">
        <f t="shared" si="2"/>
        <v>69.622422632839402</v>
      </c>
      <c r="G26" s="739">
        <f t="shared" si="2"/>
        <v>6429.4718073727008</v>
      </c>
      <c r="H26" s="739">
        <f t="shared" si="2"/>
        <v>0</v>
      </c>
      <c r="I26" s="739">
        <f t="shared" si="2"/>
        <v>0</v>
      </c>
      <c r="J26" s="739">
        <f t="shared" si="2"/>
        <v>0</v>
      </c>
      <c r="K26" s="739">
        <f t="shared" si="2"/>
        <v>564.19484410586244</v>
      </c>
      <c r="L26" s="739">
        <f t="shared" si="2"/>
        <v>0</v>
      </c>
      <c r="M26" s="739">
        <f t="shared" si="2"/>
        <v>0</v>
      </c>
      <c r="N26" s="739">
        <f t="shared" si="2"/>
        <v>0</v>
      </c>
      <c r="O26" s="739">
        <f t="shared" si="2"/>
        <v>0</v>
      </c>
      <c r="P26" s="739">
        <f t="shared" si="2"/>
        <v>0</v>
      </c>
      <c r="Q26" s="739">
        <f t="shared" si="2"/>
        <v>0</v>
      </c>
      <c r="R26" s="739">
        <f t="shared" si="2"/>
        <v>16531.932548565605</v>
      </c>
      <c r="S26" s="67"/>
    </row>
    <row r="27" spans="1:19" s="437" customFormat="1" ht="17.25" thickTop="1" thickBot="1">
      <c r="A27" s="634" t="s">
        <v>109</v>
      </c>
      <c r="B27" s="732"/>
      <c r="C27" s="635">
        <f ca="1">C22+C16+C26</f>
        <v>54815.451183795645</v>
      </c>
      <c r="D27" s="635">
        <f t="shared" ref="D27:R27" ca="1" si="3">D22+D16+D26</f>
        <v>3573</v>
      </c>
      <c r="E27" s="635">
        <f t="shared" ca="1" si="3"/>
        <v>103244.69702738138</v>
      </c>
      <c r="F27" s="635">
        <f t="shared" si="3"/>
        <v>1727.7220084430219</v>
      </c>
      <c r="G27" s="635">
        <f t="shared" ca="1" si="3"/>
        <v>32355.523704615061</v>
      </c>
      <c r="H27" s="635">
        <f t="shared" si="3"/>
        <v>137474.90570620511</v>
      </c>
      <c r="I27" s="635">
        <f t="shared" si="3"/>
        <v>21732.832713749354</v>
      </c>
      <c r="J27" s="635">
        <f t="shared" si="3"/>
        <v>0</v>
      </c>
      <c r="K27" s="635">
        <f t="shared" si="3"/>
        <v>692.62006305811121</v>
      </c>
      <c r="L27" s="635">
        <f t="shared" si="3"/>
        <v>0</v>
      </c>
      <c r="M27" s="635">
        <f t="shared" ca="1" si="3"/>
        <v>0</v>
      </c>
      <c r="N27" s="635">
        <f t="shared" si="3"/>
        <v>8670.7038425256978</v>
      </c>
      <c r="O27" s="635">
        <f t="shared" ca="1" si="3"/>
        <v>9694.0066819941203</v>
      </c>
      <c r="P27" s="635">
        <f t="shared" si="3"/>
        <v>287.65333333333331</v>
      </c>
      <c r="Q27" s="635">
        <f t="shared" si="3"/>
        <v>629.20000000000005</v>
      </c>
      <c r="R27" s="635">
        <f t="shared" ca="1" si="3"/>
        <v>374898.3162651009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1986.6189909982115</v>
      </c>
      <c r="D40" s="931">
        <f ca="1">tertiair!C20</f>
        <v>0</v>
      </c>
      <c r="E40" s="931">
        <f ca="1">tertiair!D20</f>
        <v>3358.2339360836017</v>
      </c>
      <c r="F40" s="931">
        <f>tertiair!E20</f>
        <v>49.055944322930863</v>
      </c>
      <c r="G40" s="931">
        <f ca="1">tertiair!F20</f>
        <v>648.68951747697167</v>
      </c>
      <c r="H40" s="931">
        <f>tertiair!G20</f>
        <v>0</v>
      </c>
      <c r="I40" s="931">
        <f>tertiair!H20</f>
        <v>0</v>
      </c>
      <c r="J40" s="931">
        <f>tertiair!I20</f>
        <v>0</v>
      </c>
      <c r="K40" s="931">
        <f>tertiair!J20</f>
        <v>7.3583862903045701E-3</v>
      </c>
      <c r="L40" s="931">
        <f>tertiair!K20</f>
        <v>0</v>
      </c>
      <c r="M40" s="931">
        <f ca="1">tertiair!L20</f>
        <v>0</v>
      </c>
      <c r="N40" s="931">
        <f>tertiair!M20</f>
        <v>0</v>
      </c>
      <c r="O40" s="931">
        <f ca="1">tertiair!N20</f>
        <v>0</v>
      </c>
      <c r="P40" s="931">
        <f>tertiair!O20</f>
        <v>0</v>
      </c>
      <c r="Q40" s="702">
        <f>tertiair!P20</f>
        <v>0</v>
      </c>
      <c r="R40" s="777">
        <f t="shared" ca="1" si="4"/>
        <v>6042.6057472680068</v>
      </c>
    </row>
    <row r="41" spans="1:18">
      <c r="A41" s="749" t="s">
        <v>213</v>
      </c>
      <c r="B41" s="756"/>
      <c r="C41" s="931">
        <f ca="1">huishoudens!B12</f>
        <v>4070.3253513347058</v>
      </c>
      <c r="D41" s="931">
        <f ca="1">huishoudens!C12</f>
        <v>0</v>
      </c>
      <c r="E41" s="931">
        <f>huishoudens!D12</f>
        <v>15529.097101111285</v>
      </c>
      <c r="F41" s="931">
        <f>huishoudens!E12</f>
        <v>213.83647822386362</v>
      </c>
      <c r="G41" s="931">
        <f>huishoudens!F12</f>
        <v>5829.9664035019368</v>
      </c>
      <c r="H41" s="931">
        <f>huishoudens!G12</f>
        <v>0</v>
      </c>
      <c r="I41" s="931">
        <f>huishoudens!H12</f>
        <v>0</v>
      </c>
      <c r="J41" s="931">
        <f>huishoudens!I12</f>
        <v>0</v>
      </c>
      <c r="K41" s="931">
        <f>huishoudens!J12</f>
        <v>39.723429755328041</v>
      </c>
      <c r="L41" s="931">
        <f>huishoudens!K12</f>
        <v>0</v>
      </c>
      <c r="M41" s="931">
        <f>huishoudens!L12</f>
        <v>0</v>
      </c>
      <c r="N41" s="931">
        <f>huishoudens!M12</f>
        <v>0</v>
      </c>
      <c r="O41" s="931">
        <f>huishoudens!N12</f>
        <v>0</v>
      </c>
      <c r="P41" s="931">
        <f>huishoudens!O12</f>
        <v>0</v>
      </c>
      <c r="Q41" s="702">
        <f>huishoudens!P12</f>
        <v>0</v>
      </c>
      <c r="R41" s="777">
        <f t="shared" ca="1" si="4"/>
        <v>25682.948763927121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944.84330598533268</v>
      </c>
      <c r="D43" s="931">
        <f ca="1">industrie!C22</f>
        <v>0</v>
      </c>
      <c r="E43" s="931">
        <f>industrie!D22</f>
        <v>1505.3768162451418</v>
      </c>
      <c r="F43" s="931">
        <f>industrie!E22</f>
        <v>59.147760704957228</v>
      </c>
      <c r="G43" s="931">
        <f>industrie!F22</f>
        <v>443.59993558480261</v>
      </c>
      <c r="H43" s="931">
        <f>industrie!G22</f>
        <v>0</v>
      </c>
      <c r="I43" s="931">
        <f>industrie!H22</f>
        <v>0</v>
      </c>
      <c r="J43" s="931">
        <f>industrie!I22</f>
        <v>0</v>
      </c>
      <c r="K43" s="931">
        <f>industrie!J22</f>
        <v>5.7317393674777097</v>
      </c>
      <c r="L43" s="931">
        <f>industrie!K22</f>
        <v>0</v>
      </c>
      <c r="M43" s="931">
        <f>industrie!L22</f>
        <v>0</v>
      </c>
      <c r="N43" s="931">
        <f>industrie!M22</f>
        <v>0</v>
      </c>
      <c r="O43" s="931">
        <f>industrie!N22</f>
        <v>0</v>
      </c>
      <c r="P43" s="931">
        <f>industrie!O22</f>
        <v>0</v>
      </c>
      <c r="Q43" s="702">
        <f>industrie!P22</f>
        <v>0</v>
      </c>
      <c r="R43" s="776">
        <f t="shared" ca="1" si="4"/>
        <v>2958.6995578877118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7001.7876483182499</v>
      </c>
      <c r="D46" s="660">
        <f t="shared" ref="D46:Q46" ca="1" si="5">SUM(D39:D45)</f>
        <v>0</v>
      </c>
      <c r="E46" s="660">
        <f t="shared" ca="1" si="5"/>
        <v>20392.707853440028</v>
      </c>
      <c r="F46" s="660">
        <f t="shared" si="5"/>
        <v>322.04018325175173</v>
      </c>
      <c r="G46" s="660">
        <f t="shared" ca="1" si="5"/>
        <v>6922.2558565637109</v>
      </c>
      <c r="H46" s="660">
        <f t="shared" si="5"/>
        <v>0</v>
      </c>
      <c r="I46" s="660">
        <f t="shared" si="5"/>
        <v>0</v>
      </c>
      <c r="J46" s="660">
        <f t="shared" si="5"/>
        <v>0</v>
      </c>
      <c r="K46" s="660">
        <f t="shared" si="5"/>
        <v>45.462527509096056</v>
      </c>
      <c r="L46" s="660">
        <f t="shared" si="5"/>
        <v>0</v>
      </c>
      <c r="M46" s="660">
        <f t="shared" ca="1" si="5"/>
        <v>0</v>
      </c>
      <c r="N46" s="660">
        <f t="shared" si="5"/>
        <v>0</v>
      </c>
      <c r="O46" s="660">
        <f t="shared" ca="1" si="5"/>
        <v>0</v>
      </c>
      <c r="P46" s="660">
        <f t="shared" si="5"/>
        <v>0</v>
      </c>
      <c r="Q46" s="660">
        <f t="shared" si="5"/>
        <v>0</v>
      </c>
      <c r="R46" s="660">
        <f ca="1">SUM(R39:R45)</f>
        <v>34684.254069082839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1.9799781019116738</v>
      </c>
      <c r="D49" s="931">
        <f ca="1">transport!C58</f>
        <v>0</v>
      </c>
      <c r="E49" s="931">
        <f>transport!D58</f>
        <v>0</v>
      </c>
      <c r="F49" s="931">
        <f>transport!E58</f>
        <v>0</v>
      </c>
      <c r="G49" s="931">
        <f>transport!F58</f>
        <v>0</v>
      </c>
      <c r="H49" s="931">
        <f>transport!G58</f>
        <v>361.67568169188718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363.65565979379886</v>
      </c>
    </row>
    <row r="50" spans="1:18">
      <c r="A50" s="752" t="s">
        <v>295</v>
      </c>
      <c r="B50" s="762"/>
      <c r="C50" s="631">
        <f ca="1">transport!B18</f>
        <v>11.137948535698614</v>
      </c>
      <c r="D50" s="631">
        <f>transport!C18</f>
        <v>0</v>
      </c>
      <c r="E50" s="631">
        <f>transport!D18</f>
        <v>24.75365720363223</v>
      </c>
      <c r="F50" s="631">
        <f>transport!E18</f>
        <v>54.348422727159679</v>
      </c>
      <c r="G50" s="631">
        <f>transport!F18</f>
        <v>0</v>
      </c>
      <c r="H50" s="631">
        <f>transport!G18</f>
        <v>36344.124141864879</v>
      </c>
      <c r="I50" s="631">
        <f>transport!H18</f>
        <v>5411.4753457235893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41845.839516054955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13.117926637610289</v>
      </c>
      <c r="D52" s="660">
        <f t="shared" ref="D52:Q52" ca="1" si="6">SUM(D48:D51)</f>
        <v>0</v>
      </c>
      <c r="E52" s="660">
        <f t="shared" si="6"/>
        <v>24.75365720363223</v>
      </c>
      <c r="F52" s="660">
        <f t="shared" si="6"/>
        <v>54.348422727159679</v>
      </c>
      <c r="G52" s="660">
        <f t="shared" si="6"/>
        <v>0</v>
      </c>
      <c r="H52" s="660">
        <f t="shared" si="6"/>
        <v>36705.799823556765</v>
      </c>
      <c r="I52" s="660">
        <f t="shared" si="6"/>
        <v>5411.4753457235893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42209.495175848751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294.57350581814421</v>
      </c>
      <c r="D54" s="631">
        <f ca="1">+landbouw!C12</f>
        <v>412.80125170998633</v>
      </c>
      <c r="E54" s="631">
        <f>+landbouw!D12</f>
        <v>0</v>
      </c>
      <c r="F54" s="631">
        <f>+landbouw!E12</f>
        <v>15.804289937654545</v>
      </c>
      <c r="G54" s="631">
        <f>+landbouw!F12</f>
        <v>1716.6689725685112</v>
      </c>
      <c r="H54" s="631">
        <f>+landbouw!G12</f>
        <v>0</v>
      </c>
      <c r="I54" s="631">
        <f>+landbouw!H12</f>
        <v>0</v>
      </c>
      <c r="J54" s="631">
        <f>+landbouw!I12</f>
        <v>0</v>
      </c>
      <c r="K54" s="631">
        <f>+landbouw!J12</f>
        <v>199.72497481347528</v>
      </c>
      <c r="L54" s="631">
        <f>+landbouw!K12</f>
        <v>0</v>
      </c>
      <c r="M54" s="631">
        <f>+landbouw!L12</f>
        <v>0</v>
      </c>
      <c r="N54" s="631">
        <f>+landbouw!M12</f>
        <v>0</v>
      </c>
      <c r="O54" s="631">
        <f>+landbouw!N12</f>
        <v>0</v>
      </c>
      <c r="P54" s="631">
        <f>+landbouw!O12</f>
        <v>0</v>
      </c>
      <c r="Q54" s="632">
        <f>+landbouw!P12</f>
        <v>0</v>
      </c>
      <c r="R54" s="659">
        <f ca="1">SUM(C54:Q54)</f>
        <v>2639.572994847772</v>
      </c>
    </row>
    <row r="55" spans="1:18" ht="15" thickBot="1">
      <c r="A55" s="752" t="s">
        <v>775</v>
      </c>
      <c r="B55" s="762"/>
      <c r="C55" s="631">
        <f ca="1">C25*'EF ele_warmte'!B12</f>
        <v>217.24922266833337</v>
      </c>
      <c r="D55" s="631"/>
      <c r="E55" s="631">
        <f>E25*EF_CO2_aardgas</f>
        <v>437.96728888737806</v>
      </c>
      <c r="F55" s="631"/>
      <c r="G55" s="631"/>
      <c r="H55" s="631"/>
      <c r="I55" s="631"/>
      <c r="J55" s="631"/>
      <c r="K55" s="631"/>
      <c r="L55" s="631"/>
      <c r="M55" s="631"/>
      <c r="N55" s="631"/>
      <c r="O55" s="631"/>
      <c r="P55" s="631"/>
      <c r="Q55" s="632"/>
      <c r="R55" s="659">
        <f ca="1">SUM(C55:Q55)</f>
        <v>655.21651155571146</v>
      </c>
    </row>
    <row r="56" spans="1:18" ht="15.75" thickBot="1">
      <c r="A56" s="750" t="s">
        <v>776</v>
      </c>
      <c r="B56" s="763"/>
      <c r="C56" s="660">
        <f ca="1">SUM(C54:C55)</f>
        <v>511.82272848647756</v>
      </c>
      <c r="D56" s="660">
        <f t="shared" ref="D56:Q56" ca="1" si="7">SUM(D54:D55)</f>
        <v>412.80125170998633</v>
      </c>
      <c r="E56" s="660">
        <f t="shared" si="7"/>
        <v>437.96728888737806</v>
      </c>
      <c r="F56" s="660">
        <f t="shared" si="7"/>
        <v>15.804289937654545</v>
      </c>
      <c r="G56" s="660">
        <f t="shared" si="7"/>
        <v>1716.6689725685112</v>
      </c>
      <c r="H56" s="660">
        <f t="shared" si="7"/>
        <v>0</v>
      </c>
      <c r="I56" s="660">
        <f t="shared" si="7"/>
        <v>0</v>
      </c>
      <c r="J56" s="660">
        <f t="shared" si="7"/>
        <v>0</v>
      </c>
      <c r="K56" s="660">
        <f t="shared" si="7"/>
        <v>199.72497481347528</v>
      </c>
      <c r="L56" s="660">
        <f t="shared" si="7"/>
        <v>0</v>
      </c>
      <c r="M56" s="660">
        <f t="shared" si="7"/>
        <v>0</v>
      </c>
      <c r="N56" s="660">
        <f t="shared" si="7"/>
        <v>0</v>
      </c>
      <c r="O56" s="660">
        <f t="shared" si="7"/>
        <v>0</v>
      </c>
      <c r="P56" s="660">
        <f t="shared" si="7"/>
        <v>0</v>
      </c>
      <c r="Q56" s="661">
        <f t="shared" si="7"/>
        <v>0</v>
      </c>
      <c r="R56" s="662">
        <f ca="1">SUM(R54:R55)</f>
        <v>3294.7895064034833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7526.7283034423381</v>
      </c>
      <c r="D61" s="668">
        <f t="shared" ref="D61:Q61" ca="1" si="8">D46+D52+D56</f>
        <v>412.80125170998633</v>
      </c>
      <c r="E61" s="668">
        <f t="shared" ca="1" si="8"/>
        <v>20855.428799531041</v>
      </c>
      <c r="F61" s="668">
        <f t="shared" si="8"/>
        <v>392.19289591656593</v>
      </c>
      <c r="G61" s="668">
        <f t="shared" ca="1" si="8"/>
        <v>8638.9248291322219</v>
      </c>
      <c r="H61" s="668">
        <f t="shared" si="8"/>
        <v>36705.799823556765</v>
      </c>
      <c r="I61" s="668">
        <f t="shared" si="8"/>
        <v>5411.4753457235893</v>
      </c>
      <c r="J61" s="668">
        <f t="shared" si="8"/>
        <v>0</v>
      </c>
      <c r="K61" s="668">
        <f t="shared" si="8"/>
        <v>245.18750232257133</v>
      </c>
      <c r="L61" s="668">
        <f t="shared" si="8"/>
        <v>0</v>
      </c>
      <c r="M61" s="668">
        <f t="shared" ca="1" si="8"/>
        <v>0</v>
      </c>
      <c r="N61" s="668">
        <f t="shared" si="8"/>
        <v>0</v>
      </c>
      <c r="O61" s="668">
        <f t="shared" ca="1" si="8"/>
        <v>0</v>
      </c>
      <c r="P61" s="668">
        <f t="shared" si="8"/>
        <v>0</v>
      </c>
      <c r="Q61" s="668">
        <f t="shared" si="8"/>
        <v>0</v>
      </c>
      <c r="R61" s="668">
        <f ca="1">R46+R52+R56</f>
        <v>80188.538751335072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0.13731034117014371</v>
      </c>
      <c r="D63" s="709">
        <f t="shared" ca="1" si="9"/>
        <v>0.11553351573187415</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14296.319439613448</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5027.0025353481487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1730.1976744186045</v>
      </c>
      <c r="C76" s="678">
        <f>'lokale energieproductie'!B8*IFERROR(SUM(D76:H76)/SUM(D76:O76),0)</f>
        <v>1275.8023255813955</v>
      </c>
      <c r="D76" s="952">
        <f>'lokale energieproductie'!C8</f>
        <v>822.43502051983614</v>
      </c>
      <c r="E76" s="953">
        <f>'lokale energieproductie'!D8</f>
        <v>0</v>
      </c>
      <c r="F76" s="953">
        <f>'lokale energieproductie'!E8</f>
        <v>678.50889192886461</v>
      </c>
      <c r="G76" s="953">
        <f>'lokale energieproductie'!F8</f>
        <v>0</v>
      </c>
      <c r="H76" s="953">
        <f>'lokale energieproductie'!G8</f>
        <v>0</v>
      </c>
      <c r="I76" s="953">
        <f>'lokale energieproductie'!I8</f>
        <v>2035.5266757865938</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347.29374829001381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21053.5196493802</v>
      </c>
      <c r="C78" s="683">
        <f>SUM(C72:C77)</f>
        <v>1275.8023255813955</v>
      </c>
      <c r="D78" s="684">
        <f t="shared" ref="D78:H78" si="10">SUM(D76:D77)</f>
        <v>822.43502051983614</v>
      </c>
      <c r="E78" s="684">
        <f t="shared" si="10"/>
        <v>0</v>
      </c>
      <c r="F78" s="684">
        <f t="shared" si="10"/>
        <v>678.50889192886461</v>
      </c>
      <c r="G78" s="684">
        <f t="shared" si="10"/>
        <v>0</v>
      </c>
      <c r="H78" s="684">
        <f t="shared" si="10"/>
        <v>0</v>
      </c>
      <c r="I78" s="684">
        <f>SUM(I76:I77)</f>
        <v>2035.5266757865938</v>
      </c>
      <c r="J78" s="684">
        <f>SUM(J76:J77)</f>
        <v>0</v>
      </c>
      <c r="K78" s="684">
        <f t="shared" ref="K78:L78" si="11">SUM(K76:K77)</f>
        <v>0</v>
      </c>
      <c r="L78" s="684">
        <f t="shared" si="11"/>
        <v>0</v>
      </c>
      <c r="M78" s="684">
        <f>SUM(M76:M77)</f>
        <v>0</v>
      </c>
      <c r="N78" s="684">
        <f>SUM(N76:N77)</f>
        <v>0</v>
      </c>
      <c r="O78" s="787">
        <f>SUM(O76:O77)</f>
        <v>0</v>
      </c>
      <c r="P78" s="685">
        <v>0</v>
      </c>
      <c r="Q78" s="685">
        <f>SUM(Q76:Q77)</f>
        <v>347.29374829001381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2056.5523255813951</v>
      </c>
      <c r="C87" s="694">
        <f>'lokale energieproductie'!B17*IFERROR(SUM(D87:H87)/SUM(D87:O87),0)</f>
        <v>1516.4476744186045</v>
      </c>
      <c r="D87" s="705">
        <f>'lokale energieproductie'!C17</f>
        <v>977.56497948016431</v>
      </c>
      <c r="E87" s="705">
        <f>'lokale energieproductie'!D17</f>
        <v>0</v>
      </c>
      <c r="F87" s="705">
        <f>'lokale energieproductie'!E17</f>
        <v>806.49110807113539</v>
      </c>
      <c r="G87" s="705">
        <f>'lokale energieproductie'!F17</f>
        <v>0</v>
      </c>
      <c r="H87" s="705">
        <f>'lokale energieproductie'!G17</f>
        <v>0</v>
      </c>
      <c r="I87" s="705">
        <f>'lokale energieproductie'!I17</f>
        <v>2419.4733242134062</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412.80125170998633</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2056.5523255813951</v>
      </c>
      <c r="C90" s="683">
        <f>SUM(C87:C89)</f>
        <v>1516.4476744186045</v>
      </c>
      <c r="D90" s="683">
        <f t="shared" ref="D90:H90" si="12">SUM(D87:D89)</f>
        <v>977.56497948016431</v>
      </c>
      <c r="E90" s="683">
        <f t="shared" si="12"/>
        <v>0</v>
      </c>
      <c r="F90" s="683">
        <f t="shared" si="12"/>
        <v>806.49110807113539</v>
      </c>
      <c r="G90" s="683">
        <f t="shared" si="12"/>
        <v>0</v>
      </c>
      <c r="H90" s="683">
        <f t="shared" si="12"/>
        <v>0</v>
      </c>
      <c r="I90" s="683">
        <f>SUM(I87:I89)</f>
        <v>2419.4733242134062</v>
      </c>
      <c r="J90" s="683">
        <f>SUM(J87:J89)</f>
        <v>0</v>
      </c>
      <c r="K90" s="683">
        <f t="shared" ref="K90:L90" si="13">SUM(K87:K89)</f>
        <v>0</v>
      </c>
      <c r="L90" s="683">
        <f t="shared" si="13"/>
        <v>0</v>
      </c>
      <c r="M90" s="683">
        <f>SUM(M87:M89)</f>
        <v>0</v>
      </c>
      <c r="N90" s="683">
        <f>SUM(N87:N89)</f>
        <v>0</v>
      </c>
      <c r="O90" s="683">
        <f>SUM(O87:O89)</f>
        <v>0</v>
      </c>
      <c r="P90" s="683">
        <v>0</v>
      </c>
      <c r="Q90" s="683">
        <f>SUM(Q87:Q89)</f>
        <v>412.80125170998633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29643.254227233276</v>
      </c>
      <c r="C4" s="441">
        <f>huishoudens!C8</f>
        <v>0</v>
      </c>
      <c r="D4" s="441">
        <f>huishoudens!D8</f>
        <v>76876.718322333094</v>
      </c>
      <c r="E4" s="441">
        <f>huishoudens!E8</f>
        <v>942.01091728574283</v>
      </c>
      <c r="F4" s="441">
        <f>huishoudens!F8</f>
        <v>21835.0801629286</v>
      </c>
      <c r="G4" s="441">
        <f>huishoudens!G8</f>
        <v>0</v>
      </c>
      <c r="H4" s="441">
        <f>huishoudens!H8</f>
        <v>0</v>
      </c>
      <c r="I4" s="441">
        <f>huishoudens!I8</f>
        <v>0</v>
      </c>
      <c r="J4" s="441">
        <f>huishoudens!J8</f>
        <v>112.21307840488147</v>
      </c>
      <c r="K4" s="441">
        <f>huishoudens!K8</f>
        <v>0</v>
      </c>
      <c r="L4" s="441">
        <f>huishoudens!L8</f>
        <v>0</v>
      </c>
      <c r="M4" s="441">
        <f>huishoudens!M8</f>
        <v>0</v>
      </c>
      <c r="N4" s="441">
        <f>huishoudens!N8</f>
        <v>8659.1829820541152</v>
      </c>
      <c r="O4" s="441">
        <f>huishoudens!O8</f>
        <v>284.52666666666664</v>
      </c>
      <c r="P4" s="442">
        <f>huishoudens!P8</f>
        <v>629.20000000000005</v>
      </c>
      <c r="Q4" s="443">
        <f>SUM(B4:P4)</f>
        <v>138982.1863569064</v>
      </c>
    </row>
    <row r="5" spans="1:17">
      <c r="A5" s="440" t="s">
        <v>149</v>
      </c>
      <c r="B5" s="441">
        <f ca="1">tertiair!B16</f>
        <v>13321.800493600858</v>
      </c>
      <c r="C5" s="441">
        <f ca="1">tertiair!C16</f>
        <v>0</v>
      </c>
      <c r="D5" s="441">
        <f ca="1">tertiair!D16</f>
        <v>16624.920475661394</v>
      </c>
      <c r="E5" s="441">
        <f>tertiair!E16</f>
        <v>216.10548159881438</v>
      </c>
      <c r="F5" s="441">
        <f ca="1">tertiair!F16</f>
        <v>2429.5487545953993</v>
      </c>
      <c r="G5" s="441">
        <f>tertiair!G16</f>
        <v>0</v>
      </c>
      <c r="H5" s="441">
        <f>tertiair!H16</f>
        <v>0</v>
      </c>
      <c r="I5" s="441">
        <f>tertiair!I16</f>
        <v>0</v>
      </c>
      <c r="J5" s="441">
        <f>tertiair!J16</f>
        <v>2.0786401950012912E-2</v>
      </c>
      <c r="K5" s="441">
        <f>tertiair!K16</f>
        <v>0</v>
      </c>
      <c r="L5" s="441">
        <f ca="1">tertiair!L16</f>
        <v>0</v>
      </c>
      <c r="M5" s="441">
        <f>tertiair!M16</f>
        <v>0</v>
      </c>
      <c r="N5" s="441">
        <f ca="1">tertiair!N16</f>
        <v>837.75201734624295</v>
      </c>
      <c r="O5" s="441">
        <f>tertiair!O16</f>
        <v>3.1266666666666669</v>
      </c>
      <c r="P5" s="442">
        <f>tertiair!P16</f>
        <v>0</v>
      </c>
      <c r="Q5" s="440">
        <f t="shared" ref="Q5:Q14" ca="1" si="0">SUM(B5:P5)</f>
        <v>33433.274675871318</v>
      </c>
    </row>
    <row r="6" spans="1:17">
      <c r="A6" s="440" t="s">
        <v>187</v>
      </c>
      <c r="B6" s="441">
        <f>'openbare verlichting'!B8</f>
        <v>1146.2940000000001</v>
      </c>
      <c r="C6" s="441"/>
      <c r="D6" s="441"/>
      <c r="E6" s="441"/>
      <c r="F6" s="441"/>
      <c r="G6" s="441"/>
      <c r="H6" s="441"/>
      <c r="I6" s="441"/>
      <c r="J6" s="441"/>
      <c r="K6" s="441"/>
      <c r="L6" s="441"/>
      <c r="M6" s="441"/>
      <c r="N6" s="441"/>
      <c r="O6" s="441"/>
      <c r="P6" s="442"/>
      <c r="Q6" s="440">
        <f t="shared" si="0"/>
        <v>1146.2940000000001</v>
      </c>
    </row>
    <row r="7" spans="1:17">
      <c r="A7" s="440" t="s">
        <v>105</v>
      </c>
      <c r="B7" s="441">
        <f>landbouw!B8</f>
        <v>2145.3118775164421</v>
      </c>
      <c r="C7" s="441">
        <f>landbouw!C8</f>
        <v>3573</v>
      </c>
      <c r="D7" s="441">
        <f>landbouw!D8</f>
        <v>0</v>
      </c>
      <c r="E7" s="441">
        <f>landbouw!E8</f>
        <v>69.622422632839402</v>
      </c>
      <c r="F7" s="441">
        <f>landbouw!F8</f>
        <v>6429.4718073727008</v>
      </c>
      <c r="G7" s="441">
        <f>landbouw!G8</f>
        <v>0</v>
      </c>
      <c r="H7" s="441">
        <f>landbouw!H8</f>
        <v>0</v>
      </c>
      <c r="I7" s="441">
        <f>landbouw!I8</f>
        <v>0</v>
      </c>
      <c r="J7" s="441">
        <f>landbouw!J8</f>
        <v>564.19484410586244</v>
      </c>
      <c r="K7" s="441">
        <f>landbouw!K8</f>
        <v>0</v>
      </c>
      <c r="L7" s="441">
        <f>landbouw!L8</f>
        <v>0</v>
      </c>
      <c r="M7" s="441">
        <f>landbouw!M8</f>
        <v>0</v>
      </c>
      <c r="N7" s="441">
        <f>landbouw!N8</f>
        <v>0</v>
      </c>
      <c r="O7" s="441">
        <f>landbouw!O8</f>
        <v>0</v>
      </c>
      <c r="P7" s="442">
        <f>landbouw!P8</f>
        <v>0</v>
      </c>
      <c r="Q7" s="440">
        <f t="shared" si="0"/>
        <v>12781.600951627846</v>
      </c>
    </row>
    <row r="8" spans="1:17">
      <c r="A8" s="440" t="s">
        <v>596</v>
      </c>
      <c r="B8" s="441">
        <f>industrie!B18</f>
        <v>6881.0790063842342</v>
      </c>
      <c r="C8" s="441">
        <f>industrie!C18</f>
        <v>0</v>
      </c>
      <c r="D8" s="441">
        <f>industrie!D18</f>
        <v>7452.3604764610973</v>
      </c>
      <c r="E8" s="441">
        <f>industrie!E18</f>
        <v>260.56282248879836</v>
      </c>
      <c r="F8" s="441">
        <f>industrie!F18</f>
        <v>1661.4229797183618</v>
      </c>
      <c r="G8" s="441">
        <f>industrie!G18</f>
        <v>0</v>
      </c>
      <c r="H8" s="441">
        <f>industrie!H18</f>
        <v>0</v>
      </c>
      <c r="I8" s="441">
        <f>industrie!I18</f>
        <v>0</v>
      </c>
      <c r="J8" s="441">
        <f>industrie!J18</f>
        <v>16.191354145417261</v>
      </c>
      <c r="K8" s="441">
        <f>industrie!K18</f>
        <v>0</v>
      </c>
      <c r="L8" s="441">
        <f>industrie!L18</f>
        <v>0</v>
      </c>
      <c r="M8" s="441">
        <f>industrie!M18</f>
        <v>0</v>
      </c>
      <c r="N8" s="441">
        <f>industrie!N18</f>
        <v>197.07168259376115</v>
      </c>
      <c r="O8" s="441">
        <f>industrie!O18</f>
        <v>0</v>
      </c>
      <c r="P8" s="442">
        <f>industrie!P18</f>
        <v>0</v>
      </c>
      <c r="Q8" s="440">
        <f t="shared" si="0"/>
        <v>16468.688321791669</v>
      </c>
    </row>
    <row r="9" spans="1:17" s="446" customFormat="1">
      <c r="A9" s="444" t="s">
        <v>545</v>
      </c>
      <c r="B9" s="445">
        <f>transport!B14</f>
        <v>81.115147197088248</v>
      </c>
      <c r="C9" s="445">
        <f>transport!C14</f>
        <v>0</v>
      </c>
      <c r="D9" s="445">
        <f>transport!D14</f>
        <v>122.5428574437239</v>
      </c>
      <c r="E9" s="445">
        <f>transport!E14</f>
        <v>239.42036443682679</v>
      </c>
      <c r="F9" s="445">
        <f>transport!F14</f>
        <v>0</v>
      </c>
      <c r="G9" s="445">
        <f>transport!G14</f>
        <v>136120.3151380707</v>
      </c>
      <c r="H9" s="445">
        <f>transport!H14</f>
        <v>21732.832713749354</v>
      </c>
      <c r="I9" s="445">
        <f>transport!I14</f>
        <v>0</v>
      </c>
      <c r="J9" s="445">
        <f>transport!J14</f>
        <v>0</v>
      </c>
      <c r="K9" s="445">
        <f>transport!K14</f>
        <v>0</v>
      </c>
      <c r="L9" s="445">
        <f>transport!L14</f>
        <v>0</v>
      </c>
      <c r="M9" s="445">
        <f>transport!M14</f>
        <v>8592.6970388440805</v>
      </c>
      <c r="N9" s="445">
        <f>transport!N14</f>
        <v>0</v>
      </c>
      <c r="O9" s="445">
        <f>transport!O14</f>
        <v>0</v>
      </c>
      <c r="P9" s="445">
        <f>transport!P14</f>
        <v>0</v>
      </c>
      <c r="Q9" s="444">
        <f>SUM(B9:P9)</f>
        <v>166888.92325974177</v>
      </c>
    </row>
    <row r="10" spans="1:17">
      <c r="A10" s="440" t="s">
        <v>535</v>
      </c>
      <c r="B10" s="441">
        <f>transport!B54</f>
        <v>14.419730408056065</v>
      </c>
      <c r="C10" s="441">
        <f>transport!C54</f>
        <v>0</v>
      </c>
      <c r="D10" s="441">
        <f>transport!D54</f>
        <v>0</v>
      </c>
      <c r="E10" s="441">
        <f>transport!E54</f>
        <v>0</v>
      </c>
      <c r="F10" s="441">
        <f>transport!F54</f>
        <v>0</v>
      </c>
      <c r="G10" s="441">
        <f>transport!G54</f>
        <v>1354.5905681344088</v>
      </c>
      <c r="H10" s="441">
        <f>transport!H54</f>
        <v>0</v>
      </c>
      <c r="I10" s="441">
        <f>transport!I54</f>
        <v>0</v>
      </c>
      <c r="J10" s="441">
        <f>transport!J54</f>
        <v>0</v>
      </c>
      <c r="K10" s="441">
        <f>transport!K54</f>
        <v>0</v>
      </c>
      <c r="L10" s="441">
        <f>transport!L54</f>
        <v>0</v>
      </c>
      <c r="M10" s="441">
        <f>transport!M54</f>
        <v>78.006803681617725</v>
      </c>
      <c r="N10" s="441">
        <f>transport!N54</f>
        <v>0</v>
      </c>
      <c r="O10" s="441">
        <f>transport!O54</f>
        <v>0</v>
      </c>
      <c r="P10" s="442">
        <f>transport!P54</f>
        <v>0</v>
      </c>
      <c r="Q10" s="440">
        <f t="shared" si="0"/>
        <v>1447.0171022240825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1582.1767014556899</v>
      </c>
      <c r="C14" s="448"/>
      <c r="D14" s="448">
        <f>'SEAP template'!E25</f>
        <v>2168.1548954820696</v>
      </c>
      <c r="E14" s="448"/>
      <c r="F14" s="448"/>
      <c r="G14" s="448"/>
      <c r="H14" s="448"/>
      <c r="I14" s="448"/>
      <c r="J14" s="448"/>
      <c r="K14" s="448"/>
      <c r="L14" s="448"/>
      <c r="M14" s="448"/>
      <c r="N14" s="448"/>
      <c r="O14" s="448"/>
      <c r="P14" s="449"/>
      <c r="Q14" s="440">
        <f t="shared" si="0"/>
        <v>3750.3315969377595</v>
      </c>
    </row>
    <row r="15" spans="1:17" s="450" customFormat="1">
      <c r="A15" s="957" t="s">
        <v>539</v>
      </c>
      <c r="B15" s="905">
        <f ca="1">SUM(B4:B14)</f>
        <v>54815.451183795645</v>
      </c>
      <c r="C15" s="905">
        <f t="shared" ref="C15:Q15" ca="1" si="1">SUM(C4:C14)</f>
        <v>3573</v>
      </c>
      <c r="D15" s="905">
        <f t="shared" ca="1" si="1"/>
        <v>103244.69702738138</v>
      </c>
      <c r="E15" s="905">
        <f t="shared" si="1"/>
        <v>1727.7220084430214</v>
      </c>
      <c r="F15" s="905">
        <f t="shared" ca="1" si="1"/>
        <v>32355.523704615061</v>
      </c>
      <c r="G15" s="905">
        <f t="shared" si="1"/>
        <v>137474.90570620511</v>
      </c>
      <c r="H15" s="905">
        <f t="shared" si="1"/>
        <v>21732.832713749354</v>
      </c>
      <c r="I15" s="905">
        <f t="shared" si="1"/>
        <v>0</v>
      </c>
      <c r="J15" s="905">
        <f t="shared" si="1"/>
        <v>692.62006305811121</v>
      </c>
      <c r="K15" s="905">
        <f t="shared" si="1"/>
        <v>0</v>
      </c>
      <c r="L15" s="905">
        <f t="shared" ca="1" si="1"/>
        <v>0</v>
      </c>
      <c r="M15" s="905">
        <f t="shared" si="1"/>
        <v>8670.7038425256978</v>
      </c>
      <c r="N15" s="905">
        <f t="shared" ca="1" si="1"/>
        <v>9694.0066819941203</v>
      </c>
      <c r="O15" s="905">
        <f t="shared" si="1"/>
        <v>287.65333333333331</v>
      </c>
      <c r="P15" s="905">
        <f t="shared" si="1"/>
        <v>629.20000000000005</v>
      </c>
      <c r="Q15" s="905">
        <f t="shared" ca="1" si="1"/>
        <v>374898.3162651009</v>
      </c>
    </row>
    <row r="17" spans="1:17">
      <c r="A17" s="451" t="s">
        <v>540</v>
      </c>
      <c r="B17" s="714">
        <f ca="1">huishoudens!B10</f>
        <v>0.13731034117014371</v>
      </c>
      <c r="C17" s="714">
        <f ca="1">huishoudens!C10</f>
        <v>0.11553351573187415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4070.3253513347058</v>
      </c>
      <c r="C22" s="441">
        <f t="shared" ref="C22:C32" ca="1" si="3">C4*$C$17</f>
        <v>0</v>
      </c>
      <c r="D22" s="441">
        <f t="shared" ref="D22:D32" si="4">D4*$D$17</f>
        <v>15529.097101111285</v>
      </c>
      <c r="E22" s="441">
        <f t="shared" ref="E22:E32" si="5">E4*$E$17</f>
        <v>213.83647822386362</v>
      </c>
      <c r="F22" s="441">
        <f t="shared" ref="F22:F32" si="6">F4*$F$17</f>
        <v>5829.9664035019368</v>
      </c>
      <c r="G22" s="441">
        <f t="shared" ref="G22:G32" si="7">G4*$G$17</f>
        <v>0</v>
      </c>
      <c r="H22" s="441">
        <f t="shared" ref="H22:H32" si="8">H4*$H$17</f>
        <v>0</v>
      </c>
      <c r="I22" s="441">
        <f t="shared" ref="I22:I32" si="9">I4*$I$17</f>
        <v>0</v>
      </c>
      <c r="J22" s="441">
        <f t="shared" ref="J22:J32" si="10">J4*$J$17</f>
        <v>39.723429755328041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25682.948763927121</v>
      </c>
    </row>
    <row r="23" spans="1:17">
      <c r="A23" s="440" t="s">
        <v>149</v>
      </c>
      <c r="B23" s="441">
        <f t="shared" ca="1" si="2"/>
        <v>1829.2209707769227</v>
      </c>
      <c r="C23" s="441">
        <f t="shared" ca="1" si="3"/>
        <v>0</v>
      </c>
      <c r="D23" s="441">
        <f t="shared" ca="1" si="4"/>
        <v>3358.2339360836017</v>
      </c>
      <c r="E23" s="441">
        <f t="shared" si="5"/>
        <v>49.055944322930863</v>
      </c>
      <c r="F23" s="441">
        <f t="shared" ca="1" si="6"/>
        <v>648.68951747697167</v>
      </c>
      <c r="G23" s="441">
        <f t="shared" si="7"/>
        <v>0</v>
      </c>
      <c r="H23" s="441">
        <f t="shared" si="8"/>
        <v>0</v>
      </c>
      <c r="I23" s="441">
        <f t="shared" si="9"/>
        <v>0</v>
      </c>
      <c r="J23" s="441">
        <f t="shared" si="10"/>
        <v>7.3583862903045701E-3</v>
      </c>
      <c r="K23" s="441">
        <f t="shared" si="11"/>
        <v>0</v>
      </c>
      <c r="L23" s="441">
        <f t="shared" ca="1" si="12"/>
        <v>0</v>
      </c>
      <c r="M23" s="441">
        <f t="shared" si="13"/>
        <v>0</v>
      </c>
      <c r="N23" s="441">
        <f t="shared" ca="1" si="14"/>
        <v>0</v>
      </c>
      <c r="O23" s="441">
        <f t="shared" si="15"/>
        <v>0</v>
      </c>
      <c r="P23" s="442">
        <f t="shared" si="16"/>
        <v>0</v>
      </c>
      <c r="Q23" s="440">
        <f t="shared" ref="Q23:Q32" ca="1" si="17">SUM(B23:P23)</f>
        <v>5885.207727046718</v>
      </c>
    </row>
    <row r="24" spans="1:17">
      <c r="A24" s="440" t="s">
        <v>187</v>
      </c>
      <c r="B24" s="441">
        <f t="shared" ca="1" si="2"/>
        <v>157.39802022128873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157.39802022128873</v>
      </c>
    </row>
    <row r="25" spans="1:17">
      <c r="A25" s="440" t="s">
        <v>105</v>
      </c>
      <c r="B25" s="441">
        <f t="shared" ca="1" si="2"/>
        <v>294.57350581814421</v>
      </c>
      <c r="C25" s="441">
        <f t="shared" ca="1" si="3"/>
        <v>412.80125170998633</v>
      </c>
      <c r="D25" s="441">
        <f t="shared" si="4"/>
        <v>0</v>
      </c>
      <c r="E25" s="441">
        <f t="shared" si="5"/>
        <v>15.804289937654545</v>
      </c>
      <c r="F25" s="441">
        <f t="shared" si="6"/>
        <v>1716.6689725685112</v>
      </c>
      <c r="G25" s="441">
        <f t="shared" si="7"/>
        <v>0</v>
      </c>
      <c r="H25" s="441">
        <f t="shared" si="8"/>
        <v>0</v>
      </c>
      <c r="I25" s="441">
        <f t="shared" si="9"/>
        <v>0</v>
      </c>
      <c r="J25" s="441">
        <f t="shared" si="10"/>
        <v>199.72497481347528</v>
      </c>
      <c r="K25" s="441">
        <f t="shared" si="11"/>
        <v>0</v>
      </c>
      <c r="L25" s="441">
        <f t="shared" si="12"/>
        <v>0</v>
      </c>
      <c r="M25" s="441">
        <f t="shared" si="13"/>
        <v>0</v>
      </c>
      <c r="N25" s="441">
        <f t="shared" si="14"/>
        <v>0</v>
      </c>
      <c r="O25" s="441">
        <f t="shared" si="15"/>
        <v>0</v>
      </c>
      <c r="P25" s="442">
        <f t="shared" si="16"/>
        <v>0</v>
      </c>
      <c r="Q25" s="440">
        <f t="shared" ca="1" si="17"/>
        <v>2639.572994847772</v>
      </c>
    </row>
    <row r="26" spans="1:17">
      <c r="A26" s="440" t="s">
        <v>596</v>
      </c>
      <c r="B26" s="441">
        <f t="shared" ca="1" si="2"/>
        <v>944.84330598533268</v>
      </c>
      <c r="C26" s="441">
        <f t="shared" ca="1" si="3"/>
        <v>0</v>
      </c>
      <c r="D26" s="441">
        <f t="shared" si="4"/>
        <v>1505.3768162451418</v>
      </c>
      <c r="E26" s="441">
        <f t="shared" si="5"/>
        <v>59.147760704957228</v>
      </c>
      <c r="F26" s="441">
        <f t="shared" si="6"/>
        <v>443.59993558480261</v>
      </c>
      <c r="G26" s="441">
        <f t="shared" si="7"/>
        <v>0</v>
      </c>
      <c r="H26" s="441">
        <f t="shared" si="8"/>
        <v>0</v>
      </c>
      <c r="I26" s="441">
        <f t="shared" si="9"/>
        <v>0</v>
      </c>
      <c r="J26" s="441">
        <f t="shared" si="10"/>
        <v>5.7317393674777097</v>
      </c>
      <c r="K26" s="441">
        <f t="shared" si="11"/>
        <v>0</v>
      </c>
      <c r="L26" s="441">
        <f t="shared" si="12"/>
        <v>0</v>
      </c>
      <c r="M26" s="441">
        <f t="shared" si="13"/>
        <v>0</v>
      </c>
      <c r="N26" s="441">
        <f t="shared" si="14"/>
        <v>0</v>
      </c>
      <c r="O26" s="441">
        <f t="shared" si="15"/>
        <v>0</v>
      </c>
      <c r="P26" s="442">
        <f t="shared" si="16"/>
        <v>0</v>
      </c>
      <c r="Q26" s="440">
        <f t="shared" ca="1" si="17"/>
        <v>2958.6995578877118</v>
      </c>
    </row>
    <row r="27" spans="1:17" s="446" customFormat="1">
      <c r="A27" s="444" t="s">
        <v>545</v>
      </c>
      <c r="B27" s="708">
        <f t="shared" ca="1" si="2"/>
        <v>11.137948535698614</v>
      </c>
      <c r="C27" s="445">
        <f t="shared" ca="1" si="3"/>
        <v>0</v>
      </c>
      <c r="D27" s="445">
        <f t="shared" si="4"/>
        <v>24.75365720363223</v>
      </c>
      <c r="E27" s="445">
        <f t="shared" si="5"/>
        <v>54.348422727159679</v>
      </c>
      <c r="F27" s="445">
        <f t="shared" si="6"/>
        <v>0</v>
      </c>
      <c r="G27" s="445">
        <f t="shared" si="7"/>
        <v>36344.124141864879</v>
      </c>
      <c r="H27" s="445">
        <f t="shared" si="8"/>
        <v>5411.4753457235893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41845.839516054955</v>
      </c>
    </row>
    <row r="28" spans="1:17">
      <c r="A28" s="440" t="s">
        <v>535</v>
      </c>
      <c r="B28" s="441">
        <f t="shared" ca="1" si="2"/>
        <v>1.9799781019116738</v>
      </c>
      <c r="C28" s="441">
        <f t="shared" ca="1" si="3"/>
        <v>0</v>
      </c>
      <c r="D28" s="441">
        <f t="shared" si="4"/>
        <v>0</v>
      </c>
      <c r="E28" s="441">
        <f t="shared" si="5"/>
        <v>0</v>
      </c>
      <c r="F28" s="441">
        <f t="shared" si="6"/>
        <v>0</v>
      </c>
      <c r="G28" s="441">
        <f t="shared" si="7"/>
        <v>361.67568169188718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363.65565979379886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217.24922266833337</v>
      </c>
      <c r="C32" s="441">
        <f t="shared" ca="1" si="3"/>
        <v>0</v>
      </c>
      <c r="D32" s="441">
        <f t="shared" si="4"/>
        <v>437.96728888737806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655.21651155571146</v>
      </c>
    </row>
    <row r="33" spans="1:17" s="450" customFormat="1">
      <c r="A33" s="957" t="s">
        <v>539</v>
      </c>
      <c r="B33" s="905">
        <f ca="1">SUM(B22:B32)</f>
        <v>7526.7283034423381</v>
      </c>
      <c r="C33" s="905">
        <f t="shared" ref="C33:Q33" ca="1" si="18">SUM(C22:C32)</f>
        <v>412.80125170998633</v>
      </c>
      <c r="D33" s="905">
        <f t="shared" ca="1" si="18"/>
        <v>20855.428799531041</v>
      </c>
      <c r="E33" s="905">
        <f t="shared" si="18"/>
        <v>392.19289591656593</v>
      </c>
      <c r="F33" s="905">
        <f t="shared" ca="1" si="18"/>
        <v>8638.9248291322237</v>
      </c>
      <c r="G33" s="905">
        <f t="shared" si="18"/>
        <v>36705.799823556765</v>
      </c>
      <c r="H33" s="905">
        <f t="shared" si="18"/>
        <v>5411.4753457235893</v>
      </c>
      <c r="I33" s="905">
        <f t="shared" si="18"/>
        <v>0</v>
      </c>
      <c r="J33" s="905">
        <f t="shared" si="18"/>
        <v>245.18750232257133</v>
      </c>
      <c r="K33" s="905">
        <f t="shared" si="18"/>
        <v>0</v>
      </c>
      <c r="L33" s="905">
        <f t="shared" ca="1" si="18"/>
        <v>0</v>
      </c>
      <c r="M33" s="905">
        <f t="shared" si="18"/>
        <v>0</v>
      </c>
      <c r="N33" s="905">
        <f t="shared" ca="1" si="18"/>
        <v>0</v>
      </c>
      <c r="O33" s="905">
        <f t="shared" si="18"/>
        <v>0</v>
      </c>
      <c r="P33" s="905">
        <f t="shared" si="18"/>
        <v>0</v>
      </c>
      <c r="Q33" s="905">
        <f t="shared" ca="1" si="18"/>
        <v>80188.538751335072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14296.319439613448</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5027.0025353481487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1730.1976744186045</v>
      </c>
      <c r="C8" s="974">
        <f>'SEAP template'!C76</f>
        <v>1275.8023255813955</v>
      </c>
      <c r="D8" s="974">
        <f>'SEAP template'!D76</f>
        <v>822.43502051983614</v>
      </c>
      <c r="E8" s="974">
        <f>'SEAP template'!E76</f>
        <v>0</v>
      </c>
      <c r="F8" s="974">
        <f>'SEAP template'!F76</f>
        <v>678.50889192886461</v>
      </c>
      <c r="G8" s="974">
        <f>'SEAP template'!G76</f>
        <v>0</v>
      </c>
      <c r="H8" s="974">
        <f>'SEAP template'!H76</f>
        <v>0</v>
      </c>
      <c r="I8" s="974">
        <f>'SEAP template'!I76</f>
        <v>2035.5266757865938</v>
      </c>
      <c r="J8" s="974">
        <f>'SEAP template'!J76</f>
        <v>0</v>
      </c>
      <c r="K8" s="974">
        <f>'SEAP template'!K76</f>
        <v>0</v>
      </c>
      <c r="L8" s="974">
        <f>'SEAP template'!L76</f>
        <v>0</v>
      </c>
      <c r="M8" s="974">
        <f>'SEAP template'!M76</f>
        <v>0</v>
      </c>
      <c r="N8" s="974">
        <f>'SEAP template'!N76</f>
        <v>0</v>
      </c>
      <c r="O8" s="974">
        <f>'SEAP template'!O76</f>
        <v>0</v>
      </c>
      <c r="P8" s="975">
        <f>'SEAP template'!Q76</f>
        <v>347.29374829001381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21053.5196493802</v>
      </c>
      <c r="C10" s="978">
        <f>SUM(C4:C9)</f>
        <v>1275.8023255813955</v>
      </c>
      <c r="D10" s="978">
        <f t="shared" ref="D10:H10" si="0">SUM(D8:D9)</f>
        <v>822.43502051983614</v>
      </c>
      <c r="E10" s="978">
        <f t="shared" si="0"/>
        <v>0</v>
      </c>
      <c r="F10" s="978">
        <f t="shared" si="0"/>
        <v>678.50889192886461</v>
      </c>
      <c r="G10" s="978">
        <f t="shared" si="0"/>
        <v>0</v>
      </c>
      <c r="H10" s="978">
        <f t="shared" si="0"/>
        <v>0</v>
      </c>
      <c r="I10" s="978">
        <f>SUM(I8:I9)</f>
        <v>2035.5266757865938</v>
      </c>
      <c r="J10" s="978">
        <f>SUM(J8:J9)</f>
        <v>0</v>
      </c>
      <c r="K10" s="978">
        <f t="shared" ref="K10:L10" si="1">SUM(K8:K9)</f>
        <v>0</v>
      </c>
      <c r="L10" s="978">
        <f t="shared" si="1"/>
        <v>0</v>
      </c>
      <c r="M10" s="978">
        <f>SUM(M8:M9)</f>
        <v>0</v>
      </c>
      <c r="N10" s="978">
        <f>SUM(N8:N9)</f>
        <v>0</v>
      </c>
      <c r="O10" s="978">
        <f>SUM(O8:O9)</f>
        <v>0</v>
      </c>
      <c r="P10" s="978">
        <f>SUM(P8:P9)</f>
        <v>347.29374829001381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0.13731034117014371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2056.5523255813951</v>
      </c>
      <c r="C17" s="980">
        <f>'SEAP template'!C87</f>
        <v>1516.4476744186045</v>
      </c>
      <c r="D17" s="975">
        <f>'SEAP template'!D87</f>
        <v>977.56497948016431</v>
      </c>
      <c r="E17" s="975">
        <f>'SEAP template'!E87</f>
        <v>0</v>
      </c>
      <c r="F17" s="975">
        <f>'SEAP template'!F87</f>
        <v>806.49110807113539</v>
      </c>
      <c r="G17" s="975">
        <f>'SEAP template'!G87</f>
        <v>0</v>
      </c>
      <c r="H17" s="975">
        <f>'SEAP template'!H87</f>
        <v>0</v>
      </c>
      <c r="I17" s="975">
        <f>'SEAP template'!I87</f>
        <v>2419.4733242134062</v>
      </c>
      <c r="J17" s="975">
        <f>'SEAP template'!J87</f>
        <v>0</v>
      </c>
      <c r="K17" s="975">
        <f>'SEAP template'!K87</f>
        <v>0</v>
      </c>
      <c r="L17" s="975">
        <f>'SEAP template'!L87</f>
        <v>0</v>
      </c>
      <c r="M17" s="975">
        <f>'SEAP template'!M87</f>
        <v>0</v>
      </c>
      <c r="N17" s="975">
        <f>'SEAP template'!N87</f>
        <v>0</v>
      </c>
      <c r="O17" s="975">
        <f>'SEAP template'!O87</f>
        <v>0</v>
      </c>
      <c r="P17" s="975">
        <f>'SEAP template'!Q87</f>
        <v>412.80125170998633</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2056.5523255813951</v>
      </c>
      <c r="C20" s="978">
        <f>SUM(C17:C19)</f>
        <v>1516.4476744186045</v>
      </c>
      <c r="D20" s="978">
        <f t="shared" ref="D20:H20" si="2">SUM(D17:D19)</f>
        <v>977.56497948016431</v>
      </c>
      <c r="E20" s="978">
        <f t="shared" si="2"/>
        <v>0</v>
      </c>
      <c r="F20" s="978">
        <f t="shared" si="2"/>
        <v>806.49110807113539</v>
      </c>
      <c r="G20" s="978">
        <f t="shared" si="2"/>
        <v>0</v>
      </c>
      <c r="H20" s="978">
        <f t="shared" si="2"/>
        <v>0</v>
      </c>
      <c r="I20" s="978">
        <f>SUM(I17:I19)</f>
        <v>2419.4733242134062</v>
      </c>
      <c r="J20" s="978">
        <f>SUM(J17:J19)</f>
        <v>0</v>
      </c>
      <c r="K20" s="978">
        <f t="shared" ref="K20:L20" si="3">SUM(K17:K19)</f>
        <v>0</v>
      </c>
      <c r="L20" s="978">
        <f t="shared" si="3"/>
        <v>0</v>
      </c>
      <c r="M20" s="978">
        <f>SUM(M17:M19)</f>
        <v>0</v>
      </c>
      <c r="N20" s="978">
        <f>SUM(N17:N19)</f>
        <v>0</v>
      </c>
      <c r="O20" s="978">
        <f>SUM(O17:O19)</f>
        <v>0</v>
      </c>
      <c r="P20" s="978">
        <f>SUM(P17:P19)</f>
        <v>412.80125170998633</v>
      </c>
    </row>
    <row r="22" spans="1:16">
      <c r="A22" s="451" t="s">
        <v>800</v>
      </c>
      <c r="B22" s="714" t="s">
        <v>794</v>
      </c>
      <c r="C22" s="714">
        <f ca="1">'EF ele_warmte'!B22</f>
        <v>0.11553351573187415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0.13731034117014371</v>
      </c>
      <c r="C17" s="488">
        <f ca="1">'EF ele_warmte'!B22</f>
        <v>0.11553351573187415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2022-07-26T10:50:21Z</dcterms:modified>
</cp:coreProperties>
</file>