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8D88363-8BC7-41E5-B3AC-69C55F73B7C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<sst xmlns="http://schemas.openxmlformats.org/spreadsheetml/2006/main" count="2402" uniqueCount="881">
  <si>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</si>
  <si>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</si>
  <si>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</si>
  <si>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</si>
  <si>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</si>
  <si>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</si>
  <si>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</si>
  <si>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</si>
  <si>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</si>
  <si>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</si>
  <si>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</si>
  <si>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</si>
  <si>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</si>
  <si>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</si>
  <si>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</si>
  <si>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</si>
  <si>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</si>
  <si>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</si>
  <si>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</si>
  <si>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</si>
  <si>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</si>
  <si>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</si>
  <si>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</si>
  <si>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</si>
  <si>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</si>
  <si>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</si>
  <si>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</si>
  <si>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</si>
  <si>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</si>
  <si>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</si>
  <si>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</si>
  <si>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</si>
  <si>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</si>
  <si>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</si>
  <si>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</si>
  <si>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</si>
  <si>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</si>
  <si>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</si>
  <si>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</si>
  <si>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</si>
  <si>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</si>
  <si>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</si>
  <si>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</si>
  <si>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</si>
  <si>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</si>
  <si>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</si>
  <si>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</si>
  <si>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</si>
  <si>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</si>
  <si>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</si>
  <si>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</si>
  <si>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</si>
  <si>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</si>
  <si>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</si>
  <si>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</si>
  <si>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</si>
  <si>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</si>
  <si>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</si>
  <si>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</si>
  <si>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</si>
  <si>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</si>
  <si>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</si>
  <si>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</si>
  <si>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</si>
  <si>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</si>
  <si>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</si>
  <si>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</si>
  <si>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</si>
  <si>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</si>
  <si>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</si>
  <si>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</si>
  <si>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</si>
  <si>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</si>
  <si>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</si>
  <si>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</si>
  <si>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</si>
  <si>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</si>
  <si>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</si>
  <si>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</si>
  <si>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</si>
  <si>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</si>
  <si>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</si>
  <si>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</si>
  <si>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</si>
  <si>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</si>
  <si>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</si>
  <si>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</si>
  <si>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</si>
  <si>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</si>
  <si>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</si>
  <si>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</si>
  <si>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</si>
  <si>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</si>
  <si>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</si>
  <si>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</si>
  <si>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</si>
  <si>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</si>
  <si>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</si>
  <si>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</si>
  <si>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</si>
  <si>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</si>
  <si>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</si>
  <si>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</si>
  <si>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</si>
  <si>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</si>
  <si>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</si>
  <si>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</si>
  <si>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</si>
  <si>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</si>
  <si>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</si>
  <si>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</si>
  <si>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</si>
  <si>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</si>
  <si>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</si>
  <si>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</si>
  <si>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</si>
  <si>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</si>
  <si>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</si>
  <si>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</si>
  <si>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</si>
  <si>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</si>
  <si>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</si>
  <si>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</si>
  <si>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</si>
  <si>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</si>
  <si>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</si>
  <si>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</si>
  <si>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</si>
  <si>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</si>
  <si>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</si>
  <si>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</si>
  <si>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</si>
  <si>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</si>
  <si>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</si>
  <si>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</si>
  <si>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</si>
  <si>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</si>
  <si>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</si>
  <si>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</si>
  <si>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</si>
  <si>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</si>
  <si>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</si>
  <si>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</si>
  <si>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</si>
  <si>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</si>
  <si>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</si>
  <si>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</si>
  <si>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</si>
  <si>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</si>
  <si>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</si>
  <si>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</si>
  <si>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</si>
  <si>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</si>
  <si>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</si>
  <si>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</si>
  <si>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</si>
  <si>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</si>
  <si>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</si>
  <si>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</si>
  <si>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</si>
  <si>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</si>
  <si>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</si>
  <si>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</si>
  <si>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</si>
  <si>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</si>
  <si>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</si>
  <si>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</si>
  <si>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</si>
  <si>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</si>
  <si>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</si>
  <si>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</si>
  <si>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</si>
  <si>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</si>
  <si>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</si>
  <si>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</si>
  <si>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</si>
  <si>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</si>
  <si>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</si>
  <si>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</si>
  <si>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</si>
  <si>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</si>
  <si>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</si>
  <si>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</si>
  <si>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</si>
  <si>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</si>
  <si>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</si>
  <si>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</si>
  <si>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</si>
  <si>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</si>
  <si>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</si>
  <si>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</si>
  <si>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</si>
  <si>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</si>
  <si>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</si>
  <si>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</si>
  <si>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</si>
  <si>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</si>
  <si>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</si>
  <si>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</si>
  <si>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</si>
  <si>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</si>
  <si>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</si>
  <si>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</si>
  <si>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</si>
  <si>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</si>
  <si>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</si>
  <si>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</si>
  <si>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</si>
  <si>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</si>
  <si>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</si>
  <si>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</si>
  <si>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</si>
  <si>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</si>
  <si>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</si>
  <si>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</si>
  <si>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</si>
  <si>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</si>
  <si>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</si>
  <si>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</si>
  <si>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</si>
  <si>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</si>
  <si>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</si>
  <si>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</si>
  <si>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</si>
  <si>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</si>
  <si>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</si>
  <si>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</si>
  <si>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</si>
  <si>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</si>
  <si>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</si>
  <si>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</si>
  <si>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</si>
  <si>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</si>
  <si>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</si>
  <si>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</si>
  <si>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</si>
  <si>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</si>
  <si>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</si>
  <si>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</si>
  <si>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</si>
  <si>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</si>
  <si>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</si>
  <si>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</si>
  <si>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</si>
  <si>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</si>
  <si>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</si>
  <si>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</si>
  <si>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</si>
  <si>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</si>
  <si>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</si>
  <si>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</si>
  <si>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</si>
  <si>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</si>
  <si>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</si>
  <si>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</si>
  <si>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</si>
  <si>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</si>
  <si>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</si>
  <si>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</si>
  <si>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</si>
  <si>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</si>
  <si>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</si>
  <si>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</si>
  <si>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</si>
  <si>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</si>
  <si>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</si>
  <si>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</si>
  <si>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</si>
  <si>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</si>
  <si>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</si>
  <si>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</si>
  <si>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</si>
  <si>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</si>
  <si>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</si>
  <si>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</si>
  <si>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</si>
  <si>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</si>
  <si>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</si>
  <si>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</si>
  <si>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</si>
  <si>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</si>
  <si>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</si>
  <si>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</si>
  <si>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</si>
  <si>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</si>
  <si>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</si>
  <si>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</si>
  <si>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</si>
  <si>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</si>
  <si>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</si>
  <si>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</si>
  <si>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</si>
  <si>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</si>
  <si>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</si>
  <si>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</si>
  <si>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</si>
  <si>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</si>
  <si>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</si>
  <si>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</si>
  <si>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</si>
  <si>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</si>
  <si>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</si>
  <si>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</si>
  <si>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</si>
  <si>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</si>
  <si>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</si>
  <si>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</si>
  <si>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</si>
  <si>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</si>
  <si>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</si>
  <si>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</si>
  <si>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</si>
  <si>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</si>
  <si>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</si>
  <si>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</si>
  <si>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</si>
  <si>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</si>
  <si>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</si>
  <si>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</si>
  <si>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</si>
  <si>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</si>
  <si>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</si>
  <si>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</si>
  <si>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</si>
  <si>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</si>
  <si>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</si>
  <si>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</si>
  <si>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</si>
  <si>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</si>
  <si>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</si>
  <si>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</si>
  <si>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</si>
  <si>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</si>
  <si>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</si>
  <si>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</si>
  <si>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</si>
  <si>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</si>
  <si>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</si>
  <si>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</si>
  <si>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</si>
  <si>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</si>
  <si>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</si>
  <si>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</si>
  <si>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</si>
  <si>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</si>
  <si>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</si>
  <si>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</si>
  <si>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</si>
  <si>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</si>
  <si>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</si>
  <si>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</si>
  <si>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</si>
  <si>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</si>
  <si>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</si>
  <si>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</si>
  <si>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</si>
  <si>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</si>
  <si>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</si>
  <si>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</si>
  <si>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</si>
  <si>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</si>
  <si>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</si>
  <si>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</si>
  <si>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</si>
  <si>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</si>
  <si>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</si>
  <si>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</si>
  <si>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</si>
  <si>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</si>
  <si>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</si>
  <si>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</si>
  <si>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</si>
  <si>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</si>
  <si>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</si>
  <si>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</si>
  <si>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</si>
  <si>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</si>
  <si>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</si>
  <si>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</si>
  <si>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</si>
  <si>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</si>
  <si>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</si>
  <si>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</si>
  <si>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</si>
  <si>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</si>
  <si>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</si>
  <si>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</si>
  <si>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</si>
  <si>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</si>
  <si>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</si>
  <si>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</si>
  <si>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</si>
  <si>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</si>
  <si>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</si>
  <si>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</si>
  <si>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</si>
  <si>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</si>
  <si>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</si>
  <si>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</si>
  <si>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</si>
  <si>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</si>
  <si>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</si>
  <si>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</si>
  <si>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</si>
  <si>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</si>
  <si>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</si>
  <si>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</si>
  <si>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</si>
  <si>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</si>
  <si>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</si>
  <si>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</si>
  <si>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</si>
  <si>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</si>
  <si>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</si>
  <si>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</si>
  <si>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</si>
  <si>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</si>
  <si>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</si>
  <si>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</si>
  <si>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</si>
  <si>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</si>
  <si>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</si>
  <si>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</si>
  <si>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</si>
  <si>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</si>
  <si>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</si>
  <si>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</si>
  <si>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</si>
  <si>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</si>
  <si>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</si>
  <si>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</si>
  <si>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</si>
  <si>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</si>
  <si>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</si>
  <si>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</si>
  <si>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</si>
  <si>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</si>
  <si>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</si>
  <si>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</si>
  <si>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</si>
  <si>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</si>
  <si>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</si>
  <si>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</si>
  <si>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</si>
  <si>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</si>
  <si>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</si>
  <si>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</si>
  <si>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</si>
  <si>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</si>
  <si>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</si>
  <si>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</si>
  <si>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</si>
  <si>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</si>
  <si>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</si>
  <si>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</si>
  <si>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</si>
  <si>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</si>
  <si>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</si>
  <si>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</si>
  <si>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</si>
  <si>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</si>
  <si>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</si>
  <si>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</si>
  <si>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</si>
  <si>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</si>
  <si>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</si>
  <si>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</si>
  <si>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</si>
  <si>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</si>
  <si>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</si>
  <si>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</si>
  <si>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</si>
  <si>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</si>
  <si>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</si>
  <si>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</si>
  <si>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</si>
  <si>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</si>
  <si>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</si>
  <si>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</si>
  <si>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</si>
  <si>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</si>
  <si>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</si>
  <si>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</si>
  <si>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</si>
  <si>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</si>
  <si>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</si>
  <si>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</si>
  <si>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</si>
  <si>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</si>
  <si>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</si>
  <si>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</si>
  <si>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</si>
  <si>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</si>
  <si>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</si>
  <si>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</si>
  <si>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</si>
  <si>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</si>
  <si>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</si>
  <si>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</si>
  <si>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</si>
  <si>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</si>
  <si>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</si>
  <si>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</si>
  <si>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</si>
  <si>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</si>
  <si>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</si>
  <si>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</si>
  <si>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</si>
  <si>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</si>
  <si>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</si>
  <si>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</si>
  <si>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</si>
  <si>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</si>
  <si>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</si>
  <si>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</si>
  <si>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</si>
  <si>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</si>
  <si>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</si>
  <si>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</si>
  <si>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</si>
  <si>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</si>
  <si>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</si>
  <si>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</si>
  <si>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</si>
  <si>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</si>
  <si>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</si>
  <si>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</si>
  <si>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</si>
  <si>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</si>
  <si>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</si>
  <si>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</si>
  <si>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</si>
  <si>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</si>
  <si>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</si>
  <si>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</si>
  <si>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</si>
  <si>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</si>
  <si>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</si>
  <si>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</si>
  <si>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</si>
  <si>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</si>
  <si>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</si>
  <si>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</si>
  <si>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</si>
  <si>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</si>
  <si>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</si>
  <si>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</si>
  <si>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</si>
  <si>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</si>
  <si>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</si>
  <si>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</si>
  <si>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</si>
  <si>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</si>
  <si>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</si>
  <si>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</si>
  <si>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</si>
  <si>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</si>
  <si>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</si>
  <si>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</si>
  <si>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</si>
  <si>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</si>
  <si>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</si>
  <si>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</si>
  <si>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</si>
  <si>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</si>
  <si>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</si>
  <si>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</si>
  <si>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</si>
  <si>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</si>
  <si>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</si>
  <si>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</si>
  <si>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</si>
  <si>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</si>
  <si>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</si>
  <si>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</si>
  <si>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</si>
  <si>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</si>
  <si>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</si>
  <si>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</si>
  <si>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</si>
  <si>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</si>
  <si>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</si>
  <si>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</si>
  <si>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</si>
  <si>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</si>
  <si>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</si>
  <si>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</si>
  <si>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</si>
  <si>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</si>
  <si>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</si>
  <si>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</si>
  <si>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</si>
  <si>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</si>
  <si>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</si>
  <si>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</si>
  <si>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</si>
  <si>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</si>
  <si>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</si>
  <si>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</si>
  <si>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</si>
  <si>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</si>
  <si>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</si>
  <si>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</si>
  <si>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</si>
  <si>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</si>
  <si>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</si>
  <si>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</si>
  <si>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</si>
  <si>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</si>
  <si>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</si>
  <si>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</si>
  <si>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</si>
  <si>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</si>
  <si>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</si>
  <si>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</si>
  <si>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</si>
  <si>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</si>
  <si>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</si>
  <si>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</si>
  <si>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</si>
  <si>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</si>
  <si>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</si>
  <si>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</si>
  <si>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</si>
  <si>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</si>
  <si>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</si>
  <si>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</si>
  <si>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</si>
  <si>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</si>
  <si>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</si>
  <si>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</si>
  <si>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</si>
  <si>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</si>
  <si>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</si>
  <si>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</si>
  <si>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</si>
  <si>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</si>
  <si>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</si>
  <si>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</si>
  <si>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</si>
  <si>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</si>
  <si>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</si>
  <si>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</si>
  <si>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</si>
  <si>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</si>
  <si>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</si>
  <si>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</si>
  <si>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</si>
  <si>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</si>
  <si>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</si>
  <si>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</si>
  <si>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</si>
  <si>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</si>
  <si>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</si>
  <si>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</si>
  <si>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</si>
  <si>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</si>
  <si>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</si>
  <si>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</si>
  <si>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</si>
  <si>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</si>
  <si>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</si>
  <si>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</si>
  <si>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</si>
  <si>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</si>
  <si>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</si>
  <si>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</si>
  <si>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</si>
  <si>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</si>
  <si>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</si>
  <si>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</si>
  <si>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</si>
  <si>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</si>
  <si>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</si>
  <si>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</si>
  <si>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</si>
  <si>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</si>
  <si>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</si>
  <si>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</si>
  <si>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</si>
  <si>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</si>
  <si>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</si>
  <si>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</si>
  <si>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</si>
  <si>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</si>
  <si>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</si>
  <si>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</si>
  <si>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</si>
  <si>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</si>
  <si>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</si>
  <si>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</si>
  <si>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</si>
  <si>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</si>
  <si>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</si>
  <si>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</si>
  <si>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</si>
  <si>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</si>
  <si>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</si>
  <si>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</si>
  <si>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</si>
  <si>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</si>
  <si>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</si>
  <si>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</si>
  <si>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</si>
  <si>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</si>
  <si>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</si>
  <si>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</si>
  <si>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</si>
  <si>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</si>
  <si>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</si>
  <si>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</si>
  <si>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</si>
  <si>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</si>
  <si>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</si>
  <si>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</si>
  <si>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</si>
  <si>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</si>
  <si>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</si>
  <si>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</si>
  <si>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</si>
  <si>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</si>
  <si>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</si>
  <si>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</si>
  <si>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</si>
  <si>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</si>
  <si>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</si>
  <si>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</si>
  <si>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</si>
  <si>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</si>
  <si>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</si>
  <si>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</si>
  <si>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</si>
  <si>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</si>
  <si>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</si>
  <si>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</si>
  <si>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</si>
  <si>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</si>
  <si>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</si>
  <si>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</si>
  <si>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</si>
  <si>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</si>
  <si>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</si>
  <si>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</si>
  <si>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</si>
  <si>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</si>
  <si>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</si>
  <si>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</si>
  <si>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</si>
  <si>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</si>
  <si>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</si>
  <si>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</si>
  <si>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</si>
  <si>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</si>
  <si>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</si>
  <si>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</si>
  <si>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</si>
  <si>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</si>
  <si>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</si>
  <si>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</si>
  <si>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</si>
  <si>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</si>
  <si>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</si>
  <si>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</si>
  <si>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</si>
  <si>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</si>
  <si>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</si>
  <si>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</si>
  <si>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</si>
  <si>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</si>
  <si>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</si>
  <si>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</si>
  <si>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</si>
  <si>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</si>
  <si>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</si>
  <si>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</si>
  <si>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</si>
  <si>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</si>
  <si>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</si>
  <si>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</si>
  <si>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</si>
  <si>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</si>
  <si>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</si>
  <si>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</si>
  <si>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</si>
  <si>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</si>
  <si>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</si>
  <si>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</si>
  <si>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</si>
  <si>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</si>
  <si>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</si>
  <si>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</si>
  <si>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</si>
  <si>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</si>
  <si>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</si>
  <si>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</si>
  <si>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</si>
  <si>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</si>
  <si>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</si>
  <si>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</si>
  <si>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</si>
  <si>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</si>
  <si>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</si>
  <si>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</si>
  <si>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</si>
  <si>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</si>
  <si>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</si>
  <si>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</si>
  <si>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</si>
  <si>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</si>
  <si>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</si>
  <si>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</si>
  <si>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</si>
  <si>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</si>
  <si>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</si>
  <si>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</si>
  <si>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</si>
  <si>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</si>
  <si>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</si>
  <si>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</si>
  <si>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</si>
  <si>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</si>
  <si>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</si>
  <si>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</si>
  <si>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</si>
  <si>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</si>
  <si>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</si>
  <si>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</si>
  <si>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</si>
  <si>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</si>
  <si>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</si>
  <si>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</si>
  <si>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</si>
  <si>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</si>
  <si>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</si>
  <si>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</si>
  <si>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</si>
  <si>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</si>
  <si>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</si>
  <si>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</si>
  <si>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</si>
  <si>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</si>
  <si>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</si>
  <si>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</si>
  <si>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</si>
  <si>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</si>
  <si>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</si>
  <si>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</si>
  <si>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</si>
  <si>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</si>
  <si>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</si>
  <si>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</si>
  <si>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</si>
  <si>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</si>
  <si>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</si>
  <si>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</si>
  <si>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</si>
  <si>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</si>
  <si>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</si>
  <si>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</si>
  <si>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</si>
  <si>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</si>
  <si>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</si>
  <si>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</si>
  <si>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</si>
  <si>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</si>
  <si>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</si>
  <si>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</si>
  <si>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</si>
  <si>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</si>
  <si>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</si>
  <si>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</si>
  <si>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</si>
  <si>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</si>
  <si>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</si>
  <si>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</si>
  <si>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45065</t>
  </si>
  <si>
    <t>ZWALM</t>
  </si>
  <si>
    <t>vloeibaar gas (MWh)</t>
  </si>
  <si>
    <t>biogas - RWZI</t>
  </si>
  <si>
    <t>niet WKK interne verbrandingsmotor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</si>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</sst>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304E523-86E6-4FC2-B9BC-962364A2C9C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69386.507494058169</c:v>
                </c:pt>
                <c:pt idx="1">
                  <c:v>12530.205873962343</c:v>
                </c:pt>
                <c:pt idx="2">
                  <c:v>557.23400000000004</c:v>
                </c:pt>
                <c:pt idx="3">
                  <c:v>5204.923245650838</c:v>
                </c:pt>
                <c:pt idx="4">
                  <c:v>2608.0449713016828</c:v>
                </c:pt>
                <c:pt idx="5">
                  <c:v>57059.475033932002</c:v>
                </c:pt>
                <c:pt idx="6">
                  <c:v>772.59372251335265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69386.507494058169</c:v>
                </c:pt>
                <c:pt idx="1">
                  <c:v>12530.205873962343</c:v>
                </c:pt>
                <c:pt idx="2">
                  <c:v>557.23400000000004</c:v>
                </c:pt>
                <c:pt idx="3">
                  <c:v>5204.923245650838</c:v>
                </c:pt>
                <c:pt idx="4">
                  <c:v>2608.0449713016828</c:v>
                </c:pt>
                <c:pt idx="5">
                  <c:v>57059.475033932002</c:v>
                </c:pt>
                <c:pt idx="6">
                  <c:v>772.59372251335265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14510.680540803418</c:v>
                </c:pt>
                <c:pt idx="2">
                  <c:v>2604.1552191074152</c:v>
                </c:pt>
                <c:pt idx="3">
                  <c:v>110.48791191229179</c:v>
                </c:pt>
                <c:pt idx="4">
                  <c:v>1328.2882611962109</c:v>
                </c:pt>
                <c:pt idx="5">
                  <c:v>544.41964597232402</c:v>
                </c:pt>
                <c:pt idx="6">
                  <c:v>14272.949650528613</c:v>
                </c:pt>
                <c:pt idx="7">
                  <c:v>194.63302039592372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14510.680540803418</c:v>
                </c:pt>
                <c:pt idx="2">
                  <c:v>2604.1552191074152</c:v>
                </c:pt>
                <c:pt idx="3">
                  <c:v>110.48791191229179</c:v>
                </c:pt>
                <c:pt idx="4">
                  <c:v>1328.2882611962109</c:v>
                </c:pt>
                <c:pt idx="5">
                  <c:v>544.41964597232402</c:v>
                </c:pt>
                <c:pt idx="6">
                  <c:v>14272.949650528613</c:v>
                </c:pt>
                <c:pt idx="7">
                  <c:v>194.63302039592372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45065</v>
      </c>
      <c r="B6" s="380"/>
      <c r="C6" s="381"/>
    </row>
    <row r="7" spans="1:7" s="378" customFormat="1" ht="15.75" customHeight="1">
      <c r="A7" s="382" t="str">
        <f>txtMunicipality</f>
        <v>ZWALM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0.19827920032211205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0.19827920032211205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3239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2077.06</v>
      </c>
      <c r="C14" s="322"/>
      <c r="D14" s="322"/>
      <c r="E14" s="322"/>
      <c r="F14" s="322"/>
    </row>
    <row r="15" spans="1:6">
      <c r="A15" s="1248" t="s">
        <v>177</v>
      </c>
      <c r="B15" s="1249">
        <v>9</v>
      </c>
      <c r="C15" s="322"/>
      <c r="D15" s="322"/>
      <c r="E15" s="322"/>
      <c r="F15" s="322"/>
    </row>
    <row r="16" spans="1:6">
      <c r="A16" s="1248" t="s">
        <v>6</v>
      </c>
      <c r="B16" s="1249">
        <v>549</v>
      </c>
      <c r="C16" s="322"/>
      <c r="D16" s="322"/>
      <c r="E16" s="322"/>
      <c r="F16" s="322"/>
    </row>
    <row r="17" spans="1:6">
      <c r="A17" s="1248" t="s">
        <v>7</v>
      </c>
      <c r="B17" s="1249">
        <v>361</v>
      </c>
      <c r="C17" s="322"/>
      <c r="D17" s="322"/>
      <c r="E17" s="322"/>
      <c r="F17" s="322"/>
    </row>
    <row r="18" spans="1:6">
      <c r="A18" s="1248" t="s">
        <v>8</v>
      </c>
      <c r="B18" s="1249">
        <v>549</v>
      </c>
      <c r="C18" s="322"/>
      <c r="D18" s="322"/>
      <c r="E18" s="322"/>
      <c r="F18" s="322"/>
    </row>
    <row r="19" spans="1:6">
      <c r="A19" s="1248" t="s">
        <v>9</v>
      </c>
      <c r="B19" s="1249">
        <v>468</v>
      </c>
      <c r="C19" s="322"/>
      <c r="D19" s="322"/>
      <c r="E19" s="322"/>
      <c r="F19" s="322"/>
    </row>
    <row r="20" spans="1:6">
      <c r="A20" s="1248" t="s">
        <v>10</v>
      </c>
      <c r="B20" s="1249">
        <v>396</v>
      </c>
      <c r="C20" s="322"/>
      <c r="D20" s="322"/>
      <c r="E20" s="322"/>
      <c r="F20" s="322"/>
    </row>
    <row r="21" spans="1:6">
      <c r="A21" s="1248" t="s">
        <v>11</v>
      </c>
      <c r="B21" s="1249">
        <v>1030</v>
      </c>
      <c r="C21" s="322"/>
      <c r="D21" s="322"/>
      <c r="E21" s="322"/>
      <c r="F21" s="322"/>
    </row>
    <row r="22" spans="1:6">
      <c r="A22" s="1248" t="s">
        <v>12</v>
      </c>
      <c r="B22" s="1249">
        <v>2886</v>
      </c>
      <c r="C22" s="322"/>
      <c r="D22" s="322"/>
      <c r="E22" s="322"/>
      <c r="F22" s="322"/>
    </row>
    <row r="23" spans="1:6">
      <c r="A23" s="1248" t="s">
        <v>13</v>
      </c>
      <c r="B23" s="1249">
        <v>71</v>
      </c>
      <c r="C23" s="322"/>
      <c r="D23" s="322"/>
      <c r="E23" s="322"/>
      <c r="F23" s="322"/>
    </row>
    <row r="24" spans="1:6">
      <c r="A24" s="1248" t="s">
        <v>14</v>
      </c>
      <c r="B24" s="1249">
        <v>4</v>
      </c>
      <c r="C24" s="322"/>
      <c r="D24" s="322"/>
      <c r="E24" s="322"/>
      <c r="F24" s="322"/>
    </row>
    <row r="25" spans="1:6">
      <c r="A25" s="1248" t="s">
        <v>15</v>
      </c>
      <c r="B25" s="1249">
        <v>316</v>
      </c>
      <c r="C25" s="322"/>
      <c r="D25" s="322"/>
      <c r="E25" s="322"/>
      <c r="F25" s="322"/>
    </row>
    <row r="26" spans="1:6">
      <c r="A26" s="1248" t="s">
        <v>16</v>
      </c>
      <c r="B26" s="1249">
        <v>160</v>
      </c>
      <c r="C26" s="322"/>
      <c r="D26" s="322"/>
      <c r="E26" s="322"/>
      <c r="F26" s="322"/>
    </row>
    <row r="27" spans="1:6">
      <c r="A27" s="1248" t="s">
        <v>17</v>
      </c>
      <c r="B27" s="1249">
        <v>0</v>
      </c>
      <c r="C27" s="322"/>
      <c r="D27" s="322"/>
      <c r="E27" s="322"/>
      <c r="F27" s="322"/>
    </row>
    <row r="28" spans="1:6">
      <c r="A28" s="1248" t="s">
        <v>18</v>
      </c>
      <c r="B28" s="1250">
        <v>101607</v>
      </c>
      <c r="C28" s="322"/>
      <c r="D28" s="322"/>
      <c r="E28" s="322"/>
      <c r="F28" s="322"/>
    </row>
    <row r="29" spans="1:6">
      <c r="A29" s="1248" t="s">
        <v>691</v>
      </c>
      <c r="B29" s="1250">
        <v>46</v>
      </c>
      <c r="C29" s="322"/>
      <c r="D29" s="322"/>
      <c r="E29" s="322"/>
      <c r="F29" s="322"/>
    </row>
    <row r="30" spans="1:6">
      <c r="A30" s="1243" t="s">
        <v>692</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163.73250823999999</v>
      </c>
    </row>
    <row r="39" spans="1:6">
      <c r="A39" s="1248" t="s">
        <v>29</v>
      </c>
      <c r="B39" s="1248" t="s">
        <v>30</v>
      </c>
      <c r="C39" s="1249">
        <v>1156</v>
      </c>
      <c r="D39" s="1249">
        <v>18912793.778610699</v>
      </c>
      <c r="E39" s="1249">
        <v>3099</v>
      </c>
      <c r="F39" s="1249">
        <v>13315263.82590444</v>
      </c>
    </row>
    <row r="40" spans="1:6">
      <c r="A40" s="1248" t="s">
        <v>29</v>
      </c>
      <c r="B40" s="1248" t="s">
        <v>28</v>
      </c>
      <c r="C40" s="1249">
        <v>0</v>
      </c>
      <c r="D40" s="1249">
        <v>0</v>
      </c>
      <c r="E40" s="1249">
        <v>0</v>
      </c>
      <c r="F40" s="1249">
        <v>0</v>
      </c>
    </row>
    <row r="41" spans="1:6">
      <c r="A41" s="1248" t="s">
        <v>31</v>
      </c>
      <c r="B41" s="1248" t="s">
        <v>32</v>
      </c>
      <c r="C41" s="1249">
        <v>11</v>
      </c>
      <c r="D41" s="1249">
        <v>209785.38700650301</v>
      </c>
      <c r="E41" s="1249">
        <v>74</v>
      </c>
      <c r="F41" s="1249">
        <v>466723.50011237501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15</v>
      </c>
      <c r="D48" s="1249">
        <v>359921.38617505698</v>
      </c>
      <c r="E48" s="1249">
        <v>32</v>
      </c>
      <c r="F48" s="1249">
        <v>942660.019170966</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99097.454601446196</v>
      </c>
    </row>
    <row r="51" spans="1:6">
      <c r="A51" s="1248" t="s">
        <v>41</v>
      </c>
      <c r="B51" s="1248" t="s">
        <v>42</v>
      </c>
      <c r="C51" s="1249">
        <v>4</v>
      </c>
      <c r="D51" s="1249">
        <v>100238.75417150601</v>
      </c>
      <c r="E51" s="1249">
        <v>61</v>
      </c>
      <c r="F51" s="1249">
        <v>861030.87261918595</v>
      </c>
    </row>
    <row r="52" spans="1:6">
      <c r="A52" s="1248" t="s">
        <v>41</v>
      </c>
      <c r="B52" s="1248" t="s">
        <v>28</v>
      </c>
      <c r="C52" s="1249">
        <v>5</v>
      </c>
      <c r="D52" s="1249">
        <v>143358.44984405299</v>
      </c>
      <c r="E52" s="1249">
        <v>8</v>
      </c>
      <c r="F52" s="1249">
        <v>139081.787960691</v>
      </c>
    </row>
    <row r="53" spans="1:6">
      <c r="A53" s="1248" t="s">
        <v>43</v>
      </c>
      <c r="B53" s="1248" t="s">
        <v>44</v>
      </c>
      <c r="C53" s="1249">
        <v>29</v>
      </c>
      <c r="D53" s="1249">
        <v>387594.82951463701</v>
      </c>
      <c r="E53" s="1249">
        <v>122</v>
      </c>
      <c r="F53" s="1249">
        <v>403045.30008151103</v>
      </c>
    </row>
    <row r="54" spans="1:6">
      <c r="A54" s="1248" t="s">
        <v>45</v>
      </c>
      <c r="B54" s="1248" t="s">
        <v>46</v>
      </c>
      <c r="C54" s="1249">
        <v>0</v>
      </c>
      <c r="D54" s="1249">
        <v>0</v>
      </c>
      <c r="E54" s="1249">
        <v>1</v>
      </c>
      <c r="F54" s="1249">
        <v>557234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v>
      </c>
      <c r="D57" s="1249">
        <v>123657.68158136</v>
      </c>
      <c r="E57" s="1249">
        <v>39</v>
      </c>
      <c r="F57" s="1249">
        <v>1186413.8137262301</v>
      </c>
    </row>
    <row r="58" spans="1:6">
      <c r="A58" s="1248" t="s">
        <v>48</v>
      </c>
      <c r="B58" s="1248" t="s">
        <v>50</v>
      </c>
      <c r="C58" s="1249">
        <v>6</v>
      </c>
      <c r="D58" s="1249">
        <v>183808.89846779199</v>
      </c>
      <c r="E58" s="1249">
        <v>18</v>
      </c>
      <c r="F58" s="1249">
        <v>122310.80802986299</v>
      </c>
    </row>
    <row r="59" spans="1:6">
      <c r="A59" s="1248" t="s">
        <v>48</v>
      </c>
      <c r="B59" s="1248" t="s">
        <v>51</v>
      </c>
      <c r="C59" s="1249">
        <v>0</v>
      </c>
      <c r="D59" s="1249">
        <v>0</v>
      </c>
      <c r="E59" s="1249">
        <v>44</v>
      </c>
      <c r="F59" s="1249">
        <v>945589.09848976904</v>
      </c>
    </row>
    <row r="60" spans="1:6">
      <c r="A60" s="1248" t="s">
        <v>48</v>
      </c>
      <c r="B60" s="1248" t="s">
        <v>52</v>
      </c>
      <c r="C60" s="1249">
        <v>13</v>
      </c>
      <c r="D60" s="1249">
        <v>428443.02951292699</v>
      </c>
      <c r="E60" s="1249">
        <v>36</v>
      </c>
      <c r="F60" s="1249">
        <v>663214.03894209804</v>
      </c>
    </row>
    <row r="61" spans="1:6">
      <c r="A61" s="1248" t="s">
        <v>48</v>
      </c>
      <c r="B61" s="1248" t="s">
        <v>53</v>
      </c>
      <c r="C61" s="1249">
        <v>23</v>
      </c>
      <c r="D61" s="1249">
        <v>886756.48693117301</v>
      </c>
      <c r="E61" s="1249">
        <v>80</v>
      </c>
      <c r="F61" s="1249">
        <v>853944.17558009003</v>
      </c>
    </row>
    <row r="62" spans="1:6">
      <c r="A62" s="1248" t="s">
        <v>48</v>
      </c>
      <c r="B62" s="1248" t="s">
        <v>54</v>
      </c>
      <c r="C62" s="1249">
        <v>0</v>
      </c>
      <c r="D62" s="1249">
        <v>0</v>
      </c>
      <c r="E62" s="1249">
        <v>8</v>
      </c>
      <c r="F62" s="1249">
        <v>74254.532299344894</v>
      </c>
    </row>
    <row r="63" spans="1:6">
      <c r="A63" s="1248" t="s">
        <v>48</v>
      </c>
      <c r="B63" s="1248" t="s">
        <v>28</v>
      </c>
      <c r="C63" s="1249">
        <v>65</v>
      </c>
      <c r="D63" s="1249">
        <v>3495458.5956530301</v>
      </c>
      <c r="E63" s="1249">
        <v>116</v>
      </c>
      <c r="F63" s="1249">
        <v>2222289.1908239401</v>
      </c>
    </row>
    <row r="64" spans="1:6">
      <c r="A64" s="1248" t="s">
        <v>55</v>
      </c>
      <c r="B64" s="1248" t="s">
        <v>56</v>
      </c>
      <c r="C64" s="1249">
        <v>0</v>
      </c>
      <c r="D64" s="1249">
        <v>0</v>
      </c>
      <c r="E64" s="1249">
        <v>0</v>
      </c>
      <c r="F64" s="1249">
        <v>0</v>
      </c>
    </row>
    <row r="65" spans="1:6">
      <c r="A65" s="1248" t="s">
        <v>55</v>
      </c>
      <c r="B65" s="1248" t="s">
        <v>28</v>
      </c>
      <c r="C65" s="1249">
        <v>1</v>
      </c>
      <c r="D65" s="1249">
        <v>6253.4653085600003</v>
      </c>
      <c r="E65" s="1249">
        <v>5</v>
      </c>
      <c r="F65" s="1249">
        <v>18449.551397863601</v>
      </c>
    </row>
    <row r="66" spans="1:6">
      <c r="A66" s="1248" t="s">
        <v>55</v>
      </c>
      <c r="B66" s="1248" t="s">
        <v>57</v>
      </c>
      <c r="C66" s="1249">
        <v>0</v>
      </c>
      <c r="D66" s="1249">
        <v>0</v>
      </c>
      <c r="E66" s="1249">
        <v>8</v>
      </c>
      <c r="F66" s="1249">
        <v>11972.6792193</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50944173</v>
      </c>
      <c r="E73" s="439"/>
      <c r="F73" s="322"/>
    </row>
    <row r="74" spans="1:6">
      <c r="A74" s="1248" t="s">
        <v>63</v>
      </c>
      <c r="B74" s="1248" t="s">
        <v>617</v>
      </c>
      <c r="C74" s="1261" t="s">
        <v>619</v>
      </c>
      <c r="D74" s="1249">
        <v>4291034.5</v>
      </c>
      <c r="E74" s="439"/>
      <c r="F74" s="322"/>
    </row>
    <row r="75" spans="1:6">
      <c r="A75" s="1248" t="s">
        <v>64</v>
      </c>
      <c r="B75" s="1248" t="s">
        <v>616</v>
      </c>
      <c r="C75" s="1261" t="s">
        <v>620</v>
      </c>
      <c r="D75" s="1249">
        <v>14116349</v>
      </c>
      <c r="E75" s="439"/>
      <c r="F75" s="322"/>
    </row>
    <row r="76" spans="1:6">
      <c r="A76" s="1248" t="s">
        <v>64</v>
      </c>
      <c r="B76" s="1248" t="s">
        <v>617</v>
      </c>
      <c r="C76" s="1261" t="s">
        <v>621</v>
      </c>
      <c r="D76" s="1249">
        <v>265795.5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210135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17.590620040955631</v>
      </c>
      <c r="C89" s="322"/>
      <c r="D89" s="322"/>
      <c r="E89" s="322"/>
      <c r="F89" s="322"/>
    </row>
    <row r="90" spans="1:6">
      <c r="A90" s="1248" t="s">
        <v>533</v>
      </c>
      <c r="B90" s="1249">
        <v>0</v>
      </c>
      <c r="C90" s="322"/>
      <c r="D90" s="322"/>
      <c r="E90" s="322"/>
      <c r="F90" s="322"/>
    </row>
    <row r="91" spans="1:6">
      <c r="A91" s="1248" t="s">
        <v>67</v>
      </c>
      <c r="B91" s="1249">
        <v>2137.2539001663949</v>
      </c>
      <c r="C91" s="322"/>
      <c r="D91" s="322"/>
      <c r="E91" s="322"/>
      <c r="F91" s="322"/>
    </row>
    <row r="92" spans="1:6">
      <c r="A92" s="1243" t="s">
        <v>68</v>
      </c>
      <c r="B92" s="1244">
        <v>176.36760689550883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72</v>
      </c>
      <c r="C97" s="322"/>
      <c r="D97" s="322"/>
      <c r="E97" s="322"/>
      <c r="F97" s="322"/>
    </row>
    <row r="98" spans="1:6">
      <c r="A98" s="1248" t="s">
        <v>71</v>
      </c>
      <c r="B98" s="1249">
        <v>1</v>
      </c>
      <c r="C98" s="322"/>
      <c r="D98" s="322"/>
      <c r="E98" s="322"/>
      <c r="F98" s="322"/>
    </row>
    <row r="99" spans="1:6">
      <c r="A99" s="1248" t="s">
        <v>72</v>
      </c>
      <c r="B99" s="1249">
        <v>102</v>
      </c>
      <c r="C99" s="322"/>
      <c r="D99" s="322"/>
      <c r="E99" s="322"/>
      <c r="F99" s="322"/>
    </row>
    <row r="100" spans="1:6">
      <c r="A100" s="1248" t="s">
        <v>73</v>
      </c>
      <c r="B100" s="1249">
        <v>331</v>
      </c>
      <c r="C100" s="322"/>
      <c r="D100" s="322"/>
      <c r="E100" s="322"/>
      <c r="F100" s="322"/>
    </row>
    <row r="101" spans="1:6">
      <c r="A101" s="1248" t="s">
        <v>74</v>
      </c>
      <c r="B101" s="1249">
        <v>77</v>
      </c>
      <c r="C101" s="322"/>
      <c r="D101" s="322"/>
      <c r="E101" s="322"/>
      <c r="F101" s="322"/>
    </row>
    <row r="102" spans="1:6">
      <c r="A102" s="1248" t="s">
        <v>75</v>
      </c>
      <c r="B102" s="1249">
        <v>48</v>
      </c>
      <c r="C102" s="322"/>
      <c r="D102" s="322"/>
      <c r="E102" s="322"/>
      <c r="F102" s="322"/>
    </row>
    <row r="103" spans="1:6">
      <c r="A103" s="1248" t="s">
        <v>76</v>
      </c>
      <c r="B103" s="1249">
        <v>263</v>
      </c>
      <c r="C103" s="322"/>
      <c r="D103" s="322"/>
      <c r="E103" s="322"/>
      <c r="F103" s="322"/>
    </row>
    <row r="104" spans="1:6">
      <c r="A104" s="1248" t="s">
        <v>77</v>
      </c>
      <c r="B104" s="1249">
        <v>1972</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33</v>
      </c>
      <c r="C123" s="1249">
        <v>8</v>
      </c>
      <c r="D123" s="322"/>
      <c r="E123" s="322"/>
      <c r="F123" s="322"/>
    </row>
    <row r="124" spans="1:6">
      <c r="A124" s="1248" t="s">
        <v>88</v>
      </c>
      <c r="B124" s="1249">
        <v>2</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126</v>
      </c>
      <c r="C129" s="322"/>
      <c r="D129" s="322"/>
      <c r="E129" s="322"/>
      <c r="F129" s="322"/>
    </row>
    <row r="130" spans="1:6">
      <c r="A130" s="1248" t="s">
        <v>283</v>
      </c>
      <c r="B130" s="1249">
        <v>6</v>
      </c>
      <c r="C130" s="322"/>
      <c r="D130" s="322"/>
      <c r="E130" s="322"/>
      <c r="F130" s="322"/>
    </row>
    <row r="131" spans="1:6">
      <c r="A131" s="1248" t="s">
        <v>284</v>
      </c>
      <c r="B131" s="1249">
        <v>0</v>
      </c>
      <c r="C131" s="322"/>
      <c r="D131" s="322"/>
      <c r="E131" s="322"/>
      <c r="F131" s="322"/>
    </row>
    <row r="132" spans="1:6">
      <c r="A132" s="1243" t="s">
        <v>285</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25301.392919246478</v>
      </c>
      <c r="C3" s="43" t="s">
        <v>163</v>
      </c>
      <c r="D3" s="43"/>
      <c r="E3" s="153"/>
      <c r="F3" s="43"/>
      <c r="G3" s="43"/>
      <c r="H3" s="43"/>
      <c r="I3" s="43"/>
      <c r="J3" s="43"/>
      <c r="K3" s="96"/>
    </row>
    <row r="4" spans="1:11">
      <c r="A4" s="348" t="s">
        <v>164</v>
      </c>
      <c r="B4" s="49">
        <f>IF(ISERROR('SEAP template'!B78+'SEAP template'!C78),0,'SEAP template'!B78+'SEAP template'!C78)</f>
        <v>2601.2121271028595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0.19827920032211205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557.23400000000004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557.23400000000004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0.19827920032211205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110.48791191229179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13315.26382590444</v>
      </c>
      <c r="C5" s="17">
        <f>IF(ISERROR('Eigen informatie GS &amp; warmtenet'!B57),0,'Eigen informatie GS &amp; warmtenet'!B57)</f>
        <v>0</v>
      </c>
      <c r="D5" s="30">
        <f>(SUM(HH_hh_gas_kWh,HH_rest_gas_kWh)/1000)*0.902</f>
        <v>17059.339988306852</v>
      </c>
      <c r="E5" s="17">
        <f>B32*B41</f>
        <v>1238.890516467025</v>
      </c>
      <c r="F5" s="17">
        <f>B36*B45</f>
        <v>28716.51829481289</v>
      </c>
      <c r="G5" s="18"/>
      <c r="H5" s="17"/>
      <c r="I5" s="17"/>
      <c r="J5" s="17">
        <f>B35*B44+C35*C44</f>
        <v>147.57760882426069</v>
      </c>
      <c r="K5" s="17"/>
      <c r="L5" s="17"/>
      <c r="M5" s="17"/>
      <c r="N5" s="17">
        <f>B34*B43+C34*C43</f>
        <v>5378.4800262429699</v>
      </c>
      <c r="O5" s="17">
        <f>B52*B53*B54</f>
        <v>211.05</v>
      </c>
      <c r="P5" s="17">
        <f>B60*B61*B62/1000-B60*B61*B62/1000/B63</f>
        <v>1182.1333333333332</v>
      </c>
    </row>
    <row r="6" spans="1:16">
      <c r="A6" s="16" t="s">
        <v>582</v>
      </c>
      <c r="B6" s="716">
        <f>kWh_PV_kleiner_dan_10kW</f>
        <v>2137.2539001663949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15452.517726070835</v>
      </c>
      <c r="C8" s="21">
        <f>C5</f>
        <v>0</v>
      </c>
      <c r="D8" s="21">
        <f>D5</f>
        <v>17059.339988306852</v>
      </c>
      <c r="E8" s="21">
        <f>E5</f>
        <v>1238.890516467025</v>
      </c>
      <c r="F8" s="21">
        <f>F5</f>
        <v>28716.51829481289</v>
      </c>
      <c r="G8" s="21"/>
      <c r="H8" s="21"/>
      <c r="I8" s="21"/>
      <c r="J8" s="21">
        <f>J5</f>
        <v>147.57760882426069</v>
      </c>
      <c r="K8" s="21"/>
      <c r="L8" s="21">
        <f>L5</f>
        <v>0</v>
      </c>
      <c r="M8" s="21">
        <f>M5</f>
        <v>0</v>
      </c>
      <c r="N8" s="21">
        <f>N5</f>
        <v>5378.4800262429699</v>
      </c>
      <c r="O8" s="21">
        <f>O5</f>
        <v>211.05</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0.19827920032211205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3063.9128576885864</v>
      </c>
      <c r="C12" s="23">
        <f ca="1">C10*C8</f>
        <v>0</v>
      </c>
      <c r="D12" s="23">
        <f>D8*D10</f>
        <v>3445.9866776379845</v>
      </c>
      <c r="E12" s="23">
        <f>E10*E8</f>
        <v>281.22814723801469</v>
      </c>
      <c r="F12" s="23">
        <f>F10*F8</f>
        <v>7667.3103847150423</v>
      </c>
      <c r="G12" s="23"/>
      <c r="H12" s="23"/>
      <c r="I12" s="23"/>
      <c r="J12" s="23">
        <f>J10*J8</f>
        <v>52.242473523788284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3239</v>
      </c>
      <c r="C26" s="36"/>
      <c r="D26" s="224"/>
    </row>
    <row r="27" spans="1:5" s="15" customFormat="1">
      <c r="A27" s="226" t="s">
        <v>736</v>
      </c>
      <c r="B27" s="37">
        <f>SUM(HH_hh_gas_aantal,HH_rest_gas_aantal)</f>
        <v>1156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1098.2</v>
      </c>
      <c r="C31" s="34" t="s">
        <v>104</v>
      </c>
      <c r="D31" s="170"/>
    </row>
    <row r="32" spans="1:5">
      <c r="A32" s="167" t="s">
        <v>72</v>
      </c>
      <c r="B32" s="33">
        <f>IF((B21*($B$26-($B$27-0.05*$B$27)-$B$60))&lt;0,0,B21*($B$26-($B$27-0.05*$B$27)-$B$60))</f>
        <v>22.893477330936207</v>
      </c>
      <c r="C32" s="34" t="s">
        <v>104</v>
      </c>
      <c r="D32" s="170"/>
    </row>
    <row r="33" spans="1:6">
      <c r="A33" s="167" t="s">
        <v>73</v>
      </c>
      <c r="B33" s="33">
        <f>IF((B22*($B$26-($B$27-0.05*$B$27)-$B$60))&lt;0,0,B22*($B$26-($B$27-0.05*$B$27)-$B$60))</f>
        <v>475.97461894921656</v>
      </c>
      <c r="C33" s="34" t="s">
        <v>104</v>
      </c>
      <c r="D33" s="170"/>
    </row>
    <row r="34" spans="1:6">
      <c r="A34" s="167" t="s">
        <v>74</v>
      </c>
      <c r="B34" s="33">
        <f>IF((B24*($B$26-($B$27-0.05*$B$27)-$B$60))&lt;0,0,B24*($B$26-($B$27-0.05*$B$27)-$B$60))</f>
        <v>185.77126201892605</v>
      </c>
      <c r="C34" s="33">
        <f>B26*C24</f>
        <v>573.70670493442469</v>
      </c>
      <c r="D34" s="229"/>
    </row>
    <row r="35" spans="1:6">
      <c r="A35" s="167" t="s">
        <v>76</v>
      </c>
      <c r="B35" s="33">
        <f>IF((B19*($B$26-($B$27-0.05*$B$27)-$B$60))&lt;0,0,B19*($B$26-($B$27-0.05*$B$27)-$B$60))</f>
        <v>17.327893720348111</v>
      </c>
      <c r="C35" s="33">
        <f>B35/2</f>
        <v>8.6639468601740557</v>
      </c>
      <c r="D35" s="229"/>
    </row>
    <row r="36" spans="1:6">
      <c r="A36" s="167" t="s">
        <v>77</v>
      </c>
      <c r="B36" s="33">
        <f>IF((B18*($B$26-($B$27-0.05*$B$27)-$B$60))&lt;0,0,B18*($B$26-($B$27-0.05*$B$27)-$B$60))</f>
        <v>1376.8327479805732</v>
      </c>
      <c r="C36" s="34" t="s">
        <v>104</v>
      </c>
      <c r="D36" s="170"/>
    </row>
    <row r="37" spans="1:6">
      <c r="A37" s="167" t="s">
        <v>78</v>
      </c>
      <c r="B37" s="33">
        <f>B60</f>
        <v>62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135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6068.0156578913356</v>
      </c>
      <c r="C5" s="17">
        <f>IF(ISERROR('Eigen informatie GS &amp; warmtenet'!B58),0,'Eigen informatie GS &amp; warmtenet'!B58)</f>
        <v>0</v>
      </c>
      <c r="D5" s="30">
        <f>SUM(D6:D12)</f>
        <v>4616.5484723159461</v>
      </c>
      <c r="E5" s="17">
        <f>SUM(E6:E12)</f>
        <v>81.941523868238576</v>
      </c>
      <c r="F5" s="17">
        <f>SUM(F6:F12)</f>
        <v>1484.3026705074838</v>
      </c>
      <c r="G5" s="18"/>
      <c r="H5" s="17"/>
      <c r="I5" s="17"/>
      <c r="J5" s="17">
        <f>SUM(J6:J12)</f>
        <v>1.7549379340323135E-2</v>
      </c>
      <c r="K5" s="17"/>
      <c r="L5" s="17"/>
      <c r="M5" s="17"/>
      <c r="N5" s="17">
        <f>SUM(N6:N12)</f>
        <v>694.71255087825898</v>
      </c>
      <c r="O5" s="17">
        <f>B38*B39*B40</f>
        <v>9.3800000000000008</v>
      </c>
      <c r="P5" s="17">
        <f>B46*B47*B48/1000-B46*B47*B48/1000/B49</f>
        <v>0</v>
      </c>
      <c r="R5" s="32"/>
    </row>
    <row r="6" spans="1:18">
      <c r="A6" s="32" t="s">
        <v>53</v>
      </c>
      <c r="B6" s="37">
        <f>B26</f>
        <v>853.94417558009002</v>
      </c>
      <c r="C6" s="33"/>
      <c r="D6" s="37">
        <f>IF(ISERROR(TER_kantoor_gas_kWh/1000),0,TER_kantoor_gas_kWh/1000)*0.902</f>
        <v>799.85435121191801</v>
      </c>
      <c r="E6" s="33">
        <f>$C$26*'E Balans VL '!I12/100/3.6*1000000</f>
        <v>-7.0119932272800297E-5</v>
      </c>
      <c r="F6" s="33">
        <f>$C$26*('E Balans VL '!L12+'E Balans VL '!N12)/100/3.6*1000000</f>
        <v>108.22152425232974</v>
      </c>
      <c r="G6" s="34"/>
      <c r="H6" s="33"/>
      <c r="I6" s="33"/>
      <c r="J6" s="33">
        <f>$C$26*('E Balans VL '!D12+'E Balans VL '!E12)/100/3.6*1000000</f>
        <v>0</v>
      </c>
      <c r="K6" s="33"/>
      <c r="L6" s="33"/>
      <c r="M6" s="33"/>
      <c r="N6" s="33">
        <f>$C$26*'E Balans VL '!Y12/100/3.6*1000000</f>
        <v>1.0474130414991587</v>
      </c>
      <c r="O6" s="33"/>
      <c r="P6" s="33"/>
      <c r="R6" s="32"/>
    </row>
    <row r="7" spans="1:18">
      <c r="A7" s="32" t="s">
        <v>52</v>
      </c>
      <c r="B7" s="37">
        <f t="shared" ref="B7:B12" si="0">B27</f>
        <v>663.214038942098</v>
      </c>
      <c r="C7" s="33"/>
      <c r="D7" s="37">
        <f>IF(ISERROR(TER_horeca_gas_kWh/1000),0,TER_horeca_gas_kWh/1000)*0.902</f>
        <v>386.45561262066019</v>
      </c>
      <c r="E7" s="33">
        <f>$C$27*'E Balans VL '!I9/100/3.6*1000000</f>
        <v>7.6339183894104981</v>
      </c>
      <c r="F7" s="33">
        <f>$C$27*('E Balans VL '!L9+'E Balans VL '!N9)/100/3.6*1000000</f>
        <v>85.510730665680342</v>
      </c>
      <c r="G7" s="34"/>
      <c r="H7" s="33"/>
      <c r="I7" s="33"/>
      <c r="J7" s="33">
        <f>$C$27*('E Balans VL '!D9+'E Balans VL '!E9)/100/3.6*1000000</f>
        <v>0</v>
      </c>
      <c r="K7" s="33"/>
      <c r="L7" s="33"/>
      <c r="M7" s="33"/>
      <c r="N7" s="33">
        <f>$C$27*'E Balans VL '!Y9/100/3.6*1000000</f>
        <v>7.0000721985622079</v>
      </c>
      <c r="O7" s="33"/>
      <c r="P7" s="33"/>
      <c r="R7" s="32"/>
    </row>
    <row r="8" spans="1:18">
      <c r="A8" s="6" t="s">
        <v>51</v>
      </c>
      <c r="B8" s="37">
        <f t="shared" si="0"/>
        <v>945.58909848976907</v>
      </c>
      <c r="C8" s="33"/>
      <c r="D8" s="37">
        <f>IF(ISERROR(TER_handel_gas_kWh/1000),0,TER_handel_gas_kWh/1000)*0.902</f>
        <v>0</v>
      </c>
      <c r="E8" s="33">
        <f>$C$28*'E Balans VL '!I13/100/3.6*1000000</f>
        <v>26.679233775758597</v>
      </c>
      <c r="F8" s="33">
        <f>$C$28*('E Balans VL '!L13+'E Balans VL '!N13)/100/3.6*1000000</f>
        <v>95.105991010810982</v>
      </c>
      <c r="G8" s="34"/>
      <c r="H8" s="33"/>
      <c r="I8" s="33"/>
      <c r="J8" s="33">
        <f>$C$28*('E Balans VL '!D13+'E Balans VL '!E13)/100/3.6*1000000</f>
        <v>0</v>
      </c>
      <c r="K8" s="33"/>
      <c r="L8" s="33"/>
      <c r="M8" s="33"/>
      <c r="N8" s="33">
        <f>$C$28*'E Balans VL '!Y13/100/3.6*1000000</f>
        <v>1.3052798338037968</v>
      </c>
      <c r="O8" s="33"/>
      <c r="P8" s="33"/>
      <c r="R8" s="32"/>
    </row>
    <row r="9" spans="1:18">
      <c r="A9" s="32" t="s">
        <v>50</v>
      </c>
      <c r="B9" s="37">
        <f t="shared" si="0"/>
        <v>122.310808029863</v>
      </c>
      <c r="C9" s="33"/>
      <c r="D9" s="37">
        <f>IF(ISERROR(TER_gezond_gas_kWh/1000),0,TER_gezond_gas_kWh/1000)*0.902</f>
        <v>165.7956264179484</v>
      </c>
      <c r="E9" s="33">
        <f>$C$29*'E Balans VL '!I10/100/3.6*1000000</f>
        <v>0.24433933909192573</v>
      </c>
      <c r="F9" s="33">
        <f>$C$29*('E Balans VL '!L10+'E Balans VL '!N10)/100/3.6*1000000</f>
        <v>10.716880218949507</v>
      </c>
      <c r="G9" s="34"/>
      <c r="H9" s="33"/>
      <c r="I9" s="33"/>
      <c r="J9" s="33">
        <f>$C$29*('E Balans VL '!D10+'E Balans VL '!E10)/100/3.6*1000000</f>
        <v>0</v>
      </c>
      <c r="K9" s="33"/>
      <c r="L9" s="33"/>
      <c r="M9" s="33"/>
      <c r="N9" s="33">
        <f>$C$29*'E Balans VL '!Y10/100/3.6*1000000</f>
        <v>1.8501267837622282</v>
      </c>
      <c r="O9" s="33"/>
      <c r="P9" s="33"/>
      <c r="R9" s="32"/>
    </row>
    <row r="10" spans="1:18">
      <c r="A10" s="32" t="s">
        <v>49</v>
      </c>
      <c r="B10" s="37">
        <f t="shared" si="0"/>
        <v>1186.41381372623</v>
      </c>
      <c r="C10" s="33"/>
      <c r="D10" s="37">
        <f>IF(ISERROR(TER_ander_gas_kWh/1000),0,TER_ander_gas_kWh/1000)*0.902</f>
        <v>111.53922878638672</v>
      </c>
      <c r="E10" s="33">
        <f>$C$30*'E Balans VL '!I14/100/3.6*1000000</f>
        <v>16.71370769431552</v>
      </c>
      <c r="F10" s="33">
        <f>$C$30*('E Balans VL '!L14+'E Balans VL '!N14)/100/3.6*1000000</f>
        <v>719.69383025131469</v>
      </c>
      <c r="G10" s="34"/>
      <c r="H10" s="33"/>
      <c r="I10" s="33"/>
      <c r="J10" s="33">
        <f>$C$30*('E Balans VL '!D14+'E Balans VL '!E14)/100/3.6*1000000</f>
        <v>1.3024542942330354E-2</v>
      </c>
      <c r="K10" s="33"/>
      <c r="L10" s="33"/>
      <c r="M10" s="33"/>
      <c r="N10" s="33">
        <f>$C$30*'E Balans VL '!Y14/100/3.6*1000000</f>
        <v>501.77147268929781</v>
      </c>
      <c r="O10" s="33"/>
      <c r="P10" s="33"/>
      <c r="R10" s="32"/>
    </row>
    <row r="11" spans="1:18">
      <c r="A11" s="32" t="s">
        <v>54</v>
      </c>
      <c r="B11" s="37">
        <f t="shared" si="0"/>
        <v>74.254532299344888</v>
      </c>
      <c r="C11" s="33"/>
      <c r="D11" s="37">
        <f>IF(ISERROR(TER_onderwijs_gas_kWh/1000),0,TER_onderwijs_gas_kWh/1000)*0.902</f>
        <v>0</v>
      </c>
      <c r="E11" s="33">
        <f>$C$31*'E Balans VL '!I11/100/3.6*1000000</f>
        <v>1.9380797915815489</v>
      </c>
      <c r="F11" s="33">
        <f>$C$31*('E Balans VL '!L11+'E Balans VL '!N11)/100/3.6*1000000</f>
        <v>9.1376441652564306</v>
      </c>
      <c r="G11" s="34"/>
      <c r="H11" s="33"/>
      <c r="I11" s="33"/>
      <c r="J11" s="33">
        <f>$C$31*('E Balans VL '!D11+'E Balans VL '!E11)/100/3.6*1000000</f>
        <v>0</v>
      </c>
      <c r="K11" s="33"/>
      <c r="L11" s="33"/>
      <c r="M11" s="33"/>
      <c r="N11" s="33">
        <f>$C$31*'E Balans VL '!Y11/100/3.6*1000000</f>
        <v>0.23514219673926287</v>
      </c>
      <c r="O11" s="33"/>
      <c r="P11" s="33"/>
      <c r="R11" s="32"/>
    </row>
    <row r="12" spans="1:18">
      <c r="A12" s="32" t="s">
        <v>248</v>
      </c>
      <c r="B12" s="37">
        <f t="shared" si="0"/>
        <v>2222.2891908239403</v>
      </c>
      <c r="C12" s="33"/>
      <c r="D12" s="37">
        <f>IF(ISERROR(TER_rest_gas_kWh/1000),0,TER_rest_gas_kWh/1000)*0.902</f>
        <v>3152.9036532790333</v>
      </c>
      <c r="E12" s="33">
        <f>$C$32*'E Balans VL '!I8/100/3.6*1000000</f>
        <v>28.732314998012765</v>
      </c>
      <c r="F12" s="33">
        <f>$C$32*('E Balans VL '!L8+'E Balans VL '!N8)/100/3.6*1000000</f>
        <v>455.91606994314202</v>
      </c>
      <c r="G12" s="34"/>
      <c r="H12" s="33"/>
      <c r="I12" s="33"/>
      <c r="J12" s="33">
        <f>$C$32*('E Balans VL '!D8+'E Balans VL '!E8)/100/3.6*1000000</f>
        <v>4.5248363979927811E-3</v>
      </c>
      <c r="K12" s="33"/>
      <c r="L12" s="33"/>
      <c r="M12" s="33"/>
      <c r="N12" s="33">
        <f>$C$32*'E Balans VL '!Y8/100/3.6*1000000</f>
        <v>181.50304413459452</v>
      </c>
      <c r="O12" s="33"/>
      <c r="P12" s="33"/>
      <c r="R12" s="32"/>
    </row>
    <row r="13" spans="1:18">
      <c r="A13" s="16" t="s">
        <v>473</v>
      </c>
      <c r="B13" s="242">
        <f ca="1">'lokale energieproductie'!N38+'lokale energieproductie'!N31</f>
        <v>270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-771.42857142857144</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6338.0156578913356</v>
      </c>
      <c r="C16" s="21">
        <f t="shared" ca="1" si="1"/>
        <v>0</v>
      </c>
      <c r="D16" s="21">
        <f t="shared" ca="1" si="1"/>
        <v>4616.5484723159461</v>
      </c>
      <c r="E16" s="21">
        <f t="shared" si="1"/>
        <v>81.941523868238576</v>
      </c>
      <c r="F16" s="21">
        <f t="shared" ca="1" si="1"/>
        <v>1484.3026705074838</v>
      </c>
      <c r="G16" s="21">
        <f t="shared" si="1"/>
        <v>0</v>
      </c>
      <c r="H16" s="21">
        <f t="shared" si="1"/>
        <v>0</v>
      </c>
      <c r="I16" s="21">
        <f t="shared" si="1"/>
        <v>0</v>
      </c>
      <c r="J16" s="21">
        <f t="shared" si="1"/>
        <v>1.7549379340323135E-2</v>
      </c>
      <c r="K16" s="21">
        <f t="shared" si="1"/>
        <v>0</v>
      </c>
      <c r="L16" s="21">
        <f t="shared" ca="1" si="1"/>
        <v>0</v>
      </c>
      <c r="M16" s="21">
        <f t="shared" si="1"/>
        <v>0</v>
      </c>
      <c r="N16" s="21">
        <f t="shared" ca="1" si="1"/>
        <v>0</v>
      </c>
      <c r="O16" s="21">
        <f>O5</f>
        <v>9.3800000000000008</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0.19827920032211205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1256.696676275719</v>
      </c>
      <c r="C20" s="23">
        <f t="shared" ref="C20:P20" ca="1" si="2">C16*C18</f>
        <v>0</v>
      </c>
      <c r="D20" s="23">
        <f t="shared" ca="1" si="2"/>
        <v>932.54279140782114</v>
      </c>
      <c r="E20" s="23">
        <f t="shared" si="2"/>
        <v>18.600725918090159</v>
      </c>
      <c r="F20" s="23">
        <f t="shared" ca="1" si="2"/>
        <v>396.30881302549818</v>
      </c>
      <c r="G20" s="23">
        <f t="shared" si="2"/>
        <v>0</v>
      </c>
      <c r="H20" s="23">
        <f t="shared" si="2"/>
        <v>0</v>
      </c>
      <c r="I20" s="23">
        <f t="shared" si="2"/>
        <v>0</v>
      </c>
      <c r="J20" s="23">
        <f t="shared" si="2"/>
        <v>6.2124802864743896E-3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853.94417558009002</v>
      </c>
      <c r="C26" s="39">
        <f>IF(ISERROR(B26*3.6/1000000/'E Balans VL '!Z12*100),0,B26*3.6/1000000/'E Balans VL '!Z12*100)</f>
        <v>2.3151160478046266E-2</v>
      </c>
      <c r="D26" s="232" t="s">
        <v>700</v>
      </c>
      <c r="F26" s="6"/>
    </row>
    <row r="27" spans="1:18">
      <c r="A27" s="227" t="s">
        <v>52</v>
      </c>
      <c r="B27" s="33">
        <f>IF(ISERROR(TER_horeca_ele_kWh/1000),0,TER_horeca_ele_kWh/1000)</f>
        <v>663.214038942098</v>
      </c>
      <c r="C27" s="39">
        <f>IF(ISERROR(B27*3.6/1000000/'E Balans VL '!Z9*100),0,B27*3.6/1000000/'E Balans VL '!Z9*100)</f>
        <v>5.1300301610723756E-2</v>
      </c>
      <c r="D27" s="232" t="s">
        <v>700</v>
      </c>
      <c r="F27" s="6"/>
    </row>
    <row r="28" spans="1:18">
      <c r="A28" s="167" t="s">
        <v>51</v>
      </c>
      <c r="B28" s="33">
        <f>IF(ISERROR(TER_handel_ele_kWh/1000),0,TER_handel_ele_kWh/1000)</f>
        <v>945.58909848976907</v>
      </c>
      <c r="C28" s="39">
        <f>IF(ISERROR(B28*3.6/1000000/'E Balans VL '!Z13*100),0,B28*3.6/1000000/'E Balans VL '!Z13*100)</f>
        <v>2.7348882311419406E-2</v>
      </c>
      <c r="D28" s="232" t="s">
        <v>700</v>
      </c>
      <c r="F28" s="6"/>
    </row>
    <row r="29" spans="1:18">
      <c r="A29" s="227" t="s">
        <v>50</v>
      </c>
      <c r="B29" s="33">
        <f>IF(ISERROR(TER_gezond_ele_kWh/1000),0,TER_gezond_ele_kWh/1000)</f>
        <v>122.310808029863</v>
      </c>
      <c r="C29" s="39">
        <f>IF(ISERROR(B29*3.6/1000000/'E Balans VL '!Z10*100),0,B29*3.6/1000000/'E Balans VL '!Z10*100)</f>
        <v>1.2596813726741598E-2</v>
      </c>
      <c r="D29" s="232" t="s">
        <v>700</v>
      </c>
      <c r="F29" s="6"/>
    </row>
    <row r="30" spans="1:18">
      <c r="A30" s="227" t="s">
        <v>49</v>
      </c>
      <c r="B30" s="33">
        <f>IF(ISERROR(TER_ander_ele_kWh/1000),0,TER_ander_ele_kWh/1000)</f>
        <v>1186.41381372623</v>
      </c>
      <c r="C30" s="39">
        <f>IF(ISERROR(B30*3.6/1000000/'E Balans VL '!Z14*100),0,B30*3.6/1000000/'E Balans VL '!Z14*100)</f>
        <v>5.3342837989066291E-2</v>
      </c>
      <c r="D30" s="232" t="s">
        <v>700</v>
      </c>
      <c r="F30" s="6"/>
    </row>
    <row r="31" spans="1:18">
      <c r="A31" s="227" t="s">
        <v>54</v>
      </c>
      <c r="B31" s="33">
        <f>IF(ISERROR(TER_onderwijs_ele_kWh/1000),0,TER_onderwijs_ele_kWh/1000)</f>
        <v>74.254532299344888</v>
      </c>
      <c r="C31" s="39">
        <f>IF(ISERROR(B31*3.6/1000000/'E Balans VL '!Z11*100),0,B31*3.6/1000000/'E Balans VL '!Z11*100)</f>
        <v>2.0751686054115575E-2</v>
      </c>
      <c r="D31" s="232" t="s">
        <v>700</v>
      </c>
    </row>
    <row r="32" spans="1:18">
      <c r="A32" s="227" t="s">
        <v>248</v>
      </c>
      <c r="B32" s="33">
        <f>IF(ISERROR(TER_rest_ele_kWh/1000),0,TER_rest_ele_kWh/1000)</f>
        <v>2222.2891908239403</v>
      </c>
      <c r="C32" s="39">
        <f>IF(ISERROR(B32*3.6/1000000/'E Balans VL '!Z8*100),0,B32*3.6/1000000/'E Balans VL '!Z8*100)</f>
        <v>1.8531753165840738E-2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6</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1508.4809738847873</v>
      </c>
      <c r="C5" s="17">
        <f>IF(ISERROR('Eigen informatie GS &amp; warmtenet'!B59),0,'Eigen informatie GS &amp; warmtenet'!B59)</f>
        <v>0</v>
      </c>
      <c r="D5" s="30">
        <f>SUM(D6:D15)</f>
        <v>513.87550940976712</v>
      </c>
      <c r="E5" s="17">
        <f>SUM(E6:E15)</f>
        <v>53.916714474363097</v>
      </c>
      <c r="F5" s="17">
        <f>SUM(F6:F15)</f>
        <v>479.78329054177129</v>
      </c>
      <c r="G5" s="18"/>
      <c r="H5" s="17"/>
      <c r="I5" s="17"/>
      <c r="J5" s="17">
        <f>SUM(J6:J15)</f>
        <v>3.3196584978000887</v>
      </c>
      <c r="K5" s="17"/>
      <c r="L5" s="17"/>
      <c r="M5" s="17"/>
      <c r="N5" s="17">
        <f>SUM(N6:N15)</f>
        <v>48.668824493194009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466.72350011237501</v>
      </c>
      <c r="C9" s="33"/>
      <c r="D9" s="37">
        <f>IF( ISERROR(IND_andere_gas_kWh/1000),0,IND_andere_gas_kWh/1000)*0.902</f>
        <v>189.22641907986574</v>
      </c>
      <c r="E9" s="33">
        <f>C31*'E Balans VL '!I19/100/3.6*1000000</f>
        <v>2.7089686724282225</v>
      </c>
      <c r="F9" s="33">
        <f>C31*'E Balans VL '!L19/100/3.6*1000000+C31*'E Balans VL '!N19/100/3.6*1000000</f>
        <v>307.79890760500319</v>
      </c>
      <c r="G9" s="34"/>
      <c r="H9" s="33"/>
      <c r="I9" s="33"/>
      <c r="J9" s="40">
        <f>C31*'E Balans VL '!D19/100/3.6*1000000+C31*'E Balans VL '!E19/100/3.6*1000000</f>
        <v>0</v>
      </c>
      <c r="K9" s="33"/>
      <c r="L9" s="33"/>
      <c r="M9" s="33"/>
      <c r="N9" s="33">
        <f>C31*'E Balans VL '!Y19/100/3.6*1000000</f>
        <v>21.614370993663652</v>
      </c>
      <c r="O9" s="33"/>
      <c r="P9" s="33"/>
      <c r="R9" s="32"/>
    </row>
    <row r="10" spans="1:18">
      <c r="A10" s="6" t="s">
        <v>40</v>
      </c>
      <c r="B10" s="37">
        <f t="shared" si="0"/>
        <v>99.097454601446202</v>
      </c>
      <c r="C10" s="33"/>
      <c r="D10" s="37">
        <f>IF( ISERROR(IND_voed_gas_kWh/1000),0,IND_voed_gas_kWh/1000)*0.902</f>
        <v>0</v>
      </c>
      <c r="E10" s="33">
        <f>C32*'E Balans VL '!I20/100/3.6*1000000</f>
        <v>0.21001062148998936</v>
      </c>
      <c r="F10" s="33">
        <f>C32*'E Balans VL '!L20/100/3.6*1000000+C32*'E Balans VL '!N20/100/3.6*1000000</f>
        <v>6.2980525953195565</v>
      </c>
      <c r="G10" s="34"/>
      <c r="H10" s="33"/>
      <c r="I10" s="33"/>
      <c r="J10" s="40">
        <f>C32*'E Balans VL '!D20/100/3.6*1000000+C32*'E Balans VL '!E20/100/3.6*1000000</f>
        <v>0</v>
      </c>
      <c r="K10" s="33"/>
      <c r="L10" s="33"/>
      <c r="M10" s="33"/>
      <c r="N10" s="33">
        <f>C32*'E Balans VL '!Y20/100/3.6*1000000</f>
        <v>2.8727254498084598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942.66001917096605</v>
      </c>
      <c r="C15" s="33"/>
      <c r="D15" s="37">
        <f>IF( ISERROR(IND_rest_gas_kWh/1000),0,IND_rest_gas_kWh/1000)*0.902</f>
        <v>324.64909032990141</v>
      </c>
      <c r="E15" s="33">
        <f>C37*'E Balans VL '!I15/100/3.6*1000000</f>
        <v>50.997735180444884</v>
      </c>
      <c r="F15" s="33">
        <f>C37*'E Balans VL '!L15/100/3.6*1000000+C37*'E Balans VL '!N15/100/3.6*1000000</f>
        <v>165.68633034144855</v>
      </c>
      <c r="G15" s="34"/>
      <c r="H15" s="33"/>
      <c r="I15" s="33"/>
      <c r="J15" s="40">
        <f>C37*'E Balans VL '!D15/100/3.6*1000000+C37*'E Balans VL '!E15/100/3.6*1000000</f>
        <v>3.3196584978000887</v>
      </c>
      <c r="K15" s="33"/>
      <c r="L15" s="33"/>
      <c r="M15" s="33"/>
      <c r="N15" s="33">
        <f>C37*'E Balans VL '!Y15/100/3.6*1000000</f>
        <v>24.181728049721901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1508.4809738847873</v>
      </c>
      <c r="C18" s="21">
        <f>C5+C16</f>
        <v>0</v>
      </c>
      <c r="D18" s="21">
        <f>MAX((D5+D16),0)</f>
        <v>513.87550940976712</v>
      </c>
      <c r="E18" s="21">
        <f>MAX((E5+E16),0)</f>
        <v>53.916714474363097</v>
      </c>
      <c r="F18" s="21">
        <f>MAX((F5+F16),0)</f>
        <v>479.78329054177129</v>
      </c>
      <c r="G18" s="21"/>
      <c r="H18" s="21"/>
      <c r="I18" s="21"/>
      <c r="J18" s="21">
        <f>MAX((J5+J16),0)</f>
        <v>3.3196584978000887</v>
      </c>
      <c r="K18" s="21"/>
      <c r="L18" s="21">
        <f>MAX((L5+L16),0)</f>
        <v>0</v>
      </c>
      <c r="M18" s="21"/>
      <c r="N18" s="21">
        <f>MAX((N5+N16),0)</f>
        <v>48.668824493194009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0.19827920032211205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299.10040120299641</v>
      </c>
      <c r="C22" s="23">
        <f ca="1">C18*C20</f>
        <v>0</v>
      </c>
      <c r="D22" s="23">
        <f>D18*D20</f>
        <v>103.80285290077296</v>
      </c>
      <c r="E22" s="23">
        <f>E18*E20</f>
        <v>12.239094185680424</v>
      </c>
      <c r="F22" s="23">
        <f>F18*F20</f>
        <v>128.10213857465294</v>
      </c>
      <c r="G22" s="23"/>
      <c r="H22" s="23"/>
      <c r="I22" s="23"/>
      <c r="J22" s="23">
        <f>J18*J20</f>
        <v>1.1751591082212314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466.72350011237501</v>
      </c>
      <c r="C31" s="39">
        <f>IF(ISERROR(B31*3.6/1000000/'E Balans VL '!Z19*100),0,B31*3.6/1000000/'E Balans VL '!Z19*100)</f>
        <v>1.9492129683815623E-2</v>
      </c>
      <c r="D31" s="232" t="s">
        <v>700</v>
      </c>
    </row>
    <row r="32" spans="1:18">
      <c r="A32" s="167" t="s">
        <v>40</v>
      </c>
      <c r="B32" s="37">
        <f>IF( ISERROR(IND_voed_ele_kWh/1000),0,IND_voed_ele_kWh/1000)</f>
        <v>99.097454601446202</v>
      </c>
      <c r="C32" s="39">
        <f>IF(ISERROR(B32*3.6/1000000/'E Balans VL '!Z20*100),0,B32*3.6/1000000/'E Balans VL '!Z20*100)</f>
        <v>3.0736125867686097E-3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942.66001917096605</v>
      </c>
      <c r="C37" s="39">
        <f>IF(ISERROR(B37*3.6/1000000/'E Balans VL '!Z15*100),0,B37*3.6/1000000/'E Balans VL '!Z15*100)</f>
        <v>7.3498632082959247E-3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1000.112660579877</v>
      </c>
      <c r="C5" s="17">
        <f>'Eigen informatie GS &amp; warmtenet'!B60</f>
        <v>0</v>
      </c>
      <c r="D5" s="30">
        <f>IF(ISERROR(SUM(LB_lb_gas_kWh,LB_rest_gas_kWh)/1000),0,SUM(LB_lb_gas_kWh,LB_rest_gas_kWh)/1000)*0.902</f>
        <v>219.72467802203423</v>
      </c>
      <c r="E5" s="17">
        <f>B17*'E Balans VL '!I25/3.6*1000000/100</f>
        <v>32.456943470594275</v>
      </c>
      <c r="F5" s="17">
        <f>B17*('E Balans VL '!L25/3.6*1000000+'E Balans VL '!N25/3.6*1000000)/100</f>
        <v>3689.6096736849736</v>
      </c>
      <c r="G5" s="18"/>
      <c r="H5" s="17"/>
      <c r="I5" s="17"/>
      <c r="J5" s="17">
        <f>('E Balans VL '!D25+'E Balans VL '!E25)/3.6*1000000*landbouw!B17/100</f>
        <v>263.0192898933588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1000.112660579877</v>
      </c>
      <c r="C8" s="21">
        <f>C5+C6</f>
        <v>0</v>
      </c>
      <c r="D8" s="21">
        <f>MAX((D5+D6),0)</f>
        <v>219.72467802203423</v>
      </c>
      <c r="E8" s="21">
        <f>MAX((E5+E6),0)</f>
        <v>32.456943470594275</v>
      </c>
      <c r="F8" s="21">
        <f>MAX((F5+F6),0)</f>
        <v>3689.6096736849736</v>
      </c>
      <c r="G8" s="21"/>
      <c r="H8" s="21"/>
      <c r="I8" s="21"/>
      <c r="J8" s="21">
        <f>MAX((J5+J6),0)</f>
        <v>263.0192898933588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0.19827920032211205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198.30153857179789</v>
      </c>
      <c r="C12" s="23">
        <f ca="1">C8*C10</f>
        <v>0</v>
      </c>
      <c r="D12" s="23">
        <f>D8*D10</f>
        <v>44.384384960450916</v>
      </c>
      <c r="E12" s="23">
        <f>E8*E10</f>
        <v>7.3677261678249009</v>
      </c>
      <c r="F12" s="23">
        <f>F8*F10</f>
        <v>985.12578287388806</v>
      </c>
      <c r="G12" s="23"/>
      <c r="H12" s="23"/>
      <c r="I12" s="23"/>
      <c r="J12" s="23">
        <f>J8*J10</f>
        <v>93.108828622249007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0.14191912429406525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160.52653867032365</v>
      </c>
      <c r="C26" s="242">
        <f>B26*'GWP N2O_CH4'!B5</f>
        <v>3371.0573120767967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45.082803173595913</v>
      </c>
      <c r="C27" s="242">
        <f>B27*'GWP N2O_CH4'!B5</f>
        <v>946.73886664551412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2.3245028853037626</v>
      </c>
      <c r="C28" s="242">
        <f>B28*'GWP N2O_CH4'!B4</f>
        <v>720.59589444416645</v>
      </c>
      <c r="D28" s="50"/>
    </row>
    <row r="29" spans="1:4">
      <c r="A29" s="41" t="s">
        <v>265</v>
      </c>
      <c r="B29" s="242">
        <f>B34*'ha_N2O bodem landbouw'!B4</f>
        <v>13.513851654108084</v>
      </c>
      <c r="C29" s="242">
        <f>B29*'GWP N2O_CH4'!B4</f>
        <v>4189.2940127735064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3.0838143766628657E-3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1.2343534145166731E-4</v>
      </c>
      <c r="C5" s="427" t="s">
        <v>204</v>
      </c>
      <c r="D5" s="412">
        <f>SUM(D6:D11)</f>
        <v>2.2182035442223317E-4</v>
      </c>
      <c r="E5" s="412">
        <f>SUM(E6:E11)</f>
        <v>3.8000780205064581E-4</v>
      </c>
      <c r="F5" s="425" t="s">
        <v>204</v>
      </c>
      <c r="G5" s="412">
        <f>SUM(G6:G11)</f>
        <v>0.1562585221036934</v>
      </c>
      <c r="H5" s="412">
        <f>SUM(H6:H11)</f>
        <v>3.8176904404672904E-2</v>
      </c>
      <c r="I5" s="427" t="s">
        <v>204</v>
      </c>
      <c r="J5" s="427" t="s">
        <v>204</v>
      </c>
      <c r="K5" s="427" t="s">
        <v>204</v>
      </c>
      <c r="L5" s="427" t="s">
        <v>204</v>
      </c>
      <c r="M5" s="412">
        <f>SUM(M6:M11)</f>
        <v>1.0253420115864349E-2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8.9358390205182382E-5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1.5098543366539677E-4</v>
      </c>
      <c r="E6" s="818">
        <f>vkm_GW_PW*SUMIFS(TableVerdeelsleutelVkm[LPG],TableVerdeelsleutelVkm[Voertuigtype],"Lichte voertuigen")*SUMIFS(TableECFTransport[EnergieConsumptieFactor (PJ per km)],TableECFTransport[Index],CONCATENATE($A6,"_LPG_LPG"))</f>
        <v>2.6245806099268803E-4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7.9491586029939804E-2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2.6178037591205645E-2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5.4150358550021553E-3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1.2550650579390328E-6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4.0312991837415685E-2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8.0428113014268855E-7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2.3553127878770137E-3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3.2744144878237781E-5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7.0834920756836383E-5</v>
      </c>
      <c r="E8" s="415">
        <f>vkm_NGW_PW*SUMIFS(TableVerdeelsleutelVkm[LPG],TableVerdeelsleutelVkm[Voertuigtype],"Lichte voertuigen")*SUMIFS(TableECFTransport[EnergieConsumptieFactor (PJ per km)],TableECFTransport[Index],CONCATENATE($A8,"_LPG_LPG"))</f>
        <v>1.1754974105795778E-4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3.3250038612458691E-2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1.1998002399742486E-2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2.2958813130179927E-3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7.7741310308139953E-8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3.2039056238792451E-3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6.0132594628797141E-8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1.8719015996718718E-4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34.287594847685369</v>
      </c>
      <c r="C14" s="21"/>
      <c r="D14" s="21">
        <f t="shared" ref="D14:M14" si="0">((D5)*10^9/3600)+D12</f>
        <v>61.616765117286988</v>
      </c>
      <c r="E14" s="21">
        <f t="shared" si="0"/>
        <v>105.55772279184606</v>
      </c>
      <c r="F14" s="21"/>
      <c r="G14" s="21">
        <f t="shared" si="0"/>
        <v>43405.145028803723</v>
      </c>
      <c r="H14" s="21">
        <f t="shared" si="0"/>
        <v>10604.695667964696</v>
      </c>
      <c r="I14" s="21"/>
      <c r="J14" s="21"/>
      <c r="K14" s="21"/>
      <c r="L14" s="21"/>
      <c r="M14" s="21">
        <f t="shared" si="0"/>
        <v>2848.1722544067634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0.19827920032211205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6.7985168873676241</v>
      </c>
      <c r="C18" s="23"/>
      <c r="D18" s="23">
        <f t="shared" ref="D18:M18" si="1">D14*D16</f>
        <v>12.446586553691972</v>
      </c>
      <c r="E18" s="23">
        <f t="shared" si="1"/>
        <v>23.961603073749057</v>
      </c>
      <c r="F18" s="23"/>
      <c r="G18" s="23">
        <f t="shared" si="1"/>
        <v>11589.173722690595</v>
      </c>
      <c r="H18" s="23">
        <f t="shared" si="1"/>
        <v>2640.5692213232091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2.7716421205604863E-5</v>
      </c>
      <c r="C50" s="311">
        <f t="shared" ref="C50:P50" si="2">SUM(C51:C52)</f>
        <v>0</v>
      </c>
      <c r="D50" s="311">
        <f t="shared" si="2"/>
        <v>0</v>
      </c>
      <c r="E50" s="311">
        <f t="shared" si="2"/>
        <v>0</v>
      </c>
      <c r="F50" s="311">
        <f t="shared" si="2"/>
        <v>0</v>
      </c>
      <c r="G50" s="311">
        <f t="shared" si="2"/>
        <v>2.6036827100857198E-3</v>
      </c>
      <c r="H50" s="311">
        <f t="shared" si="2"/>
        <v>0</v>
      </c>
      <c r="I50" s="311">
        <f t="shared" si="2"/>
        <v>0</v>
      </c>
      <c r="J50" s="311">
        <f t="shared" si="2"/>
        <v>0</v>
      </c>
      <c r="K50" s="311">
        <f t="shared" si="2"/>
        <v>0</v>
      </c>
      <c r="L50" s="311">
        <f t="shared" si="2"/>
        <v>0</v>
      </c>
      <c r="M50" s="311">
        <f t="shared" si="2"/>
        <v>1.4993826975674476E-4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2.7716421205604863E-5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2.6036827100857198E-3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1.4993826975674476E-4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7.6990058904457959</v>
      </c>
      <c r="C54" s="21">
        <f t="shared" ref="C54:P54" si="3">(C50)*10^9/3600</f>
        <v>0</v>
      </c>
      <c r="D54" s="21">
        <f t="shared" si="3"/>
        <v>0</v>
      </c>
      <c r="E54" s="21">
        <f t="shared" si="3"/>
        <v>0</v>
      </c>
      <c r="F54" s="21">
        <f t="shared" si="3"/>
        <v>0</v>
      </c>
      <c r="G54" s="21">
        <f t="shared" si="3"/>
        <v>723.24519724603329</v>
      </c>
      <c r="H54" s="21">
        <f t="shared" si="3"/>
        <v>0</v>
      </c>
      <c r="I54" s="21">
        <f t="shared" si="3"/>
        <v>0</v>
      </c>
      <c r="J54" s="21">
        <f t="shared" si="3"/>
        <v>0</v>
      </c>
      <c r="K54" s="21">
        <f t="shared" si="3"/>
        <v>0</v>
      </c>
      <c r="L54" s="21">
        <f t="shared" si="3"/>
        <v>0</v>
      </c>
      <c r="M54" s="21">
        <f t="shared" si="3"/>
        <v>41.649519376873542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0.19827920032211205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1.5265527312328226</v>
      </c>
      <c r="C58" s="23">
        <f t="shared" ref="C58:P58" ca="1" si="4">C54*C56</f>
        <v>0</v>
      </c>
      <c r="D58" s="23">
        <f t="shared" si="4"/>
        <v>0</v>
      </c>
      <c r="E58" s="23">
        <f t="shared" si="4"/>
        <v>0</v>
      </c>
      <c r="F58" s="23">
        <f t="shared" si="4"/>
        <v>0</v>
      </c>
      <c r="G58" s="23">
        <f t="shared" si="4"/>
        <v>193.10646766469091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17.590620040955631</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2313.6215070619037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270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771.42857142857144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2601.2121271028595</v>
      </c>
      <c r="C10" s="547">
        <f t="shared" ref="C10:L10" si="0">SUM(C8:C9)</f>
        <v>0</v>
      </c>
      <c r="D10" s="547">
        <f t="shared" si="0"/>
        <v>0</v>
      </c>
      <c r="E10" s="547">
        <f t="shared" si="0"/>
        <v>0</v>
      </c>
      <c r="F10" s="547">
        <f t="shared" si="0"/>
        <v>0</v>
      </c>
      <c r="G10" s="547">
        <f t="shared" si="0"/>
        <v>0</v>
      </c>
      <c r="H10" s="547">
        <f t="shared" si="0"/>
        <v>0</v>
      </c>
      <c r="I10" s="547">
        <f t="shared" si="0"/>
        <v>0</v>
      </c>
      <c r="J10" s="547">
        <f t="shared" si="0"/>
        <v>771.42857142857144</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63.75" hidden="1">
      <c r="A35" s="571"/>
      <c r="B35" s="724">
        <v>45065</v>
      </c>
      <c r="C35" s="724">
        <v>9630</v>
      </c>
      <c r="D35" s="619"/>
      <c r="E35" s="619"/>
      <c r="F35" s="619"/>
      <c r="G35" s="619" t="s">
        <v>878</v>
      </c>
      <c r="H35" s="619" t="s">
        <v>879</v>
      </c>
      <c r="I35" s="619"/>
      <c r="J35" s="723"/>
      <c r="K35" s="723"/>
      <c r="L35" s="619" t="s">
        <v>880</v>
      </c>
      <c r="M35" s="619">
        <v>60</v>
      </c>
      <c r="N35" s="619">
        <v>270</v>
      </c>
      <c r="O35" s="619">
        <v>0</v>
      </c>
      <c r="P35" s="619">
        <v>0</v>
      </c>
      <c r="Q35" s="619">
        <v>771.42857142857144</v>
      </c>
      <c r="R35" s="619">
        <v>0</v>
      </c>
      <c r="S35" s="619">
        <v>0</v>
      </c>
      <c r="T35" s="619">
        <v>0</v>
      </c>
      <c r="U35" s="619">
        <v>0</v>
      </c>
      <c r="V35" s="619">
        <v>0</v>
      </c>
      <c r="W35" s="619">
        <v>0</v>
      </c>
      <c r="X35" s="619"/>
      <c r="Y35" s="619">
        <v>1600</v>
      </c>
      <c r="Z35" s="619" t="s">
        <v>49</v>
      </c>
      <c r="AA35" s="620" t="s">
        <v>149</v>
      </c>
    </row>
    <row r="36" spans="1:28" s="554" customFormat="1" hidden="1">
      <c r="A36" s="572" t="s">
        <v>268</v>
      </c>
      <c r="B36" s="573"/>
      <c r="C36" s="573"/>
      <c r="D36" s="573"/>
      <c r="E36" s="573"/>
      <c r="F36" s="573"/>
      <c r="G36" s="573"/>
      <c r="H36" s="573"/>
      <c r="I36" s="573"/>
      <c r="J36" s="573"/>
      <c r="K36" s="573"/>
      <c r="L36" s="574"/>
      <c r="M36" s="574">
        <f>SUM(M35:M35)</f>
        <v>60</v>
      </c>
      <c r="N36" s="574">
        <f>SUM(N35:N35)</f>
        <v>270</v>
      </c>
      <c r="O36" s="574">
        <f>SUM(O35:O35)</f>
        <v>0</v>
      </c>
      <c r="P36" s="574">
        <f>SUM(P35:P35)</f>
        <v>0</v>
      </c>
      <c r="Q36" s="574">
        <f>SUM(Q35:Q35)</f>
        <v>771.42857142857144</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60</v>
      </c>
      <c r="N38" s="574">
        <f>SUMIF($AA$35:$AA$36,"tertiair",N35:N36)</f>
        <v>270</v>
      </c>
      <c r="O38" s="574">
        <f>SUMIF($AA$35:$AA$36,"tertiair",O35:O36)</f>
        <v>0</v>
      </c>
      <c r="P38" s="574">
        <f>SUMIF($AA$35:$AA$36,"tertiair",P35:P36)</f>
        <v>0</v>
      </c>
      <c r="Q38" s="574">
        <f>SUMIF($AA$35:$AA$36,"tertiair",Q35:Q36)</f>
        <v>771.42857142857144</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6895.249657891336</v>
      </c>
      <c r="D10" s="931">
        <f ca="1">tertiair!C16</f>
        <v>0</v>
      </c>
      <c r="E10" s="931">
        <f ca="1">tertiair!D16</f>
        <v>4616.5484723159461</v>
      </c>
      <c r="F10" s="931">
        <f>tertiair!E16</f>
        <v>81.941523868238576</v>
      </c>
      <c r="G10" s="931">
        <f ca="1">tertiair!F16</f>
        <v>1484.3026705074838</v>
      </c>
      <c r="H10" s="931">
        <f>tertiair!G16</f>
        <v>0</v>
      </c>
      <c r="I10" s="931">
        <f>tertiair!H16</f>
        <v>0</v>
      </c>
      <c r="J10" s="931">
        <f>tertiair!I16</f>
        <v>0</v>
      </c>
      <c r="K10" s="931">
        <f>tertiair!J16</f>
        <v>1.7549379340323135E-2</v>
      </c>
      <c r="L10" s="931">
        <f>tertiair!K16</f>
        <v>0</v>
      </c>
      <c r="M10" s="931">
        <f ca="1">tertiair!L16</f>
        <v>0</v>
      </c>
      <c r="N10" s="931">
        <f>tertiair!M16</f>
        <v>0</v>
      </c>
      <c r="O10" s="931">
        <f ca="1">tertiair!N16</f>
        <v>0</v>
      </c>
      <c r="P10" s="931">
        <f>tertiair!O16</f>
        <v>9.3800000000000008</v>
      </c>
      <c r="Q10" s="932">
        <f>tertiair!P16</f>
        <v>0</v>
      </c>
      <c r="R10" s="628">
        <f ca="1">SUM(C10:Q10)</f>
        <v>13087.439873962343</v>
      </c>
      <c r="S10" s="67"/>
    </row>
    <row r="11" spans="1:19" s="437" customFormat="1">
      <c r="A11" s="736" t="s">
        <v>213</v>
      </c>
      <c r="B11" s="741"/>
      <c r="C11" s="931">
        <f>huishoudens!B8</f>
        <v>15452.517726070835</v>
      </c>
      <c r="D11" s="931">
        <f>huishoudens!C8</f>
        <v>0</v>
      </c>
      <c r="E11" s="931">
        <f>huishoudens!D8</f>
        <v>17059.339988306852</v>
      </c>
      <c r="F11" s="931">
        <f>huishoudens!E8</f>
        <v>1238.890516467025</v>
      </c>
      <c r="G11" s="931">
        <f>huishoudens!F8</f>
        <v>28716.51829481289</v>
      </c>
      <c r="H11" s="931">
        <f>huishoudens!G8</f>
        <v>0</v>
      </c>
      <c r="I11" s="931">
        <f>huishoudens!H8</f>
        <v>0</v>
      </c>
      <c r="J11" s="931">
        <f>huishoudens!I8</f>
        <v>0</v>
      </c>
      <c r="K11" s="931">
        <f>huishoudens!J8</f>
        <v>147.57760882426069</v>
      </c>
      <c r="L11" s="931">
        <f>huishoudens!K8</f>
        <v>0</v>
      </c>
      <c r="M11" s="931">
        <f>huishoudens!L8</f>
        <v>0</v>
      </c>
      <c r="N11" s="931">
        <f>huishoudens!M8</f>
        <v>0</v>
      </c>
      <c r="O11" s="931">
        <f>huishoudens!N8</f>
        <v>5378.4800262429699</v>
      </c>
      <c r="P11" s="931">
        <f>huishoudens!O8</f>
        <v>211.05</v>
      </c>
      <c r="Q11" s="932">
        <f>huishoudens!P8</f>
        <v>1182.1333333333332</v>
      </c>
      <c r="R11" s="628">
        <f>SUM(C11:Q11)</f>
        <v>69386.507494058169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1508.4809738847873</v>
      </c>
      <c r="D13" s="931">
        <f>industrie!C18</f>
        <v>0</v>
      </c>
      <c r="E13" s="931">
        <f>industrie!D18</f>
        <v>513.87550940976712</v>
      </c>
      <c r="F13" s="931">
        <f>industrie!E18</f>
        <v>53.916714474363097</v>
      </c>
      <c r="G13" s="931">
        <f>industrie!F18</f>
        <v>479.78329054177129</v>
      </c>
      <c r="H13" s="931">
        <f>industrie!G18</f>
        <v>0</v>
      </c>
      <c r="I13" s="931">
        <f>industrie!H18</f>
        <v>0</v>
      </c>
      <c r="J13" s="931">
        <f>industrie!I18</f>
        <v>0</v>
      </c>
      <c r="K13" s="931">
        <f>industrie!J18</f>
        <v>3.3196584978000887</v>
      </c>
      <c r="L13" s="931">
        <f>industrie!K18</f>
        <v>0</v>
      </c>
      <c r="M13" s="931">
        <f>industrie!L18</f>
        <v>0</v>
      </c>
      <c r="N13" s="931">
        <f>industrie!M18</f>
        <v>0</v>
      </c>
      <c r="O13" s="931">
        <f>industrie!N18</f>
        <v>48.668824493194009</v>
      </c>
      <c r="P13" s="931">
        <f>industrie!O18</f>
        <v>0</v>
      </c>
      <c r="Q13" s="932">
        <f>industrie!P18</f>
        <v>0</v>
      </c>
      <c r="R13" s="628">
        <f>SUM(C13:Q13)</f>
        <v>2608.0449713016828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23856.248357846958</v>
      </c>
      <c r="D16" s="660">
        <f t="shared" ref="D16:R16" ca="1" si="0">SUM(D9:D15)</f>
        <v>0</v>
      </c>
      <c r="E16" s="660">
        <f t="shared" ca="1" si="0"/>
        <v>22189.763970032567</v>
      </c>
      <c r="F16" s="660">
        <f t="shared" si="0"/>
        <v>1374.7487548096267</v>
      </c>
      <c r="G16" s="660">
        <f t="shared" ca="1" si="0"/>
        <v>30680.604255862145</v>
      </c>
      <c r="H16" s="660">
        <f t="shared" si="0"/>
        <v>0</v>
      </c>
      <c r="I16" s="660">
        <f t="shared" si="0"/>
        <v>0</v>
      </c>
      <c r="J16" s="660">
        <f t="shared" si="0"/>
        <v>0</v>
      </c>
      <c r="K16" s="660">
        <f t="shared" si="0"/>
        <v>150.91481670140109</v>
      </c>
      <c r="L16" s="660">
        <f t="shared" si="0"/>
        <v>0</v>
      </c>
      <c r="M16" s="660">
        <f t="shared" ca="1" si="0"/>
        <v>0</v>
      </c>
      <c r="N16" s="660">
        <f t="shared" si="0"/>
        <v>0</v>
      </c>
      <c r="O16" s="660">
        <f t="shared" ca="1" si="0"/>
        <v>5427.1488507361637</v>
      </c>
      <c r="P16" s="660">
        <f t="shared" si="0"/>
        <v>220.43</v>
      </c>
      <c r="Q16" s="660">
        <f t="shared" si="0"/>
        <v>1182.1333333333332</v>
      </c>
      <c r="R16" s="660">
        <f t="shared" ca="1" si="0"/>
        <v>85081.992339322198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7.6990058904457959</v>
      </c>
      <c r="D19" s="931">
        <f>transport!C54</f>
        <v>0</v>
      </c>
      <c r="E19" s="931">
        <f>transport!D54</f>
        <v>0</v>
      </c>
      <c r="F19" s="931">
        <f>transport!E54</f>
        <v>0</v>
      </c>
      <c r="G19" s="931">
        <f>transport!F54</f>
        <v>0</v>
      </c>
      <c r="H19" s="931">
        <f>transport!G54</f>
        <v>723.24519724603329</v>
      </c>
      <c r="I19" s="931">
        <f>transport!H54</f>
        <v>0</v>
      </c>
      <c r="J19" s="931">
        <f>transport!I54</f>
        <v>0</v>
      </c>
      <c r="K19" s="931">
        <f>transport!J54</f>
        <v>0</v>
      </c>
      <c r="L19" s="931">
        <f>transport!K54</f>
        <v>0</v>
      </c>
      <c r="M19" s="931">
        <f>transport!L54</f>
        <v>0</v>
      </c>
      <c r="N19" s="931">
        <f>transport!M54</f>
        <v>41.649519376873542</v>
      </c>
      <c r="O19" s="931">
        <f>transport!N54</f>
        <v>0</v>
      </c>
      <c r="P19" s="931">
        <f>transport!O54</f>
        <v>0</v>
      </c>
      <c r="Q19" s="932">
        <f>transport!P54</f>
        <v>0</v>
      </c>
      <c r="R19" s="628">
        <f>SUM(C19:Q19)</f>
        <v>772.59372251335265</v>
      </c>
      <c r="S19" s="67"/>
    </row>
    <row r="20" spans="1:19" s="437" customFormat="1">
      <c r="A20" s="736" t="s">
        <v>295</v>
      </c>
      <c r="B20" s="741"/>
      <c r="C20" s="931">
        <f>transport!B14</f>
        <v>34.287594847685369</v>
      </c>
      <c r="D20" s="931">
        <f>transport!C14</f>
        <v>0</v>
      </c>
      <c r="E20" s="931">
        <f>transport!D14</f>
        <v>61.616765117286988</v>
      </c>
      <c r="F20" s="931">
        <f>transport!E14</f>
        <v>105.55772279184606</v>
      </c>
      <c r="G20" s="931">
        <f>transport!F14</f>
        <v>0</v>
      </c>
      <c r="H20" s="931">
        <f>transport!G14</f>
        <v>43405.145028803723</v>
      </c>
      <c r="I20" s="931">
        <f>transport!H14</f>
        <v>10604.695667964696</v>
      </c>
      <c r="J20" s="931">
        <f>transport!I14</f>
        <v>0</v>
      </c>
      <c r="K20" s="931">
        <f>transport!J14</f>
        <v>0</v>
      </c>
      <c r="L20" s="931">
        <f>transport!K14</f>
        <v>0</v>
      </c>
      <c r="M20" s="931">
        <f>transport!L14</f>
        <v>0</v>
      </c>
      <c r="N20" s="931">
        <f>transport!M14</f>
        <v>2848.1722544067634</v>
      </c>
      <c r="O20" s="931">
        <f>transport!N14</f>
        <v>0</v>
      </c>
      <c r="P20" s="931">
        <f>transport!O14</f>
        <v>0</v>
      </c>
      <c r="Q20" s="932">
        <f>transport!P14</f>
        <v>0</v>
      </c>
      <c r="R20" s="628">
        <f>SUM(C20:Q20)</f>
        <v>57059.475033932002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41.986600738131166</v>
      </c>
      <c r="D22" s="739">
        <f t="shared" ref="D22:R22" si="1">SUM(D18:D21)</f>
        <v>0</v>
      </c>
      <c r="E22" s="739">
        <f t="shared" si="1"/>
        <v>61.616765117286988</v>
      </c>
      <c r="F22" s="739">
        <f t="shared" si="1"/>
        <v>105.55772279184606</v>
      </c>
      <c r="G22" s="739">
        <f t="shared" si="1"/>
        <v>0</v>
      </c>
      <c r="H22" s="739">
        <f t="shared" si="1"/>
        <v>44128.390226049756</v>
      </c>
      <c r="I22" s="739">
        <f t="shared" si="1"/>
        <v>10604.695667964696</v>
      </c>
      <c r="J22" s="739">
        <f t="shared" si="1"/>
        <v>0</v>
      </c>
      <c r="K22" s="739">
        <f t="shared" si="1"/>
        <v>0</v>
      </c>
      <c r="L22" s="739">
        <f t="shared" si="1"/>
        <v>0</v>
      </c>
      <c r="M22" s="739">
        <f t="shared" si="1"/>
        <v>0</v>
      </c>
      <c r="N22" s="739">
        <f t="shared" si="1"/>
        <v>2889.8217737836371</v>
      </c>
      <c r="O22" s="739">
        <f t="shared" si="1"/>
        <v>0</v>
      </c>
      <c r="P22" s="739">
        <f t="shared" si="1"/>
        <v>0</v>
      </c>
      <c r="Q22" s="739">
        <f t="shared" si="1"/>
        <v>0</v>
      </c>
      <c r="R22" s="739">
        <f t="shared" si="1"/>
        <v>57832.068756445355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1000.112660579877</v>
      </c>
      <c r="D24" s="931">
        <f>+landbouw!C8</f>
        <v>0</v>
      </c>
      <c r="E24" s="931">
        <f>+landbouw!D8</f>
        <v>219.72467802203423</v>
      </c>
      <c r="F24" s="931">
        <f>+landbouw!E8</f>
        <v>32.456943470594275</v>
      </c>
      <c r="G24" s="931">
        <f>+landbouw!F8</f>
        <v>3689.6096736849736</v>
      </c>
      <c r="H24" s="931">
        <f>+landbouw!G8</f>
        <v>0</v>
      </c>
      <c r="I24" s="931">
        <f>+landbouw!H8</f>
        <v>0</v>
      </c>
      <c r="J24" s="931">
        <f>+landbouw!I8</f>
        <v>0</v>
      </c>
      <c r="K24" s="931">
        <f>+landbouw!J8</f>
        <v>263.0192898933588</v>
      </c>
      <c r="L24" s="931">
        <f>+landbouw!K8</f>
        <v>0</v>
      </c>
      <c r="M24" s="931">
        <f>+landbouw!L8</f>
        <v>0</v>
      </c>
      <c r="N24" s="931">
        <f>+landbouw!M8</f>
        <v>0</v>
      </c>
      <c r="O24" s="931">
        <f>+landbouw!N8</f>
        <v>0</v>
      </c>
      <c r="P24" s="931">
        <f>+landbouw!O8</f>
        <v>0</v>
      </c>
      <c r="Q24" s="932">
        <f>+landbouw!P8</f>
        <v>0</v>
      </c>
      <c r="R24" s="628">
        <f>SUM(C24:Q24)</f>
        <v>5204.923245650838</v>
      </c>
      <c r="S24" s="67"/>
    </row>
    <row r="25" spans="1:19" s="437" customFormat="1" ht="15" thickBot="1">
      <c r="A25" s="758" t="s">
        <v>775</v>
      </c>
      <c r="B25" s="934"/>
      <c r="C25" s="935">
        <f>IF(Onbekend_ele_kWh="---",0,Onbekend_ele_kWh)/1000+IF(REST_rest_ele_kWh="---",0,REST_rest_ele_kWh)/1000</f>
        <v>403.04530008151102</v>
      </c>
      <c r="D25" s="935"/>
      <c r="E25" s="935">
        <f>IF(onbekend_gas_kWh="---",0,onbekend_gas_kWh)/1000+IF(REST_rest_gas_kWh="---",0,REST_rest_gas_kWh)/1000</f>
        <v>387.59482951463701</v>
      </c>
      <c r="F25" s="935"/>
      <c r="G25" s="935"/>
      <c r="H25" s="935"/>
      <c r="I25" s="935"/>
      <c r="J25" s="935"/>
      <c r="K25" s="935"/>
      <c r="L25" s="935"/>
      <c r="M25" s="935"/>
      <c r="N25" s="935"/>
      <c r="O25" s="935"/>
      <c r="P25" s="935"/>
      <c r="Q25" s="936"/>
      <c r="R25" s="628">
        <f>SUM(C25:Q25)</f>
        <v>790.64012959614797</v>
      </c>
      <c r="S25" s="67"/>
    </row>
    <row r="26" spans="1:19" s="437" customFormat="1" ht="15.75" thickBot="1">
      <c r="A26" s="633" t="s">
        <v>776</v>
      </c>
      <c r="B26" s="744"/>
      <c r="C26" s="739">
        <f>SUM(C24:C25)</f>
        <v>1403.157960661388</v>
      </c>
      <c r="D26" s="739">
        <f t="shared" ref="D26:R26" si="2">SUM(D24:D25)</f>
        <v>0</v>
      </c>
      <c r="E26" s="739">
        <f t="shared" si="2"/>
        <v>607.31950753667127</v>
      </c>
      <c r="F26" s="739">
        <f t="shared" si="2"/>
        <v>32.456943470594275</v>
      </c>
      <c r="G26" s="739">
        <f t="shared" si="2"/>
        <v>3689.6096736849736</v>
      </c>
      <c r="H26" s="739">
        <f t="shared" si="2"/>
        <v>0</v>
      </c>
      <c r="I26" s="739">
        <f t="shared" si="2"/>
        <v>0</v>
      </c>
      <c r="J26" s="739">
        <f t="shared" si="2"/>
        <v>0</v>
      </c>
      <c r="K26" s="739">
        <f t="shared" si="2"/>
        <v>263.0192898933588</v>
      </c>
      <c r="L26" s="739">
        <f t="shared" si="2"/>
        <v>0</v>
      </c>
      <c r="M26" s="739">
        <f t="shared" si="2"/>
        <v>0</v>
      </c>
      <c r="N26" s="739">
        <f t="shared" si="2"/>
        <v>0</v>
      </c>
      <c r="O26" s="739">
        <f t="shared" si="2"/>
        <v>0</v>
      </c>
      <c r="P26" s="739">
        <f t="shared" si="2"/>
        <v>0</v>
      </c>
      <c r="Q26" s="739">
        <f t="shared" si="2"/>
        <v>0</v>
      </c>
      <c r="R26" s="739">
        <f t="shared" si="2"/>
        <v>5995.5633752469857</v>
      </c>
      <c r="S26" s="67"/>
    </row>
    <row r="27" spans="1:19" s="437" customFormat="1" ht="17.25" thickTop="1" thickBot="1">
      <c r="A27" s="634" t="s">
        <v>109</v>
      </c>
      <c r="B27" s="732"/>
      <c r="C27" s="635">
        <f ca="1">C22+C16+C26</f>
        <v>25301.392919246478</v>
      </c>
      <c r="D27" s="635">
        <f t="shared" ref="D27:R27" ca="1" si="3">D22+D16+D26</f>
        <v>0</v>
      </c>
      <c r="E27" s="635">
        <f t="shared" ca="1" si="3"/>
        <v>22858.700242686526</v>
      </c>
      <c r="F27" s="635">
        <f t="shared" si="3"/>
        <v>1512.7634210720671</v>
      </c>
      <c r="G27" s="635">
        <f t="shared" ca="1" si="3"/>
        <v>34370.213929547121</v>
      </c>
      <c r="H27" s="635">
        <f t="shared" si="3"/>
        <v>44128.390226049756</v>
      </c>
      <c r="I27" s="635">
        <f t="shared" si="3"/>
        <v>10604.695667964696</v>
      </c>
      <c r="J27" s="635">
        <f t="shared" si="3"/>
        <v>0</v>
      </c>
      <c r="K27" s="635">
        <f t="shared" si="3"/>
        <v>413.9341065947599</v>
      </c>
      <c r="L27" s="635">
        <f t="shared" si="3"/>
        <v>0</v>
      </c>
      <c r="M27" s="635">
        <f t="shared" ca="1" si="3"/>
        <v>0</v>
      </c>
      <c r="N27" s="635">
        <f t="shared" si="3"/>
        <v>2889.8217737836371</v>
      </c>
      <c r="O27" s="635">
        <f t="shared" ca="1" si="3"/>
        <v>5427.1488507361637</v>
      </c>
      <c r="P27" s="635">
        <f t="shared" si="3"/>
        <v>220.43</v>
      </c>
      <c r="Q27" s="635">
        <f t="shared" si="3"/>
        <v>1182.1333333333332</v>
      </c>
      <c r="R27" s="635">
        <f t="shared" ca="1" si="3"/>
        <v>148909.62447101451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1367.1845881880108</v>
      </c>
      <c r="D40" s="931">
        <f ca="1">tertiair!C20</f>
        <v>0</v>
      </c>
      <c r="E40" s="931">
        <f ca="1">tertiair!D20</f>
        <v>932.54279140782114</v>
      </c>
      <c r="F40" s="931">
        <f>tertiair!E20</f>
        <v>18.600725918090159</v>
      </c>
      <c r="G40" s="931">
        <f ca="1">tertiair!F20</f>
        <v>396.30881302549818</v>
      </c>
      <c r="H40" s="931">
        <f>tertiair!G20</f>
        <v>0</v>
      </c>
      <c r="I40" s="931">
        <f>tertiair!H20</f>
        <v>0</v>
      </c>
      <c r="J40" s="931">
        <f>tertiair!I20</f>
        <v>0</v>
      </c>
      <c r="K40" s="931">
        <f>tertiair!J20</f>
        <v>6.2124802864743896E-3</v>
      </c>
      <c r="L40" s="931">
        <f>tertiair!K20</f>
        <v>0</v>
      </c>
      <c r="M40" s="931">
        <f ca="1">tertiair!L20</f>
        <v>0</v>
      </c>
      <c r="N40" s="931">
        <f>tertiair!M20</f>
        <v>0</v>
      </c>
      <c r="O40" s="931">
        <f ca="1">tertiair!N20</f>
        <v>0</v>
      </c>
      <c r="P40" s="931">
        <f>tertiair!O20</f>
        <v>0</v>
      </c>
      <c r="Q40" s="702">
        <f>tertiair!P20</f>
        <v>0</v>
      </c>
      <c r="R40" s="777">
        <f t="shared" ca="1" si="4"/>
        <v>2714.6431310197067</v>
      </c>
    </row>
    <row r="41" spans="1:18">
      <c r="A41" s="749" t="s">
        <v>213</v>
      </c>
      <c r="B41" s="756"/>
      <c r="C41" s="931">
        <f ca="1">huishoudens!B12</f>
        <v>3063.9128576885864</v>
      </c>
      <c r="D41" s="931">
        <f ca="1">huishoudens!C12</f>
        <v>0</v>
      </c>
      <c r="E41" s="931">
        <f>huishoudens!D12</f>
        <v>3445.9866776379845</v>
      </c>
      <c r="F41" s="931">
        <f>huishoudens!E12</f>
        <v>281.22814723801469</v>
      </c>
      <c r="G41" s="931">
        <f>huishoudens!F12</f>
        <v>7667.3103847150423</v>
      </c>
      <c r="H41" s="931">
        <f>huishoudens!G12</f>
        <v>0</v>
      </c>
      <c r="I41" s="931">
        <f>huishoudens!H12</f>
        <v>0</v>
      </c>
      <c r="J41" s="931">
        <f>huishoudens!I12</f>
        <v>0</v>
      </c>
      <c r="K41" s="931">
        <f>huishoudens!J12</f>
        <v>52.242473523788284</v>
      </c>
      <c r="L41" s="931">
        <f>huishoudens!K12</f>
        <v>0</v>
      </c>
      <c r="M41" s="931">
        <f>huishoudens!L12</f>
        <v>0</v>
      </c>
      <c r="N41" s="931">
        <f>huishoudens!M12</f>
        <v>0</v>
      </c>
      <c r="O41" s="931">
        <f>huishoudens!N12</f>
        <v>0</v>
      </c>
      <c r="P41" s="931">
        <f>huishoudens!O12</f>
        <v>0</v>
      </c>
      <c r="Q41" s="702">
        <f>huishoudens!P12</f>
        <v>0</v>
      </c>
      <c r="R41" s="777">
        <f t="shared" ca="1" si="4"/>
        <v>14510.680540803418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299.10040120299641</v>
      </c>
      <c r="D43" s="931">
        <f ca="1">industrie!C22</f>
        <v>0</v>
      </c>
      <c r="E43" s="931">
        <f>industrie!D22</f>
        <v>103.80285290077296</v>
      </c>
      <c r="F43" s="931">
        <f>industrie!E22</f>
        <v>12.239094185680424</v>
      </c>
      <c r="G43" s="931">
        <f>industrie!F22</f>
        <v>128.10213857465294</v>
      </c>
      <c r="H43" s="931">
        <f>industrie!G22</f>
        <v>0</v>
      </c>
      <c r="I43" s="931">
        <f>industrie!H22</f>
        <v>0</v>
      </c>
      <c r="J43" s="931">
        <f>industrie!I22</f>
        <v>0</v>
      </c>
      <c r="K43" s="931">
        <f>industrie!J22</f>
        <v>1.1751591082212314</v>
      </c>
      <c r="L43" s="931">
        <f>industrie!K22</f>
        <v>0</v>
      </c>
      <c r="M43" s="931">
        <f>industrie!L22</f>
        <v>0</v>
      </c>
      <c r="N43" s="931">
        <f>industrie!M22</f>
        <v>0</v>
      </c>
      <c r="O43" s="931">
        <f>industrie!N22</f>
        <v>0</v>
      </c>
      <c r="P43" s="931">
        <f>industrie!O22</f>
        <v>0</v>
      </c>
      <c r="Q43" s="702">
        <f>industrie!P22</f>
        <v>0</v>
      </c>
      <c r="R43" s="776">
        <f t="shared" ca="1" si="4"/>
        <v>544.41964597232402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4730.1978470795939</v>
      </c>
      <c r="D46" s="660">
        <f t="shared" ref="D46:Q46" ca="1" si="5">SUM(D39:D45)</f>
        <v>0</v>
      </c>
      <c r="E46" s="660">
        <f t="shared" ca="1" si="5"/>
        <v>4482.3323219465792</v>
      </c>
      <c r="F46" s="660">
        <f t="shared" si="5"/>
        <v>312.06796734178528</v>
      </c>
      <c r="G46" s="660">
        <f t="shared" ca="1" si="5"/>
        <v>8191.7213363151932</v>
      </c>
      <c r="H46" s="660">
        <f t="shared" si="5"/>
        <v>0</v>
      </c>
      <c r="I46" s="660">
        <f t="shared" si="5"/>
        <v>0</v>
      </c>
      <c r="J46" s="660">
        <f t="shared" si="5"/>
        <v>0</v>
      </c>
      <c r="K46" s="660">
        <f t="shared" si="5"/>
        <v>53.423845112295986</v>
      </c>
      <c r="L46" s="660">
        <f t="shared" si="5"/>
        <v>0</v>
      </c>
      <c r="M46" s="660">
        <f t="shared" ca="1" si="5"/>
        <v>0</v>
      </c>
      <c r="N46" s="660">
        <f t="shared" si="5"/>
        <v>0</v>
      </c>
      <c r="O46" s="660">
        <f t="shared" ca="1" si="5"/>
        <v>0</v>
      </c>
      <c r="P46" s="660">
        <f t="shared" si="5"/>
        <v>0</v>
      </c>
      <c r="Q46" s="660">
        <f t="shared" si="5"/>
        <v>0</v>
      </c>
      <c r="R46" s="660">
        <f ca="1">SUM(R39:R45)</f>
        <v>17769.743317795448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1.5265527312328226</v>
      </c>
      <c r="D49" s="931">
        <f ca="1">transport!C58</f>
        <v>0</v>
      </c>
      <c r="E49" s="931">
        <f>transport!D58</f>
        <v>0</v>
      </c>
      <c r="F49" s="931">
        <f>transport!E58</f>
        <v>0</v>
      </c>
      <c r="G49" s="931">
        <f>transport!F58</f>
        <v>0</v>
      </c>
      <c r="H49" s="931">
        <f>transport!G58</f>
        <v>193.10646766469091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194.63302039592372</v>
      </c>
    </row>
    <row r="50" spans="1:18">
      <c r="A50" s="752" t="s">
        <v>295</v>
      </c>
      <c r="B50" s="762"/>
      <c r="C50" s="631">
        <f ca="1">transport!B18</f>
        <v>6.7985168873676241</v>
      </c>
      <c r="D50" s="631">
        <f>transport!C18</f>
        <v>0</v>
      </c>
      <c r="E50" s="631">
        <f>transport!D18</f>
        <v>12.446586553691972</v>
      </c>
      <c r="F50" s="631">
        <f>transport!E18</f>
        <v>23.961603073749057</v>
      </c>
      <c r="G50" s="631">
        <f>transport!F18</f>
        <v>0</v>
      </c>
      <c r="H50" s="631">
        <f>transport!G18</f>
        <v>11589.173722690595</v>
      </c>
      <c r="I50" s="631">
        <f>transport!H18</f>
        <v>2640.5692213232091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14272.949650528613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8.3250696186004465</v>
      </c>
      <c r="D52" s="660">
        <f t="shared" ref="D52:Q52" ca="1" si="6">SUM(D48:D51)</f>
        <v>0</v>
      </c>
      <c r="E52" s="660">
        <f t="shared" si="6"/>
        <v>12.446586553691972</v>
      </c>
      <c r="F52" s="660">
        <f t="shared" si="6"/>
        <v>23.961603073749057</v>
      </c>
      <c r="G52" s="660">
        <f t="shared" si="6"/>
        <v>0</v>
      </c>
      <c r="H52" s="660">
        <f t="shared" si="6"/>
        <v>11782.280190355286</v>
      </c>
      <c r="I52" s="660">
        <f t="shared" si="6"/>
        <v>2640.5692213232091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14467.582670924538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198.30153857179789</v>
      </c>
      <c r="D54" s="631">
        <f ca="1">+landbouw!C12</f>
        <v>0</v>
      </c>
      <c r="E54" s="631">
        <f>+landbouw!D12</f>
        <v>44.384384960450916</v>
      </c>
      <c r="F54" s="631">
        <f>+landbouw!E12</f>
        <v>7.3677261678249009</v>
      </c>
      <c r="G54" s="631">
        <f>+landbouw!F12</f>
        <v>985.12578287388806</v>
      </c>
      <c r="H54" s="631">
        <f>+landbouw!G12</f>
        <v>0</v>
      </c>
      <c r="I54" s="631">
        <f>+landbouw!H12</f>
        <v>0</v>
      </c>
      <c r="J54" s="631">
        <f>+landbouw!I12</f>
        <v>0</v>
      </c>
      <c r="K54" s="631">
        <f>+landbouw!J12</f>
        <v>93.108828622249007</v>
      </c>
      <c r="L54" s="631">
        <f>+landbouw!K12</f>
        <v>0</v>
      </c>
      <c r="M54" s="631">
        <f>+landbouw!L12</f>
        <v>0</v>
      </c>
      <c r="N54" s="631">
        <f>+landbouw!M12</f>
        <v>0</v>
      </c>
      <c r="O54" s="631">
        <f>+landbouw!N12</f>
        <v>0</v>
      </c>
      <c r="P54" s="631">
        <f>+landbouw!O12</f>
        <v>0</v>
      </c>
      <c r="Q54" s="632">
        <f>+landbouw!P12</f>
        <v>0</v>
      </c>
      <c r="R54" s="659">
        <f ca="1">SUM(C54:Q54)</f>
        <v>1328.2882611962109</v>
      </c>
    </row>
    <row r="55" spans="1:18" ht="15" thickBot="1">
      <c r="A55" s="752" t="s">
        <v>775</v>
      </c>
      <c r="B55" s="762"/>
      <c r="C55" s="631">
        <f ca="1">C25*'EF ele_warmte'!B12</f>
        <v>79.915499793747685</v>
      </c>
      <c r="D55" s="631"/>
      <c r="E55" s="631">
        <f>E25*EF_CO2_aardgas</f>
        <v>78.294155561956686</v>
      </c>
      <c r="F55" s="631"/>
      <c r="G55" s="631"/>
      <c r="H55" s="631"/>
      <c r="I55" s="631"/>
      <c r="J55" s="631"/>
      <c r="K55" s="631"/>
      <c r="L55" s="631"/>
      <c r="M55" s="631"/>
      <c r="N55" s="631"/>
      <c r="O55" s="631"/>
      <c r="P55" s="631"/>
      <c r="Q55" s="632"/>
      <c r="R55" s="659">
        <f ca="1">SUM(C55:Q55)</f>
        <v>158.20965535570437</v>
      </c>
    </row>
    <row r="56" spans="1:18" ht="15.75" thickBot="1">
      <c r="A56" s="750" t="s">
        <v>776</v>
      </c>
      <c r="B56" s="763"/>
      <c r="C56" s="660">
        <f ca="1">SUM(C54:C55)</f>
        <v>278.21703836554559</v>
      </c>
      <c r="D56" s="660">
        <f t="shared" ref="D56:Q56" ca="1" si="7">SUM(D54:D55)</f>
        <v>0</v>
      </c>
      <c r="E56" s="660">
        <f t="shared" si="7"/>
        <v>122.6785405224076</v>
      </c>
      <c r="F56" s="660">
        <f t="shared" si="7"/>
        <v>7.3677261678249009</v>
      </c>
      <c r="G56" s="660">
        <f t="shared" si="7"/>
        <v>985.12578287388806</v>
      </c>
      <c r="H56" s="660">
        <f t="shared" si="7"/>
        <v>0</v>
      </c>
      <c r="I56" s="660">
        <f t="shared" si="7"/>
        <v>0</v>
      </c>
      <c r="J56" s="660">
        <f t="shared" si="7"/>
        <v>0</v>
      </c>
      <c r="K56" s="660">
        <f t="shared" si="7"/>
        <v>93.108828622249007</v>
      </c>
      <c r="L56" s="660">
        <f t="shared" si="7"/>
        <v>0</v>
      </c>
      <c r="M56" s="660">
        <f t="shared" si="7"/>
        <v>0</v>
      </c>
      <c r="N56" s="660">
        <f t="shared" si="7"/>
        <v>0</v>
      </c>
      <c r="O56" s="660">
        <f t="shared" si="7"/>
        <v>0</v>
      </c>
      <c r="P56" s="660">
        <f t="shared" si="7"/>
        <v>0</v>
      </c>
      <c r="Q56" s="661">
        <f t="shared" si="7"/>
        <v>0</v>
      </c>
      <c r="R56" s="662">
        <f ca="1">SUM(R54:R55)</f>
        <v>1486.4979165519153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5016.7399550637401</v>
      </c>
      <c r="D61" s="668">
        <f t="shared" ref="D61:Q61" ca="1" si="8">D46+D52+D56</f>
        <v>0</v>
      </c>
      <c r="E61" s="668">
        <f t="shared" ca="1" si="8"/>
        <v>4617.4574490226787</v>
      </c>
      <c r="F61" s="668">
        <f t="shared" si="8"/>
        <v>343.39729658335926</v>
      </c>
      <c r="G61" s="668">
        <f t="shared" ca="1" si="8"/>
        <v>9176.8471191890822</v>
      </c>
      <c r="H61" s="668">
        <f t="shared" si="8"/>
        <v>11782.280190355286</v>
      </c>
      <c r="I61" s="668">
        <f t="shared" si="8"/>
        <v>2640.5692213232091</v>
      </c>
      <c r="J61" s="668">
        <f t="shared" si="8"/>
        <v>0</v>
      </c>
      <c r="K61" s="668">
        <f t="shared" si="8"/>
        <v>146.532673734545</v>
      </c>
      <c r="L61" s="668">
        <f t="shared" si="8"/>
        <v>0</v>
      </c>
      <c r="M61" s="668">
        <f t="shared" ca="1" si="8"/>
        <v>0</v>
      </c>
      <c r="N61" s="668">
        <f t="shared" si="8"/>
        <v>0</v>
      </c>
      <c r="O61" s="668">
        <f t="shared" ca="1" si="8"/>
        <v>0</v>
      </c>
      <c r="P61" s="668">
        <f t="shared" si="8"/>
        <v>0</v>
      </c>
      <c r="Q61" s="668">
        <f t="shared" si="8"/>
        <v>0</v>
      </c>
      <c r="R61" s="668">
        <f ca="1">R46+R52+R56</f>
        <v>33723.8239052719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0.19827920032211205</v>
      </c>
      <c r="D63" s="709">
        <f t="shared" ca="1" si="9"/>
        <v>0</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17.590620040955631</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2313.6215070619037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270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771.42857142857144</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2601.2121271028595</v>
      </c>
      <c r="C78" s="683">
        <f>SUM(C72:C77)</f>
        <v>0</v>
      </c>
      <c r="D78" s="684">
        <f t="shared" ref="D78:H78" si="10">SUM(D76:D77)</f>
        <v>0</v>
      </c>
      <c r="E78" s="684">
        <f t="shared" si="10"/>
        <v>0</v>
      </c>
      <c r="F78" s="684">
        <f t="shared" si="10"/>
        <v>0</v>
      </c>
      <c r="G78" s="684">
        <f t="shared" si="10"/>
        <v>0</v>
      </c>
      <c r="H78" s="684">
        <f t="shared" si="10"/>
        <v>0</v>
      </c>
      <c r="I78" s="684">
        <f>SUM(I76:I77)</f>
        <v>0</v>
      </c>
      <c r="J78" s="684">
        <f>SUM(J76:J77)</f>
        <v>771.42857142857144</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15452.517726070835</v>
      </c>
      <c r="C4" s="441">
        <f>huishoudens!C8</f>
        <v>0</v>
      </c>
      <c r="D4" s="441">
        <f>huishoudens!D8</f>
        <v>17059.339988306852</v>
      </c>
      <c r="E4" s="441">
        <f>huishoudens!E8</f>
        <v>1238.890516467025</v>
      </c>
      <c r="F4" s="441">
        <f>huishoudens!F8</f>
        <v>28716.51829481289</v>
      </c>
      <c r="G4" s="441">
        <f>huishoudens!G8</f>
        <v>0</v>
      </c>
      <c r="H4" s="441">
        <f>huishoudens!H8</f>
        <v>0</v>
      </c>
      <c r="I4" s="441">
        <f>huishoudens!I8</f>
        <v>0</v>
      </c>
      <c r="J4" s="441">
        <f>huishoudens!J8</f>
        <v>147.57760882426069</v>
      </c>
      <c r="K4" s="441">
        <f>huishoudens!K8</f>
        <v>0</v>
      </c>
      <c r="L4" s="441">
        <f>huishoudens!L8</f>
        <v>0</v>
      </c>
      <c r="M4" s="441">
        <f>huishoudens!M8</f>
        <v>0</v>
      </c>
      <c r="N4" s="441">
        <f>huishoudens!N8</f>
        <v>5378.4800262429699</v>
      </c>
      <c r="O4" s="441">
        <f>huishoudens!O8</f>
        <v>211.05</v>
      </c>
      <c r="P4" s="442">
        <f>huishoudens!P8</f>
        <v>1182.1333333333332</v>
      </c>
      <c r="Q4" s="443">
        <f>SUM(B4:P4)</f>
        <v>69386.507494058169</v>
      </c>
    </row>
    <row r="5" spans="1:17">
      <c r="A5" s="440" t="s">
        <v>149</v>
      </c>
      <c r="B5" s="441">
        <f ca="1">tertiair!B16</f>
        <v>6338.0156578913356</v>
      </c>
      <c r="C5" s="441">
        <f ca="1">tertiair!C16</f>
        <v>0</v>
      </c>
      <c r="D5" s="441">
        <f ca="1">tertiair!D16</f>
        <v>4616.5484723159461</v>
      </c>
      <c r="E5" s="441">
        <f>tertiair!E16</f>
        <v>81.941523868238576</v>
      </c>
      <c r="F5" s="441">
        <f ca="1">tertiair!F16</f>
        <v>1484.3026705074838</v>
      </c>
      <c r="G5" s="441">
        <f>tertiair!G16</f>
        <v>0</v>
      </c>
      <c r="H5" s="441">
        <f>tertiair!H16</f>
        <v>0</v>
      </c>
      <c r="I5" s="441">
        <f>tertiair!I16</f>
        <v>0</v>
      </c>
      <c r="J5" s="441">
        <f>tertiair!J16</f>
        <v>1.7549379340323135E-2</v>
      </c>
      <c r="K5" s="441">
        <f>tertiair!K16</f>
        <v>0</v>
      </c>
      <c r="L5" s="441">
        <f ca="1">tertiair!L16</f>
        <v>0</v>
      </c>
      <c r="M5" s="441">
        <f>tertiair!M16</f>
        <v>0</v>
      </c>
      <c r="N5" s="441">
        <f ca="1">tertiair!N16</f>
        <v>0</v>
      </c>
      <c r="O5" s="441">
        <f>tertiair!O16</f>
        <v>9.3800000000000008</v>
      </c>
      <c r="P5" s="442">
        <f>tertiair!P16</f>
        <v>0</v>
      </c>
      <c r="Q5" s="440">
        <f t="shared" ref="Q5:Q14" ca="1" si="0">SUM(B5:P5)</f>
        <v>12530.205873962343</v>
      </c>
    </row>
    <row r="6" spans="1:17">
      <c r="A6" s="440" t="s">
        <v>187</v>
      </c>
      <c r="B6" s="441">
        <f>'openbare verlichting'!B8</f>
        <v>557.23400000000004</v>
      </c>
      <c r="C6" s="441"/>
      <c r="D6" s="441"/>
      <c r="E6" s="441"/>
      <c r="F6" s="441"/>
      <c r="G6" s="441"/>
      <c r="H6" s="441"/>
      <c r="I6" s="441"/>
      <c r="J6" s="441"/>
      <c r="K6" s="441"/>
      <c r="L6" s="441"/>
      <c r="M6" s="441"/>
      <c r="N6" s="441"/>
      <c r="O6" s="441"/>
      <c r="P6" s="442"/>
      <c r="Q6" s="440">
        <f t="shared" si="0"/>
        <v>557.23400000000004</v>
      </c>
    </row>
    <row r="7" spans="1:17">
      <c r="A7" s="440" t="s">
        <v>105</v>
      </c>
      <c r="B7" s="441">
        <f>landbouw!B8</f>
        <v>1000.112660579877</v>
      </c>
      <c r="C7" s="441">
        <f>landbouw!C8</f>
        <v>0</v>
      </c>
      <c r="D7" s="441">
        <f>landbouw!D8</f>
        <v>219.72467802203423</v>
      </c>
      <c r="E7" s="441">
        <f>landbouw!E8</f>
        <v>32.456943470594275</v>
      </c>
      <c r="F7" s="441">
        <f>landbouw!F8</f>
        <v>3689.6096736849736</v>
      </c>
      <c r="G7" s="441">
        <f>landbouw!G8</f>
        <v>0</v>
      </c>
      <c r="H7" s="441">
        <f>landbouw!H8</f>
        <v>0</v>
      </c>
      <c r="I7" s="441">
        <f>landbouw!I8</f>
        <v>0</v>
      </c>
      <c r="J7" s="441">
        <f>landbouw!J8</f>
        <v>263.0192898933588</v>
      </c>
      <c r="K7" s="441">
        <f>landbouw!K8</f>
        <v>0</v>
      </c>
      <c r="L7" s="441">
        <f>landbouw!L8</f>
        <v>0</v>
      </c>
      <c r="M7" s="441">
        <f>landbouw!M8</f>
        <v>0</v>
      </c>
      <c r="N7" s="441">
        <f>landbouw!N8</f>
        <v>0</v>
      </c>
      <c r="O7" s="441">
        <f>landbouw!O8</f>
        <v>0</v>
      </c>
      <c r="P7" s="442">
        <f>landbouw!P8</f>
        <v>0</v>
      </c>
      <c r="Q7" s="440">
        <f t="shared" si="0"/>
        <v>5204.923245650838</v>
      </c>
    </row>
    <row r="8" spans="1:17">
      <c r="A8" s="440" t="s">
        <v>596</v>
      </c>
      <c r="B8" s="441">
        <f>industrie!B18</f>
        <v>1508.4809738847873</v>
      </c>
      <c r="C8" s="441">
        <f>industrie!C18</f>
        <v>0</v>
      </c>
      <c r="D8" s="441">
        <f>industrie!D18</f>
        <v>513.87550940976712</v>
      </c>
      <c r="E8" s="441">
        <f>industrie!E18</f>
        <v>53.916714474363097</v>
      </c>
      <c r="F8" s="441">
        <f>industrie!F18</f>
        <v>479.78329054177129</v>
      </c>
      <c r="G8" s="441">
        <f>industrie!G18</f>
        <v>0</v>
      </c>
      <c r="H8" s="441">
        <f>industrie!H18</f>
        <v>0</v>
      </c>
      <c r="I8" s="441">
        <f>industrie!I18</f>
        <v>0</v>
      </c>
      <c r="J8" s="441">
        <f>industrie!J18</f>
        <v>3.3196584978000887</v>
      </c>
      <c r="K8" s="441">
        <f>industrie!K18</f>
        <v>0</v>
      </c>
      <c r="L8" s="441">
        <f>industrie!L18</f>
        <v>0</v>
      </c>
      <c r="M8" s="441">
        <f>industrie!M18</f>
        <v>0</v>
      </c>
      <c r="N8" s="441">
        <f>industrie!N18</f>
        <v>48.668824493194009</v>
      </c>
      <c r="O8" s="441">
        <f>industrie!O18</f>
        <v>0</v>
      </c>
      <c r="P8" s="442">
        <f>industrie!P18</f>
        <v>0</v>
      </c>
      <c r="Q8" s="440">
        <f t="shared" si="0"/>
        <v>2608.0449713016828</v>
      </c>
    </row>
    <row r="9" spans="1:17" s="446" customFormat="1">
      <c r="A9" s="444" t="s">
        <v>545</v>
      </c>
      <c r="B9" s="445">
        <f>transport!B14</f>
        <v>34.287594847685369</v>
      </c>
      <c r="C9" s="445">
        <f>transport!C14</f>
        <v>0</v>
      </c>
      <c r="D9" s="445">
        <f>transport!D14</f>
        <v>61.616765117286988</v>
      </c>
      <c r="E9" s="445">
        <f>transport!E14</f>
        <v>105.55772279184606</v>
      </c>
      <c r="F9" s="445">
        <f>transport!F14</f>
        <v>0</v>
      </c>
      <c r="G9" s="445">
        <f>transport!G14</f>
        <v>43405.145028803723</v>
      </c>
      <c r="H9" s="445">
        <f>transport!H14</f>
        <v>10604.695667964696</v>
      </c>
      <c r="I9" s="445">
        <f>transport!I14</f>
        <v>0</v>
      </c>
      <c r="J9" s="445">
        <f>transport!J14</f>
        <v>0</v>
      </c>
      <c r="K9" s="445">
        <f>transport!K14</f>
        <v>0</v>
      </c>
      <c r="L9" s="445">
        <f>transport!L14</f>
        <v>0</v>
      </c>
      <c r="M9" s="445">
        <f>transport!M14</f>
        <v>2848.1722544067634</v>
      </c>
      <c r="N9" s="445">
        <f>transport!N14</f>
        <v>0</v>
      </c>
      <c r="O9" s="445">
        <f>transport!O14</f>
        <v>0</v>
      </c>
      <c r="P9" s="445">
        <f>transport!P14</f>
        <v>0</v>
      </c>
      <c r="Q9" s="444">
        <f>SUM(B9:P9)</f>
        <v>57059.475033932002</v>
      </c>
    </row>
    <row r="10" spans="1:17">
      <c r="A10" s="440" t="s">
        <v>535</v>
      </c>
      <c r="B10" s="441">
        <f>transport!B54</f>
        <v>7.6990058904457959</v>
      </c>
      <c r="C10" s="441">
        <f>transport!C54</f>
        <v>0</v>
      </c>
      <c r="D10" s="441">
        <f>transport!D54</f>
        <v>0</v>
      </c>
      <c r="E10" s="441">
        <f>transport!E54</f>
        <v>0</v>
      </c>
      <c r="F10" s="441">
        <f>transport!F54</f>
        <v>0</v>
      </c>
      <c r="G10" s="441">
        <f>transport!G54</f>
        <v>723.24519724603329</v>
      </c>
      <c r="H10" s="441">
        <f>transport!H54</f>
        <v>0</v>
      </c>
      <c r="I10" s="441">
        <f>transport!I54</f>
        <v>0</v>
      </c>
      <c r="J10" s="441">
        <f>transport!J54</f>
        <v>0</v>
      </c>
      <c r="K10" s="441">
        <f>transport!K54</f>
        <v>0</v>
      </c>
      <c r="L10" s="441">
        <f>transport!L54</f>
        <v>0</v>
      </c>
      <c r="M10" s="441">
        <f>transport!M54</f>
        <v>41.649519376873542</v>
      </c>
      <c r="N10" s="441">
        <f>transport!N54</f>
        <v>0</v>
      </c>
      <c r="O10" s="441">
        <f>transport!O54</f>
        <v>0</v>
      </c>
      <c r="P10" s="442">
        <f>transport!P54</f>
        <v>0</v>
      </c>
      <c r="Q10" s="440">
        <f t="shared" si="0"/>
        <v>772.59372251335265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403.04530008151102</v>
      </c>
      <c r="C14" s="448"/>
      <c r="D14" s="448">
        <f>'SEAP template'!E25</f>
        <v>387.59482951463701</v>
      </c>
      <c r="E14" s="448"/>
      <c r="F14" s="448"/>
      <c r="G14" s="448"/>
      <c r="H14" s="448"/>
      <c r="I14" s="448"/>
      <c r="J14" s="448"/>
      <c r="K14" s="448"/>
      <c r="L14" s="448"/>
      <c r="M14" s="448"/>
      <c r="N14" s="448"/>
      <c r="O14" s="448"/>
      <c r="P14" s="449"/>
      <c r="Q14" s="440">
        <f t="shared" si="0"/>
        <v>790.64012959614797</v>
      </c>
    </row>
    <row r="15" spans="1:17" s="450" customFormat="1">
      <c r="A15" s="957" t="s">
        <v>539</v>
      </c>
      <c r="B15" s="905">
        <f ca="1">SUM(B4:B14)</f>
        <v>25301.392919246478</v>
      </c>
      <c r="C15" s="905">
        <f t="shared" ref="C15:Q15" ca="1" si="1">SUM(C4:C14)</f>
        <v>0</v>
      </c>
      <c r="D15" s="905">
        <f t="shared" ca="1" si="1"/>
        <v>22858.700242686526</v>
      </c>
      <c r="E15" s="905">
        <f t="shared" si="1"/>
        <v>1512.7634210720671</v>
      </c>
      <c r="F15" s="905">
        <f t="shared" ca="1" si="1"/>
        <v>34370.213929547121</v>
      </c>
      <c r="G15" s="905">
        <f t="shared" si="1"/>
        <v>44128.390226049756</v>
      </c>
      <c r="H15" s="905">
        <f t="shared" si="1"/>
        <v>10604.695667964696</v>
      </c>
      <c r="I15" s="905">
        <f t="shared" si="1"/>
        <v>0</v>
      </c>
      <c r="J15" s="905">
        <f t="shared" si="1"/>
        <v>413.9341065947599</v>
      </c>
      <c r="K15" s="905">
        <f t="shared" si="1"/>
        <v>0</v>
      </c>
      <c r="L15" s="905">
        <f t="shared" ca="1" si="1"/>
        <v>0</v>
      </c>
      <c r="M15" s="905">
        <f t="shared" si="1"/>
        <v>2889.8217737836371</v>
      </c>
      <c r="N15" s="905">
        <f t="shared" ca="1" si="1"/>
        <v>5427.1488507361637</v>
      </c>
      <c r="O15" s="905">
        <f t="shared" si="1"/>
        <v>220.43</v>
      </c>
      <c r="P15" s="905">
        <f t="shared" si="1"/>
        <v>1182.1333333333332</v>
      </c>
      <c r="Q15" s="905">
        <f t="shared" ca="1" si="1"/>
        <v>148909.62447101451</v>
      </c>
    </row>
    <row r="17" spans="1:17">
      <c r="A17" s="451" t="s">
        <v>540</v>
      </c>
      <c r="B17" s="714">
        <f ca="1">huishoudens!B10</f>
        <v>0.19827920032211205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3063.9128576885864</v>
      </c>
      <c r="C22" s="441">
        <f t="shared" ref="C22:C32" ca="1" si="3">C4*$C$17</f>
        <v>0</v>
      </c>
      <c r="D22" s="441">
        <f t="shared" ref="D22:D32" si="4">D4*$D$17</f>
        <v>3445.9866776379845</v>
      </c>
      <c r="E22" s="441">
        <f t="shared" ref="E22:E32" si="5">E4*$E$17</f>
        <v>281.22814723801469</v>
      </c>
      <c r="F22" s="441">
        <f t="shared" ref="F22:F32" si="6">F4*$F$17</f>
        <v>7667.3103847150423</v>
      </c>
      <c r="G22" s="441">
        <f t="shared" ref="G22:G32" si="7">G4*$G$17</f>
        <v>0</v>
      </c>
      <c r="H22" s="441">
        <f t="shared" ref="H22:H32" si="8">H4*$H$17</f>
        <v>0</v>
      </c>
      <c r="I22" s="441">
        <f t="shared" ref="I22:I32" si="9">I4*$I$17</f>
        <v>0</v>
      </c>
      <c r="J22" s="441">
        <f t="shared" ref="J22:J32" si="10">J4*$J$17</f>
        <v>52.242473523788284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14510.680540803418</v>
      </c>
    </row>
    <row r="23" spans="1:17">
      <c r="A23" s="440" t="s">
        <v>149</v>
      </c>
      <c r="B23" s="441">
        <f t="shared" ca="1" si="2"/>
        <v>1256.696676275719</v>
      </c>
      <c r="C23" s="441">
        <f t="shared" ca="1" si="3"/>
        <v>0</v>
      </c>
      <c r="D23" s="441">
        <f t="shared" ca="1" si="4"/>
        <v>932.54279140782114</v>
      </c>
      <c r="E23" s="441">
        <f t="shared" si="5"/>
        <v>18.600725918090159</v>
      </c>
      <c r="F23" s="441">
        <f t="shared" ca="1" si="6"/>
        <v>396.30881302549818</v>
      </c>
      <c r="G23" s="441">
        <f t="shared" si="7"/>
        <v>0</v>
      </c>
      <c r="H23" s="441">
        <f t="shared" si="8"/>
        <v>0</v>
      </c>
      <c r="I23" s="441">
        <f t="shared" si="9"/>
        <v>0</v>
      </c>
      <c r="J23" s="441">
        <f t="shared" si="10"/>
        <v>6.2124802864743896E-3</v>
      </c>
      <c r="K23" s="441">
        <f t="shared" si="11"/>
        <v>0</v>
      </c>
      <c r="L23" s="441">
        <f t="shared" ca="1" si="12"/>
        <v>0</v>
      </c>
      <c r="M23" s="441">
        <f t="shared" si="13"/>
        <v>0</v>
      </c>
      <c r="N23" s="441">
        <f t="shared" ca="1" si="14"/>
        <v>0</v>
      </c>
      <c r="O23" s="441">
        <f t="shared" si="15"/>
        <v>0</v>
      </c>
      <c r="P23" s="442">
        <f t="shared" si="16"/>
        <v>0</v>
      </c>
      <c r="Q23" s="440">
        <f t="shared" ref="Q23:Q32" ca="1" si="17">SUM(B23:P23)</f>
        <v>2604.1552191074152</v>
      </c>
    </row>
    <row r="24" spans="1:17">
      <c r="A24" s="440" t="s">
        <v>187</v>
      </c>
      <c r="B24" s="441">
        <f t="shared" ca="1" si="2"/>
        <v>110.48791191229179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110.48791191229179</v>
      </c>
    </row>
    <row r="25" spans="1:17">
      <c r="A25" s="440" t="s">
        <v>105</v>
      </c>
      <c r="B25" s="441">
        <f t="shared" ca="1" si="2"/>
        <v>198.30153857179789</v>
      </c>
      <c r="C25" s="441">
        <f t="shared" ca="1" si="3"/>
        <v>0</v>
      </c>
      <c r="D25" s="441">
        <f t="shared" si="4"/>
        <v>44.384384960450916</v>
      </c>
      <c r="E25" s="441">
        <f t="shared" si="5"/>
        <v>7.3677261678249009</v>
      </c>
      <c r="F25" s="441">
        <f t="shared" si="6"/>
        <v>985.12578287388806</v>
      </c>
      <c r="G25" s="441">
        <f t="shared" si="7"/>
        <v>0</v>
      </c>
      <c r="H25" s="441">
        <f t="shared" si="8"/>
        <v>0</v>
      </c>
      <c r="I25" s="441">
        <f t="shared" si="9"/>
        <v>0</v>
      </c>
      <c r="J25" s="441">
        <f t="shared" si="10"/>
        <v>93.108828622249007</v>
      </c>
      <c r="K25" s="441">
        <f t="shared" si="11"/>
        <v>0</v>
      </c>
      <c r="L25" s="441">
        <f t="shared" si="12"/>
        <v>0</v>
      </c>
      <c r="M25" s="441">
        <f t="shared" si="13"/>
        <v>0</v>
      </c>
      <c r="N25" s="441">
        <f t="shared" si="14"/>
        <v>0</v>
      </c>
      <c r="O25" s="441">
        <f t="shared" si="15"/>
        <v>0</v>
      </c>
      <c r="P25" s="442">
        <f t="shared" si="16"/>
        <v>0</v>
      </c>
      <c r="Q25" s="440">
        <f t="shared" ca="1" si="17"/>
        <v>1328.2882611962109</v>
      </c>
    </row>
    <row r="26" spans="1:17">
      <c r="A26" s="440" t="s">
        <v>596</v>
      </c>
      <c r="B26" s="441">
        <f t="shared" ca="1" si="2"/>
        <v>299.10040120299641</v>
      </c>
      <c r="C26" s="441">
        <f t="shared" ca="1" si="3"/>
        <v>0</v>
      </c>
      <c r="D26" s="441">
        <f t="shared" si="4"/>
        <v>103.80285290077296</v>
      </c>
      <c r="E26" s="441">
        <f t="shared" si="5"/>
        <v>12.239094185680424</v>
      </c>
      <c r="F26" s="441">
        <f t="shared" si="6"/>
        <v>128.10213857465294</v>
      </c>
      <c r="G26" s="441">
        <f t="shared" si="7"/>
        <v>0</v>
      </c>
      <c r="H26" s="441">
        <f t="shared" si="8"/>
        <v>0</v>
      </c>
      <c r="I26" s="441">
        <f t="shared" si="9"/>
        <v>0</v>
      </c>
      <c r="J26" s="441">
        <f t="shared" si="10"/>
        <v>1.1751591082212314</v>
      </c>
      <c r="K26" s="441">
        <f t="shared" si="11"/>
        <v>0</v>
      </c>
      <c r="L26" s="441">
        <f t="shared" si="12"/>
        <v>0</v>
      </c>
      <c r="M26" s="441">
        <f t="shared" si="13"/>
        <v>0</v>
      </c>
      <c r="N26" s="441">
        <f t="shared" si="14"/>
        <v>0</v>
      </c>
      <c r="O26" s="441">
        <f t="shared" si="15"/>
        <v>0</v>
      </c>
      <c r="P26" s="442">
        <f t="shared" si="16"/>
        <v>0</v>
      </c>
      <c r="Q26" s="440">
        <f t="shared" ca="1" si="17"/>
        <v>544.41964597232402</v>
      </c>
    </row>
    <row r="27" spans="1:17" s="446" customFormat="1">
      <c r="A27" s="444" t="s">
        <v>545</v>
      </c>
      <c r="B27" s="708">
        <f t="shared" ca="1" si="2"/>
        <v>6.7985168873676241</v>
      </c>
      <c r="C27" s="445">
        <f t="shared" ca="1" si="3"/>
        <v>0</v>
      </c>
      <c r="D27" s="445">
        <f t="shared" si="4"/>
        <v>12.446586553691972</v>
      </c>
      <c r="E27" s="445">
        <f t="shared" si="5"/>
        <v>23.961603073749057</v>
      </c>
      <c r="F27" s="445">
        <f t="shared" si="6"/>
        <v>0</v>
      </c>
      <c r="G27" s="445">
        <f t="shared" si="7"/>
        <v>11589.173722690595</v>
      </c>
      <c r="H27" s="445">
        <f t="shared" si="8"/>
        <v>2640.5692213232091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14272.949650528613</v>
      </c>
    </row>
    <row r="28" spans="1:17">
      <c r="A28" s="440" t="s">
        <v>535</v>
      </c>
      <c r="B28" s="441">
        <f t="shared" ca="1" si="2"/>
        <v>1.5265527312328226</v>
      </c>
      <c r="C28" s="441">
        <f t="shared" ca="1" si="3"/>
        <v>0</v>
      </c>
      <c r="D28" s="441">
        <f t="shared" si="4"/>
        <v>0</v>
      </c>
      <c r="E28" s="441">
        <f t="shared" si="5"/>
        <v>0</v>
      </c>
      <c r="F28" s="441">
        <f t="shared" si="6"/>
        <v>0</v>
      </c>
      <c r="G28" s="441">
        <f t="shared" si="7"/>
        <v>193.10646766469091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194.63302039592372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79.915499793747685</v>
      </c>
      <c r="C32" s="441">
        <f t="shared" ca="1" si="3"/>
        <v>0</v>
      </c>
      <c r="D32" s="441">
        <f t="shared" si="4"/>
        <v>78.294155561956686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158.20965535570437</v>
      </c>
    </row>
    <row r="33" spans="1:17" s="450" customFormat="1">
      <c r="A33" s="957" t="s">
        <v>539</v>
      </c>
      <c r="B33" s="905">
        <f ca="1">SUM(B22:B32)</f>
        <v>5016.7399550637392</v>
      </c>
      <c r="C33" s="905">
        <f t="shared" ref="C33:Q33" ca="1" si="18">SUM(C22:C32)</f>
        <v>0</v>
      </c>
      <c r="D33" s="905">
        <f t="shared" ca="1" si="18"/>
        <v>4617.4574490226787</v>
      </c>
      <c r="E33" s="905">
        <f t="shared" si="18"/>
        <v>343.39729658335926</v>
      </c>
      <c r="F33" s="905">
        <f t="shared" ca="1" si="18"/>
        <v>9176.8471191890822</v>
      </c>
      <c r="G33" s="905">
        <f t="shared" si="18"/>
        <v>11782.280190355286</v>
      </c>
      <c r="H33" s="905">
        <f t="shared" si="18"/>
        <v>2640.5692213232091</v>
      </c>
      <c r="I33" s="905">
        <f t="shared" si="18"/>
        <v>0</v>
      </c>
      <c r="J33" s="905">
        <f t="shared" si="18"/>
        <v>146.532673734545</v>
      </c>
      <c r="K33" s="905">
        <f t="shared" si="18"/>
        <v>0</v>
      </c>
      <c r="L33" s="905">
        <f t="shared" ca="1" si="18"/>
        <v>0</v>
      </c>
      <c r="M33" s="905">
        <f t="shared" si="18"/>
        <v>0</v>
      </c>
      <c r="N33" s="905">
        <f t="shared" ca="1" si="18"/>
        <v>0</v>
      </c>
      <c r="O33" s="905">
        <f t="shared" si="18"/>
        <v>0</v>
      </c>
      <c r="P33" s="905">
        <f t="shared" si="18"/>
        <v>0</v>
      </c>
      <c r="Q33" s="905">
        <f t="shared" ca="1" si="18"/>
        <v>33723.823905271907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17.590620040955631</v>
      </c>
      <c r="C5" s="974"/>
      <c r="D5" s="974"/>
      <c r="E5" s="974"/>
      <c r="F5" s="974"/>
      <c r="G5" s="974"/>
      <c r="H5" s="974"/>
      <c r="I5" s="974"/>
      <c r="J5" s="974"/>
      <c r="K5" s="974"/>
      <c r="L5" s="974"/>
      <c r="M5" s="974"/>
      <c r="N5" s="974"/>
      <c r="O5" s="974"/>
      <c r="P5" s="975">
        <f>'SEAP template'!Q73</f>
        <v>0</v>
      </c>
    </row>
    <row r="6" spans="1:16">
      <c r="A6" s="976" t="s">
        <v>239</v>
      </c>
      <c r="B6" s="974">
        <f>'SEAP template'!B74</f>
        <v>2313.6215070619037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270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771.42857142857144</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2601.2121271028595</v>
      </c>
      <c r="C10" s="978">
        <f>SUM(C4:C9)</f>
        <v>0</v>
      </c>
      <c r="D10" s="978">
        <f t="shared" ref="D10:H10" si="0">SUM(D8:D9)</f>
        <v>0</v>
      </c>
      <c r="E10" s="978">
        <f t="shared" si="0"/>
        <v>0</v>
      </c>
      <c r="F10" s="978">
        <f t="shared" si="0"/>
        <v>0</v>
      </c>
      <c r="G10" s="978">
        <f t="shared" si="0"/>
        <v>0</v>
      </c>
      <c r="H10" s="978">
        <f t="shared" si="0"/>
        <v>0</v>
      </c>
      <c r="I10" s="978">
        <f>SUM(I8:I9)</f>
        <v>0</v>
      </c>
      <c r="J10" s="978">
        <f>SUM(J8:J9)</f>
        <v>771.42857142857144</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0.19827920032211205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0.19827920032211205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2022-07-26T10:50:11Z</dcterms:modified>
</cp:coreProperties>
</file>