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16\"/>
    </mc:Choice>
  </mc:AlternateContent>
  <xr:revisionPtr revIDLastSave="0" documentId="8_{BD326A1B-C004-4FFC-B28C-43295E370EB1}" xr6:coauthVersionLast="44" xr6:coauthVersionMax="44"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6" i="13" l="1"/>
  <c r="B27" i="13"/>
  <c r="B60" i="13"/>
  <c r="B33" i="13"/>
  <c r="AC25" i="5"/>
  <c r="AB25" i="5"/>
  <c r="AA25" i="5"/>
  <c r="Z25" i="5"/>
  <c r="D25" i="5"/>
  <c r="E25" i="5"/>
  <c r="F25" i="5"/>
  <c r="G25" i="5"/>
  <c r="H25" i="5"/>
  <c r="I25" i="5"/>
  <c r="J25" i="5"/>
  <c r="K25" i="5"/>
  <c r="L25" i="5"/>
  <c r="M25" i="5"/>
  <c r="N25" i="5"/>
  <c r="O25" i="5"/>
  <c r="P25" i="5"/>
  <c r="Q25" i="5"/>
  <c r="R25" i="5"/>
  <c r="S25" i="5"/>
  <c r="T25" i="5"/>
  <c r="U25" i="5"/>
  <c r="V25" i="5"/>
  <c r="W25" i="5"/>
  <c r="X25" i="5"/>
  <c r="Y25" i="5"/>
  <c r="C25" i="5"/>
  <c r="A34" i="23"/>
  <c r="A35" i="23"/>
  <c r="A36" i="23"/>
  <c r="A37" i="23"/>
  <c r="A38" i="23"/>
  <c r="A39" i="23"/>
  <c r="A40" i="23"/>
  <c r="A41" i="23"/>
  <c r="A42" i="23"/>
  <c r="A43" i="23"/>
  <c r="A44" i="23"/>
  <c r="A45" i="23"/>
  <c r="A46" i="23"/>
  <c r="A47" i="23"/>
  <c r="A48" i="23"/>
  <c r="A49" i="23"/>
  <c r="A50" i="23"/>
  <c r="A51" i="23"/>
  <c r="A52" i="23"/>
  <c r="A53" i="23"/>
  <c r="A54" i="23"/>
  <c r="A55" i="23"/>
  <c r="N25" i="22"/>
  <c r="N24" i="22"/>
  <c r="B46" i="15"/>
  <c r="B38" i="15"/>
  <c r="E78" i="22"/>
  <c r="E42" i="22"/>
  <c r="P7" i="61"/>
  <c r="P6" i="61"/>
  <c r="P5" i="61"/>
  <c r="P4" i="61"/>
  <c r="L19" i="18"/>
  <c r="K19" i="18"/>
  <c r="J19" i="18"/>
  <c r="J89" i="14"/>
  <c r="J19" i="61"/>
  <c r="I19" i="18"/>
  <c r="I89" i="14"/>
  <c r="I19" i="61"/>
  <c r="H19" i="18"/>
  <c r="G19" i="18"/>
  <c r="F19" i="18"/>
  <c r="G89" i="14"/>
  <c r="G19" i="61"/>
  <c r="E19" i="18"/>
  <c r="F89" i="14"/>
  <c r="F19" i="61"/>
  <c r="D19" i="18"/>
  <c r="C19" i="18"/>
  <c r="D89" i="14"/>
  <c r="D19" i="61"/>
  <c r="B19" i="18"/>
  <c r="N18" i="18"/>
  <c r="L88" i="14"/>
  <c r="M18" i="18"/>
  <c r="L18" i="18"/>
  <c r="L20" i="18"/>
  <c r="K18" i="18"/>
  <c r="N88" i="14"/>
  <c r="N18" i="61"/>
  <c r="J18" i="18"/>
  <c r="J88" i="14"/>
  <c r="J18" i="61"/>
  <c r="I18" i="18"/>
  <c r="H18" i="18"/>
  <c r="G18" i="18"/>
  <c r="H88" i="14"/>
  <c r="H18" i="61"/>
  <c r="F18" i="18"/>
  <c r="G88" i="14"/>
  <c r="G18" i="61"/>
  <c r="E18" i="18"/>
  <c r="D18" i="18"/>
  <c r="D20" i="18"/>
  <c r="C18" i="18"/>
  <c r="D88" i="14"/>
  <c r="D18" i="61"/>
  <c r="B18" i="18"/>
  <c r="L9" i="18"/>
  <c r="K9" i="18"/>
  <c r="N77" i="14"/>
  <c r="G9" i="18"/>
  <c r="G10" i="18"/>
  <c r="F9" i="18"/>
  <c r="G77" i="14"/>
  <c r="G9" i="61"/>
  <c r="D9" i="18"/>
  <c r="K22" i="18"/>
  <c r="J22" i="18"/>
  <c r="I22" i="18"/>
  <c r="H22" i="18"/>
  <c r="K12" i="18"/>
  <c r="J12" i="18"/>
  <c r="I12" i="18"/>
  <c r="H12" i="18"/>
  <c r="W44" i="18"/>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V41" i="18"/>
  <c r="Q41" i="18"/>
  <c r="R41" i="18"/>
  <c r="J9" i="18"/>
  <c r="J77" i="14"/>
  <c r="J9" i="61"/>
  <c r="U41" i="18"/>
  <c r="T41" i="18"/>
  <c r="I9" i="18"/>
  <c r="S41" i="18"/>
  <c r="E9" i="18"/>
  <c r="P41" i="18"/>
  <c r="C9" i="18"/>
  <c r="O41" i="18"/>
  <c r="N41" i="18"/>
  <c r="B9" i="18"/>
  <c r="M41" i="18"/>
  <c r="W37" i="18"/>
  <c r="V37" i="18"/>
  <c r="U37" i="18"/>
  <c r="T37" i="18"/>
  <c r="S37" i="18"/>
  <c r="R37" i="18"/>
  <c r="Q37" i="18"/>
  <c r="P37" i="18"/>
  <c r="O37" i="18"/>
  <c r="N37" i="18"/>
  <c r="M37" i="18"/>
  <c r="W36" i="18"/>
  <c r="V36" i="18"/>
  <c r="U36" i="18"/>
  <c r="T36" i="18"/>
  <c r="S36" i="18"/>
  <c r="F13" i="15"/>
  <c r="R36" i="18"/>
  <c r="Q36" i="18"/>
  <c r="P36" i="18"/>
  <c r="D13" i="15"/>
  <c r="O36" i="18"/>
  <c r="C13" i="15"/>
  <c r="N36" i="18"/>
  <c r="M36" i="18"/>
  <c r="W35" i="18"/>
  <c r="V35" i="18"/>
  <c r="U35" i="18"/>
  <c r="T35" i="18"/>
  <c r="S35" i="18"/>
  <c r="R35" i="18"/>
  <c r="Q35" i="18"/>
  <c r="P35" i="18"/>
  <c r="O35" i="18"/>
  <c r="N35" i="18"/>
  <c r="M35" i="18"/>
  <c r="W34" i="18"/>
  <c r="V34" i="18"/>
  <c r="U34" i="18"/>
  <c r="T34" i="18"/>
  <c r="S34" i="18"/>
  <c r="R34" i="18"/>
  <c r="Q34" i="18"/>
  <c r="P34" i="18"/>
  <c r="O34" i="18"/>
  <c r="N34" i="18"/>
  <c r="B50" i="18"/>
  <c r="M34" i="18"/>
  <c r="G22" i="18"/>
  <c r="F22" i="18"/>
  <c r="E22" i="18"/>
  <c r="D22" i="18"/>
  <c r="C22" i="18"/>
  <c r="G12" i="18"/>
  <c r="F12" i="18"/>
  <c r="E12" i="18"/>
  <c r="D12" i="18"/>
  <c r="C12" i="18"/>
  <c r="L10" i="18"/>
  <c r="E77" i="14"/>
  <c r="E9" i="61"/>
  <c r="B8" i="18"/>
  <c r="B6" i="18"/>
  <c r="B74" i="14"/>
  <c r="B6" i="61"/>
  <c r="B5" i="18"/>
  <c r="B73" i="14"/>
  <c r="B5" i="61"/>
  <c r="B4" i="18"/>
  <c r="B72" i="14"/>
  <c r="B4" i="61"/>
  <c r="N6" i="17"/>
  <c r="L6" i="17"/>
  <c r="D6" i="17"/>
  <c r="B19" i="6"/>
  <c r="B18" i="6"/>
  <c r="B5" i="6"/>
  <c r="B6" i="6"/>
  <c r="C64" i="14"/>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c r="O17" i="48"/>
  <c r="K4" i="48"/>
  <c r="I4" i="48"/>
  <c r="H4" i="48"/>
  <c r="G4" i="48"/>
  <c r="H11" i="48"/>
  <c r="G11" i="48"/>
  <c r="O89" i="14"/>
  <c r="O19" i="61"/>
  <c r="N89" i="14"/>
  <c r="N19" i="61"/>
  <c r="M89" i="14"/>
  <c r="M19" i="61"/>
  <c r="L89" i="14"/>
  <c r="L19" i="61"/>
  <c r="K89" i="14"/>
  <c r="K19" i="61"/>
  <c r="H89" i="14"/>
  <c r="H19" i="61"/>
  <c r="E89" i="14"/>
  <c r="E19" i="61"/>
  <c r="M88" i="14"/>
  <c r="M18" i="61"/>
  <c r="K88" i="14"/>
  <c r="K18" i="61"/>
  <c r="I88" i="14"/>
  <c r="I18" i="61"/>
  <c r="F88" i="14"/>
  <c r="F18" i="61"/>
  <c r="E88" i="14"/>
  <c r="O87" i="14"/>
  <c r="O17" i="61"/>
  <c r="N87" i="14"/>
  <c r="N17" i="61"/>
  <c r="L87" i="14"/>
  <c r="L17" i="61"/>
  <c r="K87" i="14"/>
  <c r="K17" i="61"/>
  <c r="H87" i="14"/>
  <c r="H17" i="61"/>
  <c r="G87" i="14"/>
  <c r="G17" i="61"/>
  <c r="E87" i="14"/>
  <c r="E17" i="61"/>
  <c r="O77" i="14"/>
  <c r="O9" i="61"/>
  <c r="L77" i="14"/>
  <c r="L9" i="61"/>
  <c r="K77" i="14"/>
  <c r="K9" i="61"/>
  <c r="O76" i="14"/>
  <c r="O8" i="61"/>
  <c r="N76" i="14"/>
  <c r="N8" i="61"/>
  <c r="L76" i="14"/>
  <c r="K76" i="14"/>
  <c r="H76" i="14"/>
  <c r="H8" i="61"/>
  <c r="G76" i="14"/>
  <c r="G8" i="61"/>
  <c r="E76" i="14"/>
  <c r="E8" i="61"/>
  <c r="B75" i="14"/>
  <c r="B7" i="61"/>
  <c r="C29" i="14"/>
  <c r="Q54" i="14"/>
  <c r="Q56" i="14"/>
  <c r="P54" i="14"/>
  <c r="P56" i="14"/>
  <c r="L54" i="14"/>
  <c r="J54" i="14"/>
  <c r="J56" i="14"/>
  <c r="I54" i="14"/>
  <c r="I56" i="14"/>
  <c r="H54" i="14"/>
  <c r="H56" i="14"/>
  <c r="Q24" i="14"/>
  <c r="P24" i="14"/>
  <c r="P26" i="14"/>
  <c r="N24" i="14"/>
  <c r="N26" i="14"/>
  <c r="L24" i="14"/>
  <c r="L26" i="14"/>
  <c r="J24" i="14"/>
  <c r="I24" i="14"/>
  <c r="I26" i="14"/>
  <c r="H24" i="14"/>
  <c r="H26"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R44" i="14"/>
  <c r="Q26" i="14"/>
  <c r="J26" i="14"/>
  <c r="E25" i="14"/>
  <c r="D14" i="48"/>
  <c r="C25" i="14"/>
  <c r="B14" i="48"/>
  <c r="Q14" i="48"/>
  <c r="D5" i="17"/>
  <c r="O31" i="48"/>
  <c r="C50" i="18"/>
  <c r="C6" i="17"/>
  <c r="B17" i="18"/>
  <c r="B20" i="18"/>
  <c r="O25" i="48"/>
  <c r="O30" i="48"/>
  <c r="O32" i="48"/>
  <c r="P25" i="48"/>
  <c r="P31" i="48"/>
  <c r="H9" i="18"/>
  <c r="O9" i="18"/>
  <c r="F6" i="17"/>
  <c r="I77" i="14"/>
  <c r="I9" i="61"/>
  <c r="K10" i="18"/>
  <c r="E10" i="61"/>
  <c r="F10" i="18"/>
  <c r="H20" i="61"/>
  <c r="K90" i="14"/>
  <c r="O10" i="61"/>
  <c r="G20" i="61"/>
  <c r="K20" i="61"/>
  <c r="K78" i="14"/>
  <c r="K8" i="61"/>
  <c r="K10" i="61"/>
  <c r="L90" i="14"/>
  <c r="L18" i="61"/>
  <c r="L20" i="61"/>
  <c r="L78" i="14"/>
  <c r="L8" i="61"/>
  <c r="L10" i="61"/>
  <c r="E90" i="14"/>
  <c r="E18" i="61"/>
  <c r="E20" i="61"/>
  <c r="N20" i="61"/>
  <c r="G10" i="61"/>
  <c r="N78" i="14"/>
  <c r="N9" i="61"/>
  <c r="N10" i="61"/>
  <c r="B10" i="18"/>
  <c r="L13" i="15"/>
  <c r="B13" i="15"/>
  <c r="H90" i="14"/>
  <c r="N13" i="15"/>
  <c r="F77" i="14"/>
  <c r="F9" i="61"/>
  <c r="I53" i="18"/>
  <c r="H8" i="18"/>
  <c r="E53" i="18"/>
  <c r="E8" i="18"/>
  <c r="G53" i="18"/>
  <c r="F53" i="18"/>
  <c r="H53" i="18"/>
  <c r="D53" i="18"/>
  <c r="C53" i="18"/>
  <c r="B53" i="18"/>
  <c r="C8" i="18"/>
  <c r="I54" i="18"/>
  <c r="H17" i="18"/>
  <c r="E54" i="18"/>
  <c r="E17" i="18"/>
  <c r="C54" i="18"/>
  <c r="B54" i="18"/>
  <c r="C17" i="18"/>
  <c r="H54" i="18"/>
  <c r="D54" i="18"/>
  <c r="G54" i="18"/>
  <c r="F54" i="18"/>
  <c r="N90" i="14"/>
  <c r="B89" i="14"/>
  <c r="B19" i="61"/>
  <c r="O18" i="18"/>
  <c r="F20" i="18"/>
  <c r="D77" i="14"/>
  <c r="D9" i="61"/>
  <c r="H77" i="14"/>
  <c r="G90" i="14"/>
  <c r="O88" i="14"/>
  <c r="G20" i="18"/>
  <c r="K20" i="18"/>
  <c r="C89" i="14"/>
  <c r="C19" i="61"/>
  <c r="O19" i="18"/>
  <c r="O78" i="14"/>
  <c r="D10" i="18"/>
  <c r="Q89" i="14"/>
  <c r="P19" i="61"/>
  <c r="O27" i="48"/>
  <c r="P32" i="48"/>
  <c r="O24" i="48"/>
  <c r="P24" i="48"/>
  <c r="P30" i="48"/>
  <c r="G78" i="14"/>
  <c r="E55" i="14"/>
  <c r="R25" i="14"/>
  <c r="E78" i="14"/>
  <c r="I8" i="18"/>
  <c r="M77" i="14"/>
  <c r="M9" i="61"/>
  <c r="H78" i="14"/>
  <c r="H9" i="61"/>
  <c r="H10" i="61"/>
  <c r="O90" i="14"/>
  <c r="O18" i="61"/>
  <c r="O20" i="61"/>
  <c r="B88" i="14"/>
  <c r="B18" i="61"/>
  <c r="B77" i="14"/>
  <c r="B9" i="61"/>
  <c r="J17" i="18"/>
  <c r="H20" i="18"/>
  <c r="M87" i="14"/>
  <c r="J8" i="18"/>
  <c r="O8" i="18"/>
  <c r="O10" i="18"/>
  <c r="M76" i="14"/>
  <c r="H10" i="18"/>
  <c r="E20" i="18"/>
  <c r="F87" i="14"/>
  <c r="C77" i="14"/>
  <c r="C9" i="61"/>
  <c r="C20" i="18"/>
  <c r="D87" i="14"/>
  <c r="D17" i="61"/>
  <c r="D20" i="61"/>
  <c r="D76" i="14"/>
  <c r="D8" i="61"/>
  <c r="D10" i="61"/>
  <c r="C10" i="18"/>
  <c r="C88" i="14"/>
  <c r="C18" i="61"/>
  <c r="F76" i="14"/>
  <c r="E10" i="18"/>
  <c r="I17" i="18"/>
  <c r="I10" i="18"/>
  <c r="I76" i="14"/>
  <c r="I8" i="61"/>
  <c r="I10" i="61"/>
  <c r="Q88" i="14"/>
  <c r="P18" i="61"/>
  <c r="Q77" i="14"/>
  <c r="P9" i="61"/>
  <c r="F78" i="14"/>
  <c r="F8" i="61"/>
  <c r="F10" i="61"/>
  <c r="F90" i="14"/>
  <c r="F17" i="61"/>
  <c r="F20" i="61"/>
  <c r="M90" i="14"/>
  <c r="M17" i="61"/>
  <c r="M20" i="61"/>
  <c r="M78" i="14"/>
  <c r="M8" i="61"/>
  <c r="M10" i="61"/>
  <c r="I78" i="14"/>
  <c r="Q76" i="14"/>
  <c r="D78" i="14"/>
  <c r="J87" i="14"/>
  <c r="J20" i="18"/>
  <c r="I87" i="14"/>
  <c r="I17" i="61"/>
  <c r="I20" i="61"/>
  <c r="I20" i="18"/>
  <c r="O17" i="18"/>
  <c r="O20" i="18"/>
  <c r="Q87" i="14"/>
  <c r="D90" i="14"/>
  <c r="J10" i="18"/>
  <c r="J76" i="14"/>
  <c r="D5" i="13"/>
  <c r="Q78" i="14"/>
  <c r="B9" i="6"/>
  <c r="P8" i="61"/>
  <c r="P10" i="61"/>
  <c r="Q90" i="14"/>
  <c r="B17" i="6"/>
  <c r="P17" i="61"/>
  <c r="P20" i="61"/>
  <c r="J78" i="14"/>
  <c r="J8" i="61"/>
  <c r="J10" i="61"/>
  <c r="J90" i="14"/>
  <c r="J17" i="61"/>
  <c r="J20" i="61"/>
  <c r="I90" i="14"/>
  <c r="B87" i="14"/>
  <c r="C87" i="14"/>
  <c r="C76" i="14"/>
  <c r="B76" i="14"/>
  <c r="B26" i="17"/>
  <c r="C78" i="14"/>
  <c r="C8" i="61"/>
  <c r="C10" i="61"/>
  <c r="C90" i="14"/>
  <c r="C17" i="61"/>
  <c r="C20" i="61"/>
  <c r="B90" i="14"/>
  <c r="B17" i="61"/>
  <c r="B20" i="61"/>
  <c r="B78" i="14"/>
  <c r="B8" i="61"/>
  <c r="B10" i="61"/>
  <c r="H14" i="15"/>
  <c r="H16" i="15"/>
  <c r="G14" i="15"/>
  <c r="G16" i="15"/>
  <c r="G5" i="48"/>
  <c r="H10" i="14"/>
  <c r="H16" i="14"/>
  <c r="H5" i="48"/>
  <c r="I10" i="14"/>
  <c r="I16" i="14"/>
  <c r="B4" i="6"/>
  <c r="A31" i="23"/>
  <c r="A32" i="23"/>
  <c r="A33" i="23"/>
  <c r="A6" i="23"/>
  <c r="A5" i="23"/>
  <c r="A2" i="23"/>
  <c r="A3" i="23"/>
  <c r="D10" i="22"/>
  <c r="A4" i="23"/>
  <c r="A7" i="23"/>
  <c r="A8" i="23"/>
  <c r="A9" i="23"/>
  <c r="A10" i="23"/>
  <c r="A11" i="23"/>
  <c r="A12" i="23"/>
  <c r="A13" i="23"/>
  <c r="A14" i="23"/>
  <c r="A15" i="23"/>
  <c r="A16" i="23"/>
  <c r="A17" i="23"/>
  <c r="A18" i="23"/>
  <c r="A19" i="23"/>
  <c r="A20" i="23"/>
  <c r="A21" i="23"/>
  <c r="A22" i="23"/>
  <c r="A23" i="23"/>
  <c r="A24" i="23"/>
  <c r="A25" i="23"/>
  <c r="A26" i="23"/>
  <c r="A27" i="23"/>
  <c r="A28" i="23"/>
  <c r="A29" i="23"/>
  <c r="A30" i="23"/>
  <c r="B52" i="22"/>
  <c r="B51" i="22"/>
  <c r="D6" i="22"/>
  <c r="D8" i="22"/>
  <c r="E7" i="22"/>
  <c r="E11" i="22"/>
  <c r="D9" i="22"/>
  <c r="E9" i="22"/>
  <c r="E8" i="22"/>
  <c r="E10" i="22"/>
  <c r="B11" i="22"/>
  <c r="B10" i="22"/>
  <c r="B9" i="22"/>
  <c r="E6" i="22"/>
  <c r="B7" i="22"/>
  <c r="B6" i="22"/>
  <c r="D11" i="22"/>
  <c r="B8" i="22"/>
  <c r="D7" i="22"/>
  <c r="C37" i="22"/>
  <c r="C73" i="22"/>
  <c r="H9" i="22"/>
  <c r="H10" i="22"/>
  <c r="H8" i="22"/>
  <c r="H6" i="22"/>
  <c r="H11" i="22"/>
  <c r="H7" i="22"/>
  <c r="M15" i="19"/>
  <c r="O15" i="19"/>
  <c r="P15" i="19"/>
  <c r="M14" i="15"/>
  <c r="M16" i="15"/>
  <c r="N9" i="14"/>
  <c r="M11" i="48"/>
  <c r="P11" i="48"/>
  <c r="P29" i="48"/>
  <c r="Q9" i="14"/>
  <c r="O11" i="48"/>
  <c r="O29" i="48"/>
  <c r="P9" i="14"/>
  <c r="N10" i="14"/>
  <c r="M5" i="48"/>
  <c r="B28" i="17"/>
  <c r="B27" i="17"/>
  <c r="B31" i="19"/>
  <c r="B24" i="19"/>
  <c r="B52" i="13"/>
  <c r="B35" i="19"/>
  <c r="B26" i="19"/>
  <c r="B27" i="19"/>
  <c r="B6" i="13"/>
  <c r="B17" i="17"/>
  <c r="B34" i="17"/>
  <c r="B6" i="16"/>
  <c r="L5" i="17"/>
  <c r="L16" i="16"/>
  <c r="F16" i="16"/>
  <c r="D16" i="16"/>
  <c r="B16" i="16"/>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c r="C28" i="17"/>
  <c r="C27" i="17"/>
  <c r="C26" i="17"/>
  <c r="J5" i="17"/>
  <c r="N10" i="17"/>
  <c r="M10" i="17"/>
  <c r="M12" i="17"/>
  <c r="N54" i="14"/>
  <c r="N56" i="14"/>
  <c r="L10" i="17"/>
  <c r="K10" i="17"/>
  <c r="J10" i="17"/>
  <c r="I10" i="17"/>
  <c r="H10" i="17"/>
  <c r="G10" i="17"/>
  <c r="F10" i="17"/>
  <c r="E10" i="17"/>
  <c r="D10" i="17"/>
  <c r="F5" i="17"/>
  <c r="C5" i="17"/>
  <c r="B5" i="17"/>
  <c r="B8" i="17"/>
  <c r="B51" i="16"/>
  <c r="P5" i="16"/>
  <c r="B45" i="16"/>
  <c r="B43" i="16"/>
  <c r="B37" i="16"/>
  <c r="C37" i="16"/>
  <c r="F15" i="16"/>
  <c r="B36" i="16"/>
  <c r="C36" i="16"/>
  <c r="J14" i="16"/>
  <c r="B35" i="16"/>
  <c r="B34" i="16"/>
  <c r="B12" i="16"/>
  <c r="B33" i="16"/>
  <c r="C33" i="16"/>
  <c r="F11" i="16"/>
  <c r="B32" i="16"/>
  <c r="C32" i="16"/>
  <c r="J10" i="16"/>
  <c r="B31" i="16"/>
  <c r="C31" i="16"/>
  <c r="F9" i="16"/>
  <c r="B30" i="16"/>
  <c r="C30" i="16"/>
  <c r="N8" i="16"/>
  <c r="B29" i="16"/>
  <c r="C29" i="16"/>
  <c r="N20" i="16"/>
  <c r="M20" i="16"/>
  <c r="M22" i="16"/>
  <c r="N43" i="14"/>
  <c r="L20" i="16"/>
  <c r="K20" i="16"/>
  <c r="J20" i="16"/>
  <c r="I20" i="16"/>
  <c r="H20" i="16"/>
  <c r="G20" i="16"/>
  <c r="F20" i="16"/>
  <c r="E20" i="16"/>
  <c r="D20" i="16"/>
  <c r="D15" i="16"/>
  <c r="D14" i="16"/>
  <c r="D13" i="16"/>
  <c r="D12" i="16"/>
  <c r="D11" i="16"/>
  <c r="D10" i="16"/>
  <c r="D9" i="16"/>
  <c r="D8" i="16"/>
  <c r="D7" i="16"/>
  <c r="D6" i="16"/>
  <c r="C5" i="16"/>
  <c r="B40" i="15"/>
  <c r="B32" i="15"/>
  <c r="C32" i="15"/>
  <c r="N12" i="15"/>
  <c r="B31" i="15"/>
  <c r="C31" i="15"/>
  <c r="E11" i="15"/>
  <c r="B30" i="15"/>
  <c r="C30" i="15"/>
  <c r="E10" i="15"/>
  <c r="B29" i="15"/>
  <c r="C29" i="15"/>
  <c r="J9" i="15"/>
  <c r="B28" i="15"/>
  <c r="C28" i="15"/>
  <c r="N8" i="15"/>
  <c r="B27" i="15"/>
  <c r="C27" i="15"/>
  <c r="F7" i="15"/>
  <c r="B26" i="15"/>
  <c r="C26" i="15"/>
  <c r="E6" i="15"/>
  <c r="N18" i="15"/>
  <c r="M18" i="15"/>
  <c r="L18" i="15"/>
  <c r="K18" i="15"/>
  <c r="J18" i="15"/>
  <c r="I18" i="15"/>
  <c r="H18" i="15"/>
  <c r="G18" i="15"/>
  <c r="F18" i="15"/>
  <c r="E18" i="15"/>
  <c r="D18" i="15"/>
  <c r="D12" i="15"/>
  <c r="D11" i="15"/>
  <c r="D10" i="15"/>
  <c r="D9" i="15"/>
  <c r="D8" i="15"/>
  <c r="D7" i="15"/>
  <c r="D6" i="15"/>
  <c r="P5" i="15"/>
  <c r="P16" i="15"/>
  <c r="C5" i="15"/>
  <c r="B54" i="13"/>
  <c r="O5" i="13"/>
  <c r="O8" i="13"/>
  <c r="B31" i="13"/>
  <c r="N10" i="13"/>
  <c r="N17" i="48"/>
  <c r="M10" i="13"/>
  <c r="M17" i="48"/>
  <c r="L10" i="13"/>
  <c r="L17" i="48"/>
  <c r="K10" i="13"/>
  <c r="K17" i="48"/>
  <c r="J10" i="13"/>
  <c r="J17" i="48"/>
  <c r="I10" i="13"/>
  <c r="I17" i="48"/>
  <c r="H10" i="13"/>
  <c r="H17" i="48"/>
  <c r="G10" i="13"/>
  <c r="G17" i="48"/>
  <c r="F10" i="13"/>
  <c r="F17" i="48"/>
  <c r="E10" i="13"/>
  <c r="E17" i="48"/>
  <c r="D10" i="13"/>
  <c r="D17" i="48"/>
  <c r="M8" i="13"/>
  <c r="L8" i="13"/>
  <c r="D8" i="13"/>
  <c r="C5" i="13"/>
  <c r="C8" i="13"/>
  <c r="B5" i="13"/>
  <c r="B8" i="13"/>
  <c r="B5" i="9"/>
  <c r="N29" i="20"/>
  <c r="M29" i="20"/>
  <c r="L29" i="20"/>
  <c r="K29" i="20"/>
  <c r="J29" i="20"/>
  <c r="I29" i="20"/>
  <c r="H29" i="20"/>
  <c r="G29" i="20"/>
  <c r="F29" i="20"/>
  <c r="E29" i="20"/>
  <c r="D29" i="20"/>
  <c r="H26" i="20"/>
  <c r="G26" i="20"/>
  <c r="E26" i="20"/>
  <c r="E27" i="20"/>
  <c r="D26" i="20"/>
  <c r="D27" i="20"/>
  <c r="B26" i="20"/>
  <c r="B27" i="20"/>
  <c r="N17" i="49"/>
  <c r="M17" i="49"/>
  <c r="L17" i="49"/>
  <c r="K17" i="49"/>
  <c r="J17" i="49"/>
  <c r="I17" i="49"/>
  <c r="F17" i="49"/>
  <c r="E17" i="49"/>
  <c r="D17" i="49"/>
  <c r="B15" i="49"/>
  <c r="N17" i="19"/>
  <c r="M17" i="19"/>
  <c r="M19" i="19"/>
  <c r="N39" i="14"/>
  <c r="L17" i="19"/>
  <c r="K17" i="19"/>
  <c r="J17" i="19"/>
  <c r="I17" i="19"/>
  <c r="F17" i="19"/>
  <c r="E17" i="19"/>
  <c r="D17" i="19"/>
  <c r="P19" i="19"/>
  <c r="Q39" i="14"/>
  <c r="O19" i="19"/>
  <c r="P39" i="14"/>
  <c r="N15" i="19"/>
  <c r="L15" i="19"/>
  <c r="K15" i="19"/>
  <c r="J15" i="19"/>
  <c r="I15" i="19"/>
  <c r="F15" i="19"/>
  <c r="E15" i="19"/>
  <c r="D15" i="19"/>
  <c r="C15" i="19"/>
  <c r="B15" i="19"/>
  <c r="A7" i="31"/>
  <c r="A6" i="31"/>
  <c r="J15" i="16"/>
  <c r="P5" i="13"/>
  <c r="P8" i="13"/>
  <c r="P4" i="48"/>
  <c r="P22" i="48"/>
  <c r="B37" i="13"/>
  <c r="B34" i="13"/>
  <c r="B36" i="13"/>
  <c r="B35" i="13"/>
  <c r="C35" i="13"/>
  <c r="B32" i="13"/>
  <c r="E5" i="13"/>
  <c r="C34" i="13"/>
  <c r="K14" i="15"/>
  <c r="K16" i="15"/>
  <c r="K11" i="48"/>
  <c r="K29" i="48"/>
  <c r="L9" i="14"/>
  <c r="B12" i="22"/>
  <c r="B13" i="48"/>
  <c r="C18" i="14"/>
  <c r="D30" i="48"/>
  <c r="D32" i="48"/>
  <c r="D24" i="48"/>
  <c r="L32" i="48"/>
  <c r="L30" i="48"/>
  <c r="L24" i="48"/>
  <c r="L27" i="48"/>
  <c r="L31" i="48"/>
  <c r="I19" i="14"/>
  <c r="H10" i="48"/>
  <c r="H28" i="48"/>
  <c r="F10" i="48"/>
  <c r="F28" i="48"/>
  <c r="G19" i="14"/>
  <c r="G22" i="14"/>
  <c r="D12" i="22"/>
  <c r="E18" i="14"/>
  <c r="D13" i="48"/>
  <c r="D31" i="48"/>
  <c r="E30" i="48"/>
  <c r="E24" i="48"/>
  <c r="E32" i="48"/>
  <c r="M25" i="48"/>
  <c r="M26" i="48"/>
  <c r="M32" i="48"/>
  <c r="M30" i="48"/>
  <c r="M24" i="48"/>
  <c r="M29" i="48"/>
  <c r="M23" i="48"/>
  <c r="I10" i="48"/>
  <c r="I28" i="48"/>
  <c r="J19" i="14"/>
  <c r="J22" i="14"/>
  <c r="E12" i="22"/>
  <c r="E13" i="48"/>
  <c r="E31" i="48"/>
  <c r="F18" i="14"/>
  <c r="C11" i="14"/>
  <c r="B4" i="48"/>
  <c r="F30" i="48"/>
  <c r="F31" i="48"/>
  <c r="F24" i="48"/>
  <c r="F27" i="48"/>
  <c r="F32" i="48"/>
  <c r="N27" i="48"/>
  <c r="N24" i="48"/>
  <c r="N32" i="48"/>
  <c r="N30" i="48"/>
  <c r="N31" i="48"/>
  <c r="J10" i="48"/>
  <c r="J28" i="48"/>
  <c r="K19" i="14"/>
  <c r="K22" i="14"/>
  <c r="L14" i="15"/>
  <c r="L11" i="48"/>
  <c r="L29" i="48"/>
  <c r="M9" i="14"/>
  <c r="D11" i="14"/>
  <c r="C4" i="48"/>
  <c r="G23" i="48"/>
  <c r="G32" i="48"/>
  <c r="G30" i="48"/>
  <c r="G25" i="48"/>
  <c r="G22" i="48"/>
  <c r="G24" i="48"/>
  <c r="G26" i="48"/>
  <c r="G29" i="48"/>
  <c r="K10" i="48"/>
  <c r="K28" i="48"/>
  <c r="L19" i="14"/>
  <c r="L22" i="14"/>
  <c r="J14" i="15"/>
  <c r="J11" i="48"/>
  <c r="J29" i="48"/>
  <c r="K9" i="14"/>
  <c r="P10" i="48"/>
  <c r="P28" i="48"/>
  <c r="Q19" i="14"/>
  <c r="Q22" i="14"/>
  <c r="N14" i="15"/>
  <c r="O9" i="14"/>
  <c r="N11" i="48"/>
  <c r="N29" i="48"/>
  <c r="D4" i="48"/>
  <c r="D22" i="48"/>
  <c r="E11" i="14"/>
  <c r="H29" i="48"/>
  <c r="H32" i="48"/>
  <c r="H25" i="48"/>
  <c r="H24" i="48"/>
  <c r="H30" i="48"/>
  <c r="H26" i="48"/>
  <c r="H22" i="48"/>
  <c r="H23" i="48"/>
  <c r="C10" i="48"/>
  <c r="D19" i="14"/>
  <c r="D22" i="14"/>
  <c r="L10" i="48"/>
  <c r="L28" i="48"/>
  <c r="M19" i="14"/>
  <c r="M22" i="14"/>
  <c r="N11" i="14"/>
  <c r="N16" i="14"/>
  <c r="M4" i="48"/>
  <c r="M22" i="48"/>
  <c r="B14" i="15"/>
  <c r="B11" i="48"/>
  <c r="C9" i="14"/>
  <c r="C14" i="15"/>
  <c r="C11" i="48"/>
  <c r="D9" i="14"/>
  <c r="E9" i="14"/>
  <c r="D11" i="48"/>
  <c r="D29" i="48"/>
  <c r="E14" i="15"/>
  <c r="F9" i="14"/>
  <c r="E11" i="48"/>
  <c r="E29" i="48"/>
  <c r="F14" i="15"/>
  <c r="G9" i="14"/>
  <c r="F11" i="48"/>
  <c r="F29" i="48"/>
  <c r="P11" i="14"/>
  <c r="O4" i="48"/>
  <c r="O22" i="48"/>
  <c r="I25" i="48"/>
  <c r="I32" i="48"/>
  <c r="I30" i="48"/>
  <c r="I22" i="48"/>
  <c r="I24" i="48"/>
  <c r="I27" i="48"/>
  <c r="I31" i="48"/>
  <c r="I26" i="48"/>
  <c r="D10" i="48"/>
  <c r="D28" i="48"/>
  <c r="E19" i="14"/>
  <c r="N10" i="48"/>
  <c r="N28" i="48"/>
  <c r="O19" i="14"/>
  <c r="O22" i="14"/>
  <c r="K32" i="48"/>
  <c r="K31" i="48"/>
  <c r="K24" i="48"/>
  <c r="K27" i="48"/>
  <c r="K22" i="48"/>
  <c r="K26" i="48"/>
  <c r="K25" i="48"/>
  <c r="K30" i="48"/>
  <c r="I11" i="48"/>
  <c r="I29" i="48"/>
  <c r="J9" i="14"/>
  <c r="B6" i="9"/>
  <c r="B8" i="9"/>
  <c r="B6" i="48"/>
  <c r="Q6" i="48"/>
  <c r="B12" i="48"/>
  <c r="Q12" i="48"/>
  <c r="C12" i="14"/>
  <c r="R12" i="14"/>
  <c r="M11" i="14"/>
  <c r="L4" i="48"/>
  <c r="L22" i="48"/>
  <c r="J31" i="48"/>
  <c r="J24" i="48"/>
  <c r="J32" i="48"/>
  <c r="J30" i="48"/>
  <c r="J27" i="48"/>
  <c r="B7" i="48"/>
  <c r="C24" i="14"/>
  <c r="C26" i="14"/>
  <c r="E10" i="48"/>
  <c r="E28" i="48"/>
  <c r="F19" i="14"/>
  <c r="O10" i="48"/>
  <c r="O28" i="48"/>
  <c r="P19" i="14"/>
  <c r="P22" i="14"/>
  <c r="Q10" i="14"/>
  <c r="P5" i="48"/>
  <c r="B10" i="48"/>
  <c r="C19" i="14"/>
  <c r="N16" i="16"/>
  <c r="C16" i="15"/>
  <c r="C5" i="48"/>
  <c r="C16" i="16"/>
  <c r="C18" i="16"/>
  <c r="L18" i="16"/>
  <c r="L22" i="16"/>
  <c r="M43" i="14"/>
  <c r="I14" i="15"/>
  <c r="I16" i="15"/>
  <c r="I20" i="15"/>
  <c r="J40" i="14"/>
  <c r="J46" i="14"/>
  <c r="J61" i="14"/>
  <c r="B13" i="16"/>
  <c r="C35" i="16"/>
  <c r="D8" i="17"/>
  <c r="D12" i="17"/>
  <c r="E54" i="14"/>
  <c r="E56" i="14"/>
  <c r="D14" i="15"/>
  <c r="P18" i="16"/>
  <c r="N5" i="17"/>
  <c r="J8" i="17"/>
  <c r="F8" i="17"/>
  <c r="L16" i="15"/>
  <c r="B67" i="22"/>
  <c r="M11" i="22"/>
  <c r="G10" i="22"/>
  <c r="M9" i="22"/>
  <c r="G8" i="22"/>
  <c r="M7" i="22"/>
  <c r="G6" i="22"/>
  <c r="G11" i="22"/>
  <c r="M8" i="22"/>
  <c r="G7" i="22"/>
  <c r="M10" i="22"/>
  <c r="G9" i="22"/>
  <c r="M6" i="22"/>
  <c r="B7" i="15"/>
  <c r="O5" i="16"/>
  <c r="B11" i="15"/>
  <c r="B11" i="16"/>
  <c r="J19" i="19"/>
  <c r="K39" i="14"/>
  <c r="N19" i="19"/>
  <c r="O39" i="14"/>
  <c r="D31" i="20"/>
  <c r="E48" i="14"/>
  <c r="K19" i="19"/>
  <c r="L39" i="14"/>
  <c r="I19" i="19"/>
  <c r="J39" i="14"/>
  <c r="E31" i="20"/>
  <c r="F48" i="14"/>
  <c r="L12" i="13"/>
  <c r="M41" i="14"/>
  <c r="E8" i="16"/>
  <c r="K20" i="15"/>
  <c r="L40" i="14"/>
  <c r="F19" i="19"/>
  <c r="G39" i="14"/>
  <c r="L19" i="19"/>
  <c r="M39" i="14"/>
  <c r="M12" i="13"/>
  <c r="N41" i="14"/>
  <c r="C78" i="22"/>
  <c r="M51" i="22"/>
  <c r="M27" i="20"/>
  <c r="H27" i="20"/>
  <c r="J7" i="15"/>
  <c r="J11" i="15"/>
  <c r="N7" i="15"/>
  <c r="N11" i="15"/>
  <c r="E7" i="15"/>
  <c r="F11" i="15"/>
  <c r="L58" i="22"/>
  <c r="M49" i="14"/>
  <c r="M52" i="14"/>
  <c r="E58" i="22"/>
  <c r="F49" i="14"/>
  <c r="J58" i="22"/>
  <c r="K49" i="14"/>
  <c r="K52" i="14"/>
  <c r="O58" i="22"/>
  <c r="P49" i="14"/>
  <c r="P52" i="14"/>
  <c r="K58" i="22"/>
  <c r="L49" i="14"/>
  <c r="L52" i="14"/>
  <c r="P58" i="22"/>
  <c r="Q49" i="14"/>
  <c r="Q52" i="14"/>
  <c r="I58" i="22"/>
  <c r="J49" i="14"/>
  <c r="J52" i="14"/>
  <c r="N58" i="22"/>
  <c r="O49" i="14"/>
  <c r="O52" i="14"/>
  <c r="F58" i="22"/>
  <c r="G49" i="14"/>
  <c r="G52" i="14"/>
  <c r="G27" i="20"/>
  <c r="D58" i="22"/>
  <c r="E49" i="14"/>
  <c r="H58" i="22"/>
  <c r="I49" i="14"/>
  <c r="E12" i="15"/>
  <c r="O5" i="15"/>
  <c r="O16" i="15"/>
  <c r="M20" i="15"/>
  <c r="N40" i="14"/>
  <c r="G20" i="15"/>
  <c r="H40" i="14"/>
  <c r="H46" i="14"/>
  <c r="H20" i="15"/>
  <c r="I40" i="14"/>
  <c r="I46" i="14"/>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c r="D19" i="19"/>
  <c r="E39" i="14"/>
  <c r="E5" i="22"/>
  <c r="E14" i="22"/>
  <c r="D5" i="22"/>
  <c r="D14" i="22"/>
  <c r="B5" i="22"/>
  <c r="B14" i="22"/>
  <c r="F5" i="13"/>
  <c r="F8" i="13"/>
  <c r="D12" i="13"/>
  <c r="E41" i="14"/>
  <c r="O12" i="13"/>
  <c r="P41" i="14"/>
  <c r="E5" i="17"/>
  <c r="C8" i="17"/>
  <c r="G51" i="22"/>
  <c r="G50" i="22"/>
  <c r="G54" i="22"/>
  <c r="Q11" i="14"/>
  <c r="P12" i="13"/>
  <c r="Q41" i="14"/>
  <c r="E8" i="13"/>
  <c r="N46" i="14"/>
  <c r="R9" i="14"/>
  <c r="Q11" i="48"/>
  <c r="I5" i="48"/>
  <c r="J10" i="14"/>
  <c r="J16" i="14"/>
  <c r="J27" i="14"/>
  <c r="J63" i="14"/>
  <c r="L46" i="14"/>
  <c r="L61" i="14"/>
  <c r="J7" i="48"/>
  <c r="J25" i="48"/>
  <c r="K24" i="14"/>
  <c r="K26" i="14"/>
  <c r="P8" i="48"/>
  <c r="P26" i="48"/>
  <c r="Q13" i="14"/>
  <c r="L10" i="14"/>
  <c r="L16" i="14"/>
  <c r="L27" i="14"/>
  <c r="K5" i="48"/>
  <c r="P23" i="48"/>
  <c r="P10" i="14"/>
  <c r="O5" i="48"/>
  <c r="G11" i="14"/>
  <c r="F4" i="48"/>
  <c r="F22" i="48"/>
  <c r="H18" i="14"/>
  <c r="G13" i="48"/>
  <c r="G31" i="48"/>
  <c r="C20" i="14"/>
  <c r="C22" i="14"/>
  <c r="B9" i="48"/>
  <c r="E20" i="14"/>
  <c r="E22" i="14"/>
  <c r="D9" i="48"/>
  <c r="D27" i="48"/>
  <c r="E9" i="48"/>
  <c r="F20" i="14"/>
  <c r="F22" i="14"/>
  <c r="H13" i="48"/>
  <c r="I18" i="14"/>
  <c r="D10" i="14"/>
  <c r="M12" i="22"/>
  <c r="N18" i="14"/>
  <c r="M13" i="48"/>
  <c r="M31" i="48"/>
  <c r="G24" i="14"/>
  <c r="G26" i="14"/>
  <c r="F7" i="48"/>
  <c r="F25" i="48"/>
  <c r="D7" i="48"/>
  <c r="D25" i="48"/>
  <c r="E24" i="14"/>
  <c r="E26" i="14"/>
  <c r="C7" i="48"/>
  <c r="D24" i="14"/>
  <c r="M13" i="14"/>
  <c r="L8" i="48"/>
  <c r="L26" i="48"/>
  <c r="C8" i="48"/>
  <c r="D13" i="14"/>
  <c r="M10" i="14"/>
  <c r="L5" i="48"/>
  <c r="P22" i="16"/>
  <c r="Q43" i="14"/>
  <c r="J12" i="17"/>
  <c r="K54" i="14"/>
  <c r="K56" i="14"/>
  <c r="D18" i="16"/>
  <c r="G31" i="20"/>
  <c r="H48" i="14"/>
  <c r="G12" i="22"/>
  <c r="D16" i="15"/>
  <c r="E8" i="17"/>
  <c r="E12" i="17"/>
  <c r="F54" i="14"/>
  <c r="F56" i="14"/>
  <c r="O18" i="16"/>
  <c r="H12" i="22"/>
  <c r="N8" i="17"/>
  <c r="L8" i="17"/>
  <c r="M50" i="22"/>
  <c r="M54" i="22"/>
  <c r="F12" i="17"/>
  <c r="G54" i="14"/>
  <c r="G56" i="14"/>
  <c r="M31" i="20"/>
  <c r="N48" i="14"/>
  <c r="H31" i="20"/>
  <c r="I48" i="14"/>
  <c r="M5" i="22"/>
  <c r="G5" i="22"/>
  <c r="H5" i="22"/>
  <c r="E5" i="15"/>
  <c r="O20" i="15"/>
  <c r="P40" i="14"/>
  <c r="P20" i="15"/>
  <c r="Q40" i="14"/>
  <c r="J5" i="15"/>
  <c r="F5" i="15"/>
  <c r="F16" i="15"/>
  <c r="B5" i="15"/>
  <c r="B16" i="15"/>
  <c r="B5" i="16"/>
  <c r="B18" i="16"/>
  <c r="N5" i="15"/>
  <c r="N16" i="15"/>
  <c r="F12" i="13"/>
  <c r="G41" i="14"/>
  <c r="F13" i="16"/>
  <c r="E13" i="16"/>
  <c r="N13" i="16"/>
  <c r="J13" i="16"/>
  <c r="N12" i="16"/>
  <c r="J12" i="16"/>
  <c r="F12" i="16"/>
  <c r="E12" i="16"/>
  <c r="J5" i="13"/>
  <c r="J8" i="13"/>
  <c r="Q46" i="14"/>
  <c r="Q61" i="14"/>
  <c r="Q16" i="14"/>
  <c r="Q27" i="14"/>
  <c r="Q63" i="14"/>
  <c r="N5" i="13"/>
  <c r="N8" i="13"/>
  <c r="N12" i="13"/>
  <c r="O41" i="14"/>
  <c r="L63" i="14"/>
  <c r="I15" i="48"/>
  <c r="I23" i="48"/>
  <c r="I33" i="48"/>
  <c r="P15" i="48"/>
  <c r="O8" i="48"/>
  <c r="O26" i="48"/>
  <c r="P13" i="14"/>
  <c r="P16" i="14"/>
  <c r="P27" i="14"/>
  <c r="P33" i="48"/>
  <c r="F24" i="14"/>
  <c r="F26" i="14"/>
  <c r="E7" i="48"/>
  <c r="E25" i="48"/>
  <c r="K23" i="48"/>
  <c r="K33" i="48"/>
  <c r="K15" i="48"/>
  <c r="O23" i="48"/>
  <c r="O15" i="48"/>
  <c r="K11" i="14"/>
  <c r="J4" i="48"/>
  <c r="F11" i="14"/>
  <c r="E4" i="48"/>
  <c r="H14" i="22"/>
  <c r="H9" i="48"/>
  <c r="M14" i="22"/>
  <c r="M9" i="48"/>
  <c r="H19" i="14"/>
  <c r="G10" i="48"/>
  <c r="M10" i="48"/>
  <c r="M28" i="48"/>
  <c r="N19" i="14"/>
  <c r="E27" i="48"/>
  <c r="R18" i="14"/>
  <c r="H31" i="48"/>
  <c r="Q13" i="48"/>
  <c r="N12" i="17"/>
  <c r="O54" i="14"/>
  <c r="O56" i="14"/>
  <c r="N7" i="48"/>
  <c r="N25" i="48"/>
  <c r="O24" i="14"/>
  <c r="O26" i="14"/>
  <c r="L12" i="17"/>
  <c r="M54" i="14"/>
  <c r="M56" i="14"/>
  <c r="M24" i="14"/>
  <c r="M26" i="14"/>
  <c r="L7" i="48"/>
  <c r="L25" i="48"/>
  <c r="D26" i="14"/>
  <c r="D8" i="48"/>
  <c r="D26" i="48"/>
  <c r="E13" i="14"/>
  <c r="B8" i="48"/>
  <c r="C13" i="14"/>
  <c r="O10" i="14"/>
  <c r="N5" i="48"/>
  <c r="C10" i="14"/>
  <c r="B5" i="48"/>
  <c r="G10" i="14"/>
  <c r="F5" i="48"/>
  <c r="E10" i="14"/>
  <c r="D5" i="48"/>
  <c r="O22" i="16"/>
  <c r="P43" i="14"/>
  <c r="P46" i="14"/>
  <c r="P61" i="14"/>
  <c r="E12" i="13"/>
  <c r="F41" i="14"/>
  <c r="D22" i="16"/>
  <c r="E43" i="14"/>
  <c r="D20" i="15"/>
  <c r="E40" i="14"/>
  <c r="G14" i="22"/>
  <c r="J16" i="15"/>
  <c r="J20" i="15"/>
  <c r="K40" i="14"/>
  <c r="E16" i="15"/>
  <c r="M58" i="22"/>
  <c r="N49" i="14"/>
  <c r="D18" i="22"/>
  <c r="E50" i="14"/>
  <c r="E52" i="14"/>
  <c r="E18" i="22"/>
  <c r="F50" i="14"/>
  <c r="F52" i="14"/>
  <c r="G58" i="22"/>
  <c r="H49" i="14"/>
  <c r="N20" i="15"/>
  <c r="O40" i="14"/>
  <c r="F20" i="15"/>
  <c r="G40" i="14"/>
  <c r="N5" i="16"/>
  <c r="E5" i="16"/>
  <c r="J5" i="16"/>
  <c r="F5" i="16"/>
  <c r="J12" i="13"/>
  <c r="K41" i="14"/>
  <c r="L20" i="15"/>
  <c r="M40" i="14"/>
  <c r="N4" i="48"/>
  <c r="N22" i="48"/>
  <c r="O11" i="14"/>
  <c r="R11" i="14"/>
  <c r="P63" i="14"/>
  <c r="I20" i="14"/>
  <c r="I22" i="14"/>
  <c r="I27" i="14"/>
  <c r="O33" i="48"/>
  <c r="F10" i="14"/>
  <c r="E5" i="48"/>
  <c r="K10" i="14"/>
  <c r="J5" i="48"/>
  <c r="J23" i="48"/>
  <c r="M18" i="22"/>
  <c r="N50" i="14"/>
  <c r="N52" i="14"/>
  <c r="N61" i="14"/>
  <c r="E22" i="48"/>
  <c r="J22" i="48"/>
  <c r="N20" i="14"/>
  <c r="N22" i="14"/>
  <c r="N27" i="14"/>
  <c r="R19" i="14"/>
  <c r="G28" i="48"/>
  <c r="Q10" i="48"/>
  <c r="H20" i="14"/>
  <c r="H22" i="14"/>
  <c r="H27" i="14"/>
  <c r="G9" i="48"/>
  <c r="Q9" i="48"/>
  <c r="Q7" i="48"/>
  <c r="M15" i="48"/>
  <c r="M27" i="48"/>
  <c r="M33" i="48"/>
  <c r="H15" i="48"/>
  <c r="H27" i="48"/>
  <c r="H33" i="48"/>
  <c r="R24" i="14"/>
  <c r="R26" i="14"/>
  <c r="N18" i="16"/>
  <c r="E20" i="15"/>
  <c r="F40" i="14"/>
  <c r="F18" i="16"/>
  <c r="J18" i="16"/>
  <c r="E18" i="16"/>
  <c r="G18" i="22"/>
  <c r="H50" i="14"/>
  <c r="H52" i="14"/>
  <c r="H61" i="14"/>
  <c r="H18" i="22"/>
  <c r="I50" i="14"/>
  <c r="I52" i="14"/>
  <c r="I61" i="14"/>
  <c r="Q4" i="48"/>
  <c r="N63" i="14"/>
  <c r="I63" i="14"/>
  <c r="H63" i="14"/>
  <c r="E8" i="48"/>
  <c r="E26" i="48"/>
  <c r="F13" i="14"/>
  <c r="F16" i="14"/>
  <c r="F27" i="14"/>
  <c r="K13" i="14"/>
  <c r="K16" i="14"/>
  <c r="K27" i="14"/>
  <c r="J8" i="48"/>
  <c r="J26" i="48"/>
  <c r="J33" i="48"/>
  <c r="E23" i="48"/>
  <c r="R20" i="14"/>
  <c r="R22" i="14"/>
  <c r="G15" i="48"/>
  <c r="G27" i="48"/>
  <c r="G33" i="48"/>
  <c r="N8" i="48"/>
  <c r="N26" i="48"/>
  <c r="O13" i="14"/>
  <c r="F8" i="48"/>
  <c r="G13" i="14"/>
  <c r="E22" i="16"/>
  <c r="F43" i="14"/>
  <c r="F46" i="14"/>
  <c r="F61" i="14"/>
  <c r="F22" i="16"/>
  <c r="G43" i="14"/>
  <c r="N22" i="16"/>
  <c r="O43" i="14"/>
  <c r="J22" i="16"/>
  <c r="K43" i="14"/>
  <c r="K46" i="14"/>
  <c r="K61" i="14"/>
  <c r="E15" i="48"/>
  <c r="E33" i="48"/>
  <c r="F63" i="14"/>
  <c r="K63" i="14"/>
  <c r="J15" i="48"/>
  <c r="R13" i="14"/>
  <c r="F26" i="48"/>
  <c r="Q8" i="48"/>
  <c r="D16" i="14"/>
  <c r="D27" i="14"/>
  <c r="B20" i="6"/>
  <c r="M16" i="14"/>
  <c r="M27" i="14"/>
  <c r="L23" i="48"/>
  <c r="L33" i="48"/>
  <c r="L15" i="48"/>
  <c r="B15" i="48"/>
  <c r="C15" i="48"/>
  <c r="O16" i="14"/>
  <c r="O27" i="14"/>
  <c r="G16" i="14"/>
  <c r="G27" i="14"/>
  <c r="E16" i="14"/>
  <c r="E27" i="14"/>
  <c r="Q5" i="48"/>
  <c r="Q15" i="48"/>
  <c r="R10" i="14"/>
  <c r="R16" i="14"/>
  <c r="R27" i="14"/>
  <c r="C16" i="14"/>
  <c r="C27" i="14"/>
  <c r="B3" i="6"/>
  <c r="B22" i="6"/>
  <c r="C22" i="61"/>
  <c r="E46" i="14"/>
  <c r="E61" i="14"/>
  <c r="O46" i="14"/>
  <c r="O61" i="14"/>
  <c r="G46" i="14"/>
  <c r="G61" i="14"/>
  <c r="M46" i="14"/>
  <c r="M61" i="14"/>
  <c r="M63" i="14"/>
  <c r="G63" i="14"/>
  <c r="O63" i="14"/>
  <c r="C10" i="17"/>
  <c r="C12" i="17"/>
  <c r="D54" i="14"/>
  <c r="C20" i="16"/>
  <c r="C22" i="16"/>
  <c r="D43" i="14"/>
  <c r="C56" i="22"/>
  <c r="C58" i="22"/>
  <c r="D49" i="14"/>
  <c r="C17" i="49"/>
  <c r="C16" i="22"/>
  <c r="C17" i="19"/>
  <c r="C19" i="19"/>
  <c r="D39" i="14"/>
  <c r="C18" i="15"/>
  <c r="C20" i="15"/>
  <c r="D40" i="14"/>
  <c r="C10" i="13"/>
  <c r="C29" i="20"/>
  <c r="F15" i="48"/>
  <c r="F23" i="48"/>
  <c r="F33" i="48"/>
  <c r="E63" i="14"/>
  <c r="D23" i="48"/>
  <c r="D33" i="48"/>
  <c r="D15" i="48"/>
  <c r="N15" i="48"/>
  <c r="N23" i="48"/>
  <c r="N33" i="48"/>
  <c r="B12" i="6"/>
  <c r="C12" i="61"/>
  <c r="C17" i="48"/>
  <c r="C12" i="13"/>
  <c r="D41" i="14"/>
  <c r="C55" i="14"/>
  <c r="B20" i="16"/>
  <c r="B22" i="16"/>
  <c r="C43" i="14"/>
  <c r="B17" i="49"/>
  <c r="B19" i="49"/>
  <c r="C42" i="14"/>
  <c r="B29" i="20"/>
  <c r="B31" i="20"/>
  <c r="C48" i="14"/>
  <c r="B16" i="22"/>
  <c r="B18" i="22"/>
  <c r="C50" i="14"/>
  <c r="B17" i="19"/>
  <c r="B19" i="19"/>
  <c r="C39" i="14"/>
  <c r="B56" i="22"/>
  <c r="B58" i="22"/>
  <c r="C49" i="14"/>
  <c r="B10" i="9"/>
  <c r="B12" i="9"/>
  <c r="B10" i="17"/>
  <c r="B12" i="17"/>
  <c r="C54" i="14"/>
  <c r="B10" i="13"/>
  <c r="B18" i="15"/>
  <c r="B20" i="15"/>
  <c r="D52" i="14"/>
  <c r="D56" i="14"/>
  <c r="C40" i="14"/>
  <c r="B17" i="48"/>
  <c r="B12" i="13"/>
  <c r="C41" i="14"/>
  <c r="C31" i="48"/>
  <c r="C30" i="48"/>
  <c r="C24" i="48"/>
  <c r="C22" i="48"/>
  <c r="C32" i="48"/>
  <c r="C28" i="48"/>
  <c r="C26" i="48"/>
  <c r="C27" i="48"/>
  <c r="C25" i="48"/>
  <c r="C29" i="48"/>
  <c r="C23" i="48"/>
  <c r="C33" i="48"/>
  <c r="D46" i="14"/>
  <c r="D61" i="14"/>
  <c r="D63" i="14"/>
  <c r="R55" i="14"/>
  <c r="R49" i="14"/>
  <c r="R50" i="14"/>
  <c r="R43" i="14"/>
  <c r="R42" i="14"/>
  <c r="B32" i="48"/>
  <c r="Q32" i="48"/>
  <c r="B31" i="48"/>
  <c r="Q31" i="48"/>
  <c r="B24" i="48"/>
  <c r="Q24" i="48"/>
  <c r="B28" i="48"/>
  <c r="Q28" i="48"/>
  <c r="B27" i="48"/>
  <c r="Q27" i="48"/>
  <c r="B22" i="48"/>
  <c r="B30" i="48"/>
  <c r="Q30" i="48"/>
  <c r="B29" i="48"/>
  <c r="Q29" i="48"/>
  <c r="B25" i="48"/>
  <c r="Q25" i="48"/>
  <c r="B26" i="48"/>
  <c r="Q26" i="48"/>
  <c r="B23" i="48"/>
  <c r="Q23" i="48"/>
  <c r="C56" i="14"/>
  <c r="R54" i="14"/>
  <c r="R56" i="14"/>
  <c r="C52" i="14"/>
  <c r="R48" i="14"/>
  <c r="R52" i="14"/>
  <c r="R39" i="14"/>
  <c r="R40" i="14"/>
  <c r="R41" i="14"/>
  <c r="R46" i="14"/>
  <c r="R61" i="14"/>
  <c r="Q22" i="48"/>
  <c r="Q33" i="48"/>
  <c r="B33" i="48"/>
  <c r="C46" i="14"/>
  <c r="C61" i="14"/>
  <c r="C63"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<sst xmlns="http://schemas.openxmlformats.org/spreadsheetml/2006/main" count="2427" uniqueCount="883">
  <si>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</si>
  <si>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</si>
  <si>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</si>
  <si>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</si>
  <si>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</si>
  <si>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</si>
  <si>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</si>
  <si>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</si>
  <si>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</si>
  <si>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</si>
  <si>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</si>
  <si>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</si>
  <si>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</si>
  <si>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</si>
  <si>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</si>
  <si>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</si>
  <si>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</si>
  <si>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</si>
  <si>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</si>
  <si>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</si>
  <si>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</si>
  <si>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</si>
  <si>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</si>
  <si>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</si>
  <si>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</si>
  <si>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</si>
  <si>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</si>
  <si>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</si>
  <si>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</si>
  <si>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</si>
  <si>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</si>
  <si>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</si>
  <si>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</si>
  <si>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</si>
  <si>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</si>
  <si>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</si>
  <si>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</si>
  <si>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</si>
  <si>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</si>
  <si>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</si>
  <si>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</si>
  <si>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</si>
  <si>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</si>
  <si>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</si>
  <si>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</si>
  <si>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</si>
  <si>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</si>
  <si>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</si>
  <si>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</si>
  <si>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</si>
  <si>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</si>
  <si>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</si>
  <si>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</si>
  <si>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</si>
  <si>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</si>
  <si>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</si>
  <si>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</si>
  <si>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</si>
  <si>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</si>
  <si>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</si>
  <si>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</si>
  <si>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</si>
  <si>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</si>
  <si>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</si>
  <si>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</si>
  <si>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</si>
  <si>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</si>
  <si>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</si>
  <si>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</si>
  <si>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</si>
  <si>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</si>
  <si>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</si>
  <si>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</si>
  <si>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</si>
  <si>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</si>
  <si>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</si>
  <si>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</si>
  <si>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</si>
  <si>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</si>
  <si>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</si>
  <si>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</si>
  <si>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</si>
  <si>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</si>
  <si>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</si>
  <si>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</si>
  <si>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</si>
  <si>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</si>
  <si>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</si>
  <si>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</si>
  <si>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</si>
  <si>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</si>
  <si>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</si>
  <si>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</si>
  <si>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</si>
  <si>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</si>
  <si>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</si>
  <si>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</si>
  <si>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</si>
  <si>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</si>
  <si>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</si>
  <si>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</si>
  <si>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</si>
  <si>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</si>
  <si>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</si>
  <si>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</si>
  <si>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</si>
  <si>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</si>
  <si>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</si>
  <si>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</si>
  <si>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</si>
  <si>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</si>
  <si>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</si>
  <si>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</si>
  <si>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</si>
  <si>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</si>
  <si>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</si>
  <si>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</si>
  <si>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</si>
  <si>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</si>
  <si>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</si>
  <si>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</si>
  <si>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</si>
  <si>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</si>
  <si>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</si>
  <si>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</si>
  <si>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</si>
  <si>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</si>
  <si>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</si>
  <si>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</si>
  <si>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</si>
  <si>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</si>
  <si>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</si>
  <si>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</si>
  <si>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</si>
  <si>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</si>
  <si>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</si>
  <si>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</si>
  <si>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</si>
  <si>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</si>
  <si>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</si>
  <si>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</si>
  <si>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</si>
  <si>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</si>
  <si>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</si>
  <si>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</si>
  <si>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</si>
  <si>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</si>
  <si>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</si>
  <si>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</si>
  <si>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</si>
  <si>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</si>
  <si>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</si>
  <si>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</si>
  <si>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</si>
  <si>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</si>
  <si>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</si>
  <si>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</si>
  <si>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</si>
  <si>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</si>
  <si>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</si>
  <si>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</si>
  <si>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</si>
  <si>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</si>
  <si>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</si>
  <si>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</si>
  <si>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</si>
  <si>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</si>
  <si>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</si>
  <si>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</si>
  <si>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</si>
  <si>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</si>
  <si>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</si>
  <si>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</si>
  <si>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</si>
  <si>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</si>
  <si>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</si>
  <si>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</si>
  <si>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</si>
  <si>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</si>
  <si>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</si>
  <si>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</si>
  <si>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</si>
  <si>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</si>
  <si>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</si>
  <si>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</si>
  <si>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</si>
  <si>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</si>
  <si>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</si>
  <si>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</si>
  <si>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</si>
  <si>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</si>
  <si>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</si>
  <si>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</si>
  <si>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</si>
  <si>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</si>
  <si>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</si>
  <si>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</si>
  <si>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</si>
  <si>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</si>
  <si>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</si>
  <si>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</si>
  <si>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</si>
  <si>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</si>
  <si>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</si>
  <si>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</si>
  <si>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</si>
  <si>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</si>
  <si>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</si>
  <si>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</si>
  <si>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</si>
  <si>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</si>
  <si>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</si>
  <si>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</si>
  <si>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</si>
  <si>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</si>
  <si>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</si>
  <si>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</si>
  <si>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</si>
  <si>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</si>
  <si>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</si>
  <si>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</si>
  <si>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</si>
  <si>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</si>
  <si>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</si>
  <si>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</si>
  <si>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</si>
  <si>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</si>
  <si>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</si>
  <si>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</si>
  <si>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</si>
  <si>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</si>
  <si>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</si>
  <si>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</si>
  <si>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</si>
  <si>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</si>
  <si>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</si>
  <si>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</si>
  <si>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</si>
  <si>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</si>
  <si>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</si>
  <si>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</si>
  <si>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</si>
  <si>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</si>
  <si>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</si>
  <si>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</si>
  <si>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</si>
  <si>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</si>
  <si>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</si>
  <si>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</si>
  <si>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</si>
  <si>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</si>
  <si>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</si>
  <si>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</si>
  <si>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</si>
  <si>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</si>
  <si>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</si>
  <si>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</si>
  <si>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</si>
  <si>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</si>
  <si>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</si>
  <si>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</si>
  <si>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</si>
  <si>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</si>
  <si>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</si>
  <si>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</si>
  <si>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</si>
  <si>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</si>
  <si>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</si>
  <si>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</si>
  <si>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</si>
  <si>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</si>
  <si>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</si>
  <si>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</si>
  <si>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</si>
  <si>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</si>
  <si>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</si>
  <si>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</si>
  <si>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</si>
  <si>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</si>
  <si>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</si>
  <si>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</si>
  <si>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</si>
  <si>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</si>
  <si>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</si>
  <si>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</si>
  <si>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</si>
  <si>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</si>
  <si>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</si>
  <si>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</si>
  <si>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</si>
  <si>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</si>
  <si>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</si>
  <si>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</si>
  <si>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</si>
  <si>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</si>
  <si>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</si>
  <si>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</si>
  <si>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</si>
  <si>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</si>
  <si>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</si>
  <si>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</si>
  <si>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</si>
  <si>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</si>
  <si>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</si>
  <si>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</si>
  <si>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</si>
  <si>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</si>
  <si>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</si>
  <si>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</si>
  <si>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</si>
  <si>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</si>
  <si>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</si>
  <si>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</si>
  <si>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</si>
  <si>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</si>
  <si>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</si>
  <si>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</si>
  <si>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</si>
  <si>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</si>
  <si>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</si>
  <si>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</si>
  <si>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</si>
  <si>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</si>
  <si>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</si>
  <si>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</si>
  <si>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</si>
  <si>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</si>
  <si>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</si>
  <si>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</si>
  <si>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</si>
  <si>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</si>
  <si>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</si>
  <si>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</si>
  <si>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</si>
  <si>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</si>
  <si>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</si>
  <si>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</si>
  <si>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</si>
  <si>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</si>
  <si>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</si>
  <si>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</si>
  <si>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</si>
  <si>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</si>
  <si>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</si>
  <si>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</si>
  <si>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</si>
  <si>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</si>
  <si>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</si>
  <si>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</si>
  <si>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</si>
  <si>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</si>
  <si>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</si>
  <si>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</si>
  <si>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</si>
  <si>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</si>
  <si>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</si>
  <si>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</si>
  <si>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</si>
  <si>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</si>
  <si>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</si>
  <si>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</si>
  <si>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</si>
  <si>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</si>
  <si>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</si>
  <si>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</si>
  <si>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</si>
  <si>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</si>
  <si>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</si>
  <si>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</si>
  <si>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</si>
  <si>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</si>
  <si>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</si>
  <si>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</si>
  <si>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</si>
  <si>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</si>
  <si>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</si>
  <si>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</si>
  <si>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</si>
  <si>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</si>
  <si>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</si>
  <si>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</si>
  <si>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</si>
  <si>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</si>
  <si>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</si>
  <si>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</si>
  <si>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</si>
  <si>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</si>
  <si>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</si>
  <si>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</si>
  <si>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</si>
  <si>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</si>
  <si>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</si>
  <si>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</si>
  <si>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</si>
  <si>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</si>
  <si>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</si>
  <si>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</si>
  <si>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</si>
  <si>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</si>
  <si>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</si>
  <si>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</si>
  <si>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</si>
  <si>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</si>
  <si>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</si>
  <si>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</si>
  <si>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</si>
  <si>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</si>
  <si>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</si>
  <si>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</si>
  <si>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</si>
  <si>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</si>
  <si>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</si>
  <si>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</si>
  <si>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</si>
  <si>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</si>
  <si>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</si>
  <si>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</si>
  <si>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</si>
  <si>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</si>
  <si>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</si>
  <si>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</si>
  <si>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</si>
  <si>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</si>
  <si>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</si>
  <si>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</si>
  <si>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</si>
  <si>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</si>
  <si>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</si>
  <si>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</si>
  <si>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</si>
  <si>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</si>
  <si>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</si>
  <si>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</si>
  <si>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</si>
  <si>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</si>
  <si>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</si>
  <si>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</si>
  <si>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</si>
  <si>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</si>
  <si>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</si>
  <si>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</si>
  <si>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</si>
  <si>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</si>
  <si>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</si>
  <si>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</si>
  <si>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</si>
  <si>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</si>
  <si>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</si>
  <si>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</si>
  <si>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</si>
  <si>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</si>
  <si>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</si>
  <si>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</si>
  <si>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</si>
  <si>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</si>
  <si>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</si>
  <si>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</si>
  <si>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</si>
  <si>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</si>
  <si>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</si>
  <si>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</si>
  <si>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</si>
  <si>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</si>
  <si>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</si>
  <si>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</si>
  <si>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</si>
  <si>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</si>
  <si>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</si>
  <si>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</si>
  <si>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</si>
  <si>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</si>
  <si>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</si>
  <si>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</si>
  <si>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</si>
  <si>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</si>
  <si>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</si>
  <si>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</si>
  <si>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</si>
  <si>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</si>
  <si>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</si>
  <si>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</si>
  <si>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</si>
  <si>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</si>
  <si>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</si>
  <si>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</si>
  <si>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</si>
  <si>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</si>
  <si>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</si>
  <si>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</si>
  <si>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</si>
  <si>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</si>
  <si>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</si>
  <si>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</si>
  <si>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</si>
  <si>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</si>
  <si>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</si>
  <si>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</si>
  <si>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</si>
  <si>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</si>
  <si>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</si>
  <si>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</si>
  <si>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</si>
  <si>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</si>
  <si>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</si>
  <si>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</si>
  <si>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</si>
  <si>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</si>
  <si>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</si>
  <si>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</si>
  <si>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</si>
  <si>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</si>
  <si>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</si>
  <si>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</si>
  <si>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</si>
  <si>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</si>
  <si>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</si>
  <si>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</si>
  <si>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</si>
  <si>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</si>
  <si>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</si>
  <si>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</si>
  <si>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</si>
  <si>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</si>
  <si>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</si>
  <si>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</si>
  <si>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</si>
  <si>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</si>
  <si>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</si>
  <si>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</si>
  <si>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</si>
  <si>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</si>
  <si>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</si>
  <si>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</si>
  <si>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</si>
  <si>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</si>
  <si>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</si>
  <si>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</si>
  <si>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</si>
  <si>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</si>
  <si>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</si>
  <si>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</si>
  <si>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</si>
  <si>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</si>
  <si>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</si>
  <si>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</si>
  <si>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</si>
  <si>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</si>
  <si>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</si>
  <si>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</si>
  <si>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</si>
  <si>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</si>
  <si>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</si>
  <si>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</si>
  <si>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</si>
  <si>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</si>
  <si>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</si>
  <si>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</si>
  <si>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</si>
  <si>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</si>
  <si>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</si>
  <si>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</si>
  <si>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</si>
  <si>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</si>
  <si>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</si>
  <si>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</si>
  <si>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</si>
  <si>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</si>
  <si>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</si>
  <si>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input voor tool maatregelen</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</si>
  <si>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</si>
  <si>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</si>
  <si>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</si>
  <si>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</si>
  <si>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</si>
  <si>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</si>
  <si>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</si>
  <si>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</si>
  <si>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</si>
  <si>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</si>
  <si>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</si>
  <si>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</si>
  <si>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</si>
  <si>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</si>
  <si>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</si>
  <si>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</si>
  <si>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</si>
  <si>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</si>
  <si>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</si>
  <si>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</si>
  <si>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</si>
  <si>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</si>
  <si>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</si>
  <si>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</si>
  <si>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</si>
  <si>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</si>
  <si>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</si>
  <si>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</si>
  <si>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</si>
  <si>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</si>
  <si>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</si>
  <si>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</si>
  <si>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</si>
  <si>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</si>
  <si>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</si>
  <si>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</si>
  <si>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</si>
  <si>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</si>
  <si>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</si>
  <si>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</si>
  <si>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</si>
  <si>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</si>
  <si>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</si>
  <si>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</si>
  <si>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</si>
  <si>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</si>
  <si>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</si>
  <si>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</si>
  <si>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</si>
  <si>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</si>
  <si>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</si>
  <si>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</si>
  <si>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</si>
  <si>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</si>
  <si>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</si>
  <si>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</si>
  <si>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</si>
  <si>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</si>
  <si>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</si>
  <si>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</si>
  <si>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</si>
  <si>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</si>
  <si>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</si>
  <si>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</si>
  <si>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</si>
  <si>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</si>
  <si>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</si>
  <si>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</si>
  <si>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</si>
  <si>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</si>
  <si>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</si>
  <si>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</si>
  <si>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</si>
  <si>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</si>
  <si>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</si>
  <si>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</si>
  <si>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</si>
  <si>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</si>
  <si>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</si>
  <si>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</si>
  <si>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</si>
  <si>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</si>
  <si>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</si>
  <si>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</si>
  <si>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</si>
  <si>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</si>
  <si>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</si>
  <si>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</si>
  <si>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</si>
  <si>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</si>
  <si>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</si>
  <si>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</si>
  <si>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</si>
  <si>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</si>
  <si>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</si>
  <si>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</si>
  <si>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</si>
  <si>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</si>
  <si>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</si>
  <si>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</si>
  <si>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</si>
  <si>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</si>
  <si>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</si>
  <si>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</si>
  <si>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</si>
  <si>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</si>
  <si>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</si>
  <si>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</si>
  <si>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</si>
  <si>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</si>
  <si>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</si>
  <si>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</si>
  <si>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</si>
  <si>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</si>
  <si>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</si>
  <si>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</si>
  <si>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</si>
  <si>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</si>
  <si>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</si>
  <si>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</si>
  <si>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</si>
  <si>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</si>
  <si>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</si>
  <si>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</si>
  <si>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</si>
  <si>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</si>
  <si>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</si>
  <si>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</si>
  <si>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</si>
  <si>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</si>
  <si>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</si>
  <si>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</si>
  <si>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</si>
  <si>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</si>
  <si>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</si>
  <si>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</si>
  <si>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</si>
  <si>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</si>
  <si>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</si>
  <si>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</si>
  <si>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</si>
  <si>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</si>
  <si>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</si>
  <si>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</si>
  <si>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</si>
  <si>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</si>
  <si>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</si>
  <si>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</si>
  <si>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</si>
  <si>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</si>
  <si>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</si>
  <si>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</si>
  <si>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</si>
  <si>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</si>
  <si>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</si>
  <si>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</si>
  <si>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</si>
  <si>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</si>
  <si>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</si>
  <si>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</si>
  <si>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</si>
  <si>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</si>
  <si>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</si>
  <si>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</si>
  <si>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</si>
  <si>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</si>
  <si>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</si>
  <si>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</si>
  <si>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</si>
  <si>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</si>
  <si>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</si>
  <si>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</si>
  <si>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</si>
  <si>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</si>
  <si>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</si>
  <si>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</si>
  <si>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</si>
  <si>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</si>
  <si>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</si>
  <si>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</si>
  <si>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</si>
  <si>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</si>
  <si>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</si>
  <si>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</si>
  <si>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</si>
  <si>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</si>
  <si>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</si>
  <si>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</si>
  <si>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</si>
  <si>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</si>
  <si>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</si>
  <si>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</si>
  <si>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</si>
  <si>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</si>
  <si>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</si>
  <si>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</si>
  <si>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</si>
  <si>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</si>
  <si>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</si>
  <si>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</si>
  <si>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</si>
  <si>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</si>
  <si>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</si>
  <si>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</si>
  <si>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</si>
  <si>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</si>
  <si>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</si>
  <si>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</si>
  <si>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</si>
  <si>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</si>
  <si>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</si>
  <si>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</si>
  <si>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</si>
  <si>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</si>
  <si>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</si>
  <si>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</si>
  <si>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</si>
  <si>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</si>
  <si>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</si>
  <si>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</si>
  <si>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</si>
  <si>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</si>
  <si>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</si>
  <si>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</si>
  <si>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</si>
  <si>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</si>
  <si>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</si>
  <si>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</si>
  <si>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</si>
  <si>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</si>
  <si>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</si>
  <si>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</si>
  <si>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</si>
  <si>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</si>
  <si>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</si>
  <si>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</si>
  <si>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</si>
  <si>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</si>
  <si>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</si>
  <si>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</si>
  <si>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</si>
  <si>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</si>
  <si>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</si>
  <si>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</si>
  <si>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</si>
  <si>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</si>
  <si>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</si>
  <si>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</si>
  <si>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</si>
  <si>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</si>
  <si>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</si>
  <si>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</si>
  <si>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</si>
  <si>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</si>
  <si>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</si>
  <si>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</si>
  <si>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</si>
  <si>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</si>
  <si>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Diesel hybride</t>
  </si>
  <si>
    <t/>
  </si>
  <si>
    <t>Fuel Cell H2</t>
  </si>
  <si>
    <t>H2</t>
  </si>
  <si>
    <t>Diesel Hybrid PHEV</t>
  </si>
  <si>
    <t>Petrol Hybrid CS</t>
  </si>
  <si>
    <t>Petrol Hybrid PHEV</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</si>
  <si>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</si>
  <si>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</si>
  <si>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</si>
  <si>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</si>
  <si>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</si>
  <si>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</si>
  <si>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</si>
  <si>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</si>
  <si>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</si>
  <si>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</si>
  <si>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</si>
  <si>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</si>
  <si>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</si>
  <si>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</si>
  <si>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</si>
  <si>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</si>
  <si>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</si>
  <si>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</si>
  <si>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</si>
  <si>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</si>
  <si>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</si>
  <si>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</si>
  <si>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</si>
  <si>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VITO Energiebalans Vlaanderen (december 2021)</t>
  </si>
  <si>
    <t>versie: 2016_07</t>
  </si>
  <si>
    <t>2016_07</t>
  </si>
  <si>
    <t>update Energiebalans Vlaanderen voor huishoudens, tertiair, landbouw en industrie niet-ETS</t>
  </si>
  <si>
    <t xml:space="preserve">VITO Energiebalans Vlaanderen (december 2021) </t>
  </si>
  <si>
    <t>verdeling energiedragers huishoudens</t>
  </si>
  <si>
    <t>Energiebalans Vlaanderen</t>
  </si>
  <si>
    <t>december 2021</t>
  </si>
  <si>
    <t>https://view.officeapps.live.com/op/view.aspx?src=https%3A%2F%2Fwww.energiesparen.be%2Fsites%2Fdefault%2Ffiles%2Fatoms%2Ffiles%2Fdetail%2520energiebalansen%2520tem%25202020_0.xlsx&amp;wdOrigin=BROWSELINK</t>
  </si>
  <si>
    <t>herschaling Vlaamse productie op basis van het aandeel van het totaal gemeentespecifiek vermogen in totaal vermogen Vlaanderen</t>
  </si>
  <si>
    <t>VMM 2022, COPERT 5.5</t>
  </si>
  <si>
    <t>voorjaar 2022</t>
  </si>
  <si>
    <t>COPERT 5.5 doorrekening voor wegtransport voor 2011-2020</t>
  </si>
  <si>
    <t xml:space="preserve">tabblad transport: 'Verdeelsleutel voertuigkm over voertuigtechnologie' o.b.v. doorrekening COPERT 5.5 door VMM (2022) </t>
  </si>
  <si>
    <t>tabblad ECF transport: ECF o.b.v. doorrekening COPERT 5.5 door VMM (2022)</t>
  </si>
  <si>
    <t>Bron: VMM 2022, COPERT 5.5</t>
  </si>
  <si>
    <t>tabblad lokale energieproductie: toevoeging kolom voor vloeibaar gas t.b.v. berekeningen vanaf 2020</t>
  </si>
  <si>
    <t>lokale energieproductie'!X27</t>
  </si>
  <si>
    <t>44083</t>
  </si>
  <si>
    <t>DEINZE</t>
  </si>
  <si>
    <t>vloeibaar gas (MWh)</t>
  </si>
  <si>
    <t>interne verbrandingsmotor</t>
  </si>
  <si>
    <t>WKK interne verbrandinsgmotor (gas)</t>
  </si>
  <si>
    <t>IMEWO</t>
  </si>
  <si>
    <t>GASELWEST</t>
  </si>
  <si>
    <t>aftap-condensatiestoomturbine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</si>
</sst>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
    <numFmt numFmtId="181" formatCode="_-* #,##0_-;\-* #,##0_-;_-* &quot;-&quot;??_-;_-@_-"/>
  </numFmts>
  <fonts count="136">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amily val="2"/>
    </font>
    <font>
      <b/>
      <sz val="11"/>
      <color rgb="FFFFFFFF"/>
      <name val="Calibri"/>
      <family val="2"/>
    </font>
    <font>
      <sz val="11"/>
      <color rgb="FF000000"/>
      <name val="Calibri"/>
      <family val="2"/>
    </font>
    <font>
      <sz val="8"/>
      <name val="Calibri"/>
      <family val="2"/>
      <scheme val="minor"/>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5" fillId="0" borderId="0"/>
    <xf numFmtId="0" fontId="4"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200" applyNumberFormat="0" applyAlignment="0" applyProtection="0"/>
    <xf numFmtId="0" fontId="121" fillId="34" borderId="201" applyNumberFormat="0" applyAlignment="0" applyProtection="0"/>
    <xf numFmtId="0" fontId="122" fillId="34" borderId="200" applyNumberFormat="0" applyAlignment="0" applyProtection="0"/>
    <xf numFmtId="0" fontId="123"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4"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5"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5"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0" fontId="29" fillId="0" borderId="207" applyNumberFormat="0" applyFill="0" applyAlignment="0" applyProtection="0"/>
    <xf numFmtId="0" fontId="128"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6"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6"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6"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29"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6"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6"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6"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6"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6"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6"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6"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6"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6"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6"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6"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6"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5" fillId="0" borderId="0" applyFont="0" applyFill="0" applyBorder="0" applyAlignment="0" applyProtection="0"/>
    <xf numFmtId="173" fontId="26" fillId="8" borderId="207">
      <alignment horizontal="right" vertical="center"/>
    </xf>
    <xf numFmtId="49" fontId="126" fillId="0" borderId="207" applyNumberFormat="0" applyFill="0" applyBorder="0" applyProtection="0">
      <alignment horizontal="left" vertical="center"/>
    </xf>
    <xf numFmtId="49" fontId="126"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0" fillId="65" borderId="216"/>
    <xf numFmtId="173" fontId="2" fillId="9" borderId="207">
      <alignment horizontal="right" vertical="center"/>
    </xf>
    <xf numFmtId="172" fontId="37" fillId="1" borderId="206" applyNumberFormat="0" applyProtection="0">
      <alignment horizontal="left" vertical="top"/>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5"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0"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6"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6"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6"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6"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6"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6"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6"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6"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6"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6"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6"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6"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6"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6"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6"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6"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6"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6"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6"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6"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6"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6"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6"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6"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6"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6"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6"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4"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6"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4" fillId="64" borderId="216"/>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6"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3"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6"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6"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2"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6"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6"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1" fillId="0" borderId="0"/>
    <xf numFmtId="0" fontId="105" fillId="0" borderId="0"/>
    <xf numFmtId="0" fontId="129" fillId="63" borderId="216">
      <alignment horizontal="center"/>
    </xf>
    <xf numFmtId="0" fontId="130" fillId="64" borderId="216"/>
    <xf numFmtId="0" fontId="130" fillId="65" borderId="216"/>
    <xf numFmtId="0" fontId="7" fillId="0" borderId="0"/>
    <xf numFmtId="0" fontId="105" fillId="0" borderId="0"/>
    <xf numFmtId="0" fontId="7" fillId="0" borderId="0"/>
    <xf numFmtId="0" fontId="7" fillId="0" borderId="0"/>
    <xf numFmtId="0" fontId="131" fillId="0" borderId="0"/>
    <xf numFmtId="0" fontId="131" fillId="0" borderId="0"/>
    <xf numFmtId="0" fontId="131" fillId="0" borderId="0"/>
    <xf numFmtId="0" fontId="7" fillId="0" borderId="0"/>
    <xf numFmtId="173" fontId="26" fillId="8" borderId="219">
      <alignment horizontal="right" vertical="center"/>
    </xf>
    <xf numFmtId="0" fontId="131"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0" fontId="105" fillId="0" borderId="0"/>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6"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6"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6"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0"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0"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49" fontId="126"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29"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6"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6"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6"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6"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6"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6"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27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8"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0" fontId="78" fillId="12" borderId="86" xfId="0" applyNumberFormat="1" applyFont="1" applyFill="1" applyBorder="1" applyAlignment="1">
      <alignment horizontal="left" vertical="center" wrapText="1"/>
    </xf>
    <xf numFmtId="172" fontId="103"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2" fontId="0" fillId="0" borderId="0" xfId="0" applyNumberFormat="1" applyFill="1"/>
    <xf numFmtId="14" fontId="0" fillId="0" borderId="0" xfId="0" applyNumberFormat="1" applyFill="1"/>
    <xf numFmtId="172" fontId="74" fillId="0" borderId="0" xfId="148" quotePrefix="1" applyFill="1" applyAlignment="1" applyProtection="1"/>
    <xf numFmtId="179" fontId="25" fillId="0" borderId="0" xfId="0" applyNumberFormat="1" applyFont="1" applyBorder="1"/>
    <xf numFmtId="179" fontId="8" fillId="0" borderId="0" xfId="0" applyNumberFormat="1" applyFont="1"/>
    <xf numFmtId="179" fontId="0" fillId="0" borderId="0" xfId="0" applyNumberFormat="1"/>
    <xf numFmtId="179" fontId="26" fillId="0" borderId="0" xfId="0" applyNumberFormat="1" applyFont="1"/>
    <xf numFmtId="179"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1"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0"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09"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08" fillId="12" borderId="186" xfId="0" applyNumberFormat="1" applyFont="1" applyFill="1" applyBorder="1" applyAlignment="1">
      <alignment horizontal="center" vertical="center" wrapText="1"/>
    </xf>
    <xf numFmtId="3" fontId="108"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0"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0" fontId="0" fillId="0" borderId="0" xfId="52" applyNumberFormat="1" applyFont="1"/>
    <xf numFmtId="180"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172" fontId="0" fillId="0" borderId="0" xfId="0" applyAlignment="1">
      <alignment horizontal="lef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08" fillId="12" borderId="184" xfId="0" applyNumberFormat="1" applyFont="1" applyFill="1" applyBorder="1" applyAlignment="1">
      <alignment horizontal="center" vertical="center" wrapText="1"/>
    </xf>
    <xf numFmtId="3" fontId="108" fillId="12" borderId="185" xfId="0" applyNumberFormat="1" applyFont="1" applyFill="1" applyBorder="1" applyAlignment="1">
      <alignment horizontal="center" vertical="top" wrapText="1"/>
    </xf>
    <xf numFmtId="3" fontId="108" fillId="12" borderId="186"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1"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1" fontId="0" fillId="0" borderId="0" xfId="287" applyNumberFormat="1" applyFont="1"/>
    <xf numFmtId="181" fontId="26" fillId="0" borderId="0" xfId="287" applyNumberFormat="1" applyFont="1"/>
    <xf numFmtId="181"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1"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0C494A9F-9626-4F61-834B-5554930C098D}"/>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364017.40749673906</c:v>
                </c:pt>
                <c:pt idx="1">
                  <c:v>240234.59734910517</c:v>
                </c:pt>
                <c:pt idx="2">
                  <c:v>3457.279</c:v>
                </c:pt>
                <c:pt idx="3">
                  <c:v>171510.38556528368</c:v>
                </c:pt>
                <c:pt idx="4">
                  <c:v>203326.19985151023</c:v>
                </c:pt>
                <c:pt idx="5">
                  <c:v>438600.17049954319</c:v>
                </c:pt>
                <c:pt idx="6">
                  <c:v>2471.5829644809696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364017.40749673906</c:v>
                </c:pt>
                <c:pt idx="1">
                  <c:v>240234.59734910517</c:v>
                </c:pt>
                <c:pt idx="2">
                  <c:v>3457.279</c:v>
                </c:pt>
                <c:pt idx="3">
                  <c:v>171510.38556528368</c:v>
                </c:pt>
                <c:pt idx="4">
                  <c:v>203326.19985151023</c:v>
                </c:pt>
                <c:pt idx="5">
                  <c:v>438600.17049954319</c:v>
                </c:pt>
                <c:pt idx="6">
                  <c:v>2471.5829644809696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74252.126444232403</c:v>
                </c:pt>
                <c:pt idx="2">
                  <c:v>47878.963020424875</c:v>
                </c:pt>
                <c:pt idx="3">
                  <c:v>656.37778709246322</c:v>
                </c:pt>
                <c:pt idx="4">
                  <c:v>32981.00479019498</c:v>
                </c:pt>
                <c:pt idx="5">
                  <c:v>40738.154162703242</c:v>
                </c:pt>
                <c:pt idx="6">
                  <c:v>109862.07190222036</c:v>
                </c:pt>
                <c:pt idx="7">
                  <c:v>622.43753749583902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74252.126444232403</c:v>
                </c:pt>
                <c:pt idx="2">
                  <c:v>47878.963020424875</c:v>
                </c:pt>
                <c:pt idx="3">
                  <c:v>656.37778709246322</c:v>
                </c:pt>
                <c:pt idx="4">
                  <c:v>32981.00479019498</c:v>
                </c:pt>
                <c:pt idx="5">
                  <c:v>40738.154162703242</c:v>
                </c:pt>
                <c:pt idx="6">
                  <c:v>109862.07190222036</c:v>
                </c:pt>
                <c:pt idx="7">
                  <c:v>622.43753749583902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32">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33">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4">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35">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0.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11" Type="http://schemas.openxmlformats.org/officeDocument/2006/relationships/printerSettings" Target="../printerSettings/printerSettings22.bin"/><Relationship Id="rId5" Type="http://schemas.openxmlformats.org/officeDocument/2006/relationships/hyperlink" Target="mailto:kaat.jespers@vito.be" TargetMode="External"/><Relationship Id="rId10" Type="http://schemas.openxmlformats.org/officeDocument/2006/relationships/hyperlink" Target="https://view.officeapps.live.com/op/view.aspx?src=https%3A%2F%2Fwww.energiesparen.be%2Fsites%2Fdefault%2Ffiles%2Fatoms%2Ffiles%2Fdetail%2520energiebalansen%2520tem%25202020_0.xlsx&amp;wdOrigin=BROWSELINK"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4" sqref="B4"/>
    </sheetView>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610</v>
      </c>
      <c r="B2" s="384"/>
      <c r="C2" s="385"/>
    </row>
    <row r="3" spans="1:7" s="11" customFormat="1" ht="15" customHeight="1">
      <c r="A3" s="93"/>
      <c r="B3" s="74"/>
      <c r="C3" s="94"/>
    </row>
    <row r="4" spans="1:7" s="11" customFormat="1" ht="15.75" customHeight="1" thickBot="1">
      <c r="A4" s="105" t="s">
        <v>858</v>
      </c>
      <c r="B4" s="106"/>
      <c r="C4" s="107"/>
    </row>
    <row r="5" spans="1:7" s="378" customFormat="1" ht="15.75" customHeight="1">
      <c r="A5" s="375" t="s">
        <v>0</v>
      </c>
      <c r="B5" s="376"/>
      <c r="C5" s="377"/>
    </row>
    <row r="6" spans="1:7" s="378" customFormat="1" ht="15" customHeight="1">
      <c r="A6" s="379" t="str">
        <f>txtNIS</f>
        <v>44083</v>
      </c>
      <c r="B6" s="380"/>
      <c r="C6" s="381"/>
    </row>
    <row r="7" spans="1:7" s="378" customFormat="1" ht="15.75" customHeight="1">
      <c r="A7" s="382" t="str">
        <f>txtMunicipality</f>
        <v>DEINZE</v>
      </c>
      <c r="B7" s="380"/>
      <c r="C7" s="381"/>
    </row>
    <row r="8" spans="1:7" ht="15.75" thickBot="1">
      <c r="A8" s="45"/>
      <c r="B8" s="108"/>
      <c r="C8" s="109"/>
    </row>
    <row r="9" spans="1:7" s="371" customFormat="1" ht="15.75" thickBot="1">
      <c r="A9" s="395" t="s">
        <v>343</v>
      </c>
      <c r="B9" s="398"/>
      <c r="C9" s="399"/>
    </row>
    <row r="10" spans="1:7" s="15" customFormat="1" ht="57.75" customHeight="1" thickBot="1">
      <c r="A10" s="1017" t="s">
        <v>856</v>
      </c>
      <c r="B10" s="1018"/>
      <c r="C10" s="1019"/>
    </row>
    <row r="11" spans="1:7" s="372" customFormat="1" ht="15.75" thickBot="1">
      <c r="A11" s="395" t="s">
        <v>345</v>
      </c>
      <c r="B11" s="398"/>
      <c r="C11" s="399"/>
      <c r="G11" s="373"/>
    </row>
    <row r="12" spans="1:7">
      <c r="A12" s="44"/>
      <c r="B12" s="43"/>
      <c r="C12" s="96"/>
    </row>
    <row r="13" spans="1:7" s="372" customFormat="1">
      <c r="A13" s="706" t="s">
        <v>577</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346</v>
      </c>
      <c r="B16" s="1020" t="s">
        <v>504</v>
      </c>
      <c r="C16" s="1021"/>
    </row>
    <row r="17" spans="1:3" s="15" customFormat="1" ht="15.75">
      <c r="A17" s="98"/>
      <c r="B17" s="70"/>
      <c r="C17" s="99"/>
    </row>
    <row r="18" spans="1:3">
      <c r="A18" s="95" t="s">
        <v>349</v>
      </c>
      <c r="B18" s="69" t="s">
        <v>361</v>
      </c>
      <c r="C18" s="100" t="s">
        <v>360</v>
      </c>
    </row>
    <row r="19" spans="1:3" s="328" customFormat="1">
      <c r="A19" s="362" t="s">
        <v>347</v>
      </c>
      <c r="B19" s="363" t="s">
        <v>679</v>
      </c>
      <c r="C19" s="364" t="s">
        <v>502</v>
      </c>
    </row>
    <row r="20" spans="1:3" s="328" customFormat="1">
      <c r="A20" s="365"/>
      <c r="B20" s="325"/>
      <c r="C20" s="366"/>
    </row>
    <row r="21" spans="1:3" s="328" customFormat="1">
      <c r="A21" s="367" t="s">
        <v>348</v>
      </c>
      <c r="B21" s="363" t="s">
        <v>499</v>
      </c>
      <c r="C21" s="364" t="s">
        <v>503</v>
      </c>
    </row>
    <row r="22" spans="1:3" s="328" customFormat="1">
      <c r="A22" s="368"/>
      <c r="B22" s="325"/>
      <c r="C22" s="366"/>
    </row>
    <row r="23" spans="1:3" s="328" customFormat="1" ht="30">
      <c r="A23" s="362" t="s">
        <v>421</v>
      </c>
      <c r="B23" s="432" t="s">
        <v>425</v>
      </c>
      <c r="C23" s="364" t="s">
        <v>500</v>
      </c>
    </row>
    <row r="24" spans="1:3" s="328" customFormat="1">
      <c r="A24" s="368"/>
      <c r="B24" s="325"/>
      <c r="C24" s="366"/>
    </row>
    <row r="25" spans="1:3" s="328" customFormat="1">
      <c r="A25" s="362" t="s">
        <v>423</v>
      </c>
      <c r="B25" s="363" t="s">
        <v>422</v>
      </c>
      <c r="C25" s="364" t="s">
        <v>501</v>
      </c>
    </row>
    <row r="26" spans="1:3" s="328" customFormat="1">
      <c r="A26" s="368"/>
      <c r="B26" s="325"/>
      <c r="C26" s="366"/>
    </row>
    <row r="27" spans="1:3" s="328" customFormat="1">
      <c r="A27" s="362" t="s">
        <v>396</v>
      </c>
      <c r="B27" s="363" t="s">
        <v>420</v>
      </c>
      <c r="C27" s="364"/>
    </row>
    <row r="28" spans="1:3" s="328" customFormat="1">
      <c r="A28" s="368"/>
      <c r="B28" s="325" t="s">
        <v>557</v>
      </c>
      <c r="C28" s="366"/>
    </row>
    <row r="29" spans="1:3" ht="15.75" thickBot="1">
      <c r="A29" s="44"/>
      <c r="B29" s="43"/>
      <c r="C29" s="96"/>
    </row>
    <row r="30" spans="1:3" s="371" customFormat="1" ht="15.75" thickBot="1">
      <c r="A30" s="395" t="s">
        <v>358</v>
      </c>
      <c r="B30" s="396"/>
      <c r="C30" s="397"/>
    </row>
    <row r="31" spans="1:3" s="15" customFormat="1" ht="15.75">
      <c r="A31" s="98"/>
      <c r="B31" s="71"/>
      <c r="C31" s="102"/>
    </row>
    <row r="32" spans="1:3" s="15" customFormat="1">
      <c r="A32" s="103" t="s">
        <v>359</v>
      </c>
      <c r="B32" s="73" t="s">
        <v>361</v>
      </c>
      <c r="C32" s="104"/>
    </row>
    <row r="33" spans="1:3" s="389" customFormat="1">
      <c r="A33" s="386" t="s">
        <v>350</v>
      </c>
      <c r="B33" s="387" t="s">
        <v>362</v>
      </c>
      <c r="C33" s="388"/>
    </row>
    <row r="34" spans="1:3" s="389" customFormat="1">
      <c r="A34" s="390" t="s">
        <v>351</v>
      </c>
      <c r="B34" s="391" t="s">
        <v>352</v>
      </c>
      <c r="C34" s="392"/>
    </row>
    <row r="35" spans="1:3" s="389" customFormat="1">
      <c r="A35" s="393" t="s">
        <v>353</v>
      </c>
      <c r="B35" s="391" t="s">
        <v>354</v>
      </c>
      <c r="C35" s="392"/>
    </row>
    <row r="36" spans="1:3" s="389" customFormat="1">
      <c r="A36" s="394" t="s">
        <v>355</v>
      </c>
      <c r="B36" s="391" t="s">
        <v>356</v>
      </c>
      <c r="C36" s="392"/>
    </row>
    <row r="37" spans="1:3" s="389" customFormat="1" ht="30">
      <c r="A37" s="420" t="s">
        <v>357</v>
      </c>
      <c r="B37" s="391" t="s">
        <v>453</v>
      </c>
      <c r="C37" s="392"/>
    </row>
    <row r="38" spans="1:3" ht="15.75" thickBot="1">
      <c r="A38" s="421"/>
      <c r="B38" s="422"/>
      <c r="C38" s="423"/>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370</v>
      </c>
      <c r="B2" s="725"/>
      <c r="C2" s="399"/>
    </row>
    <row r="3" spans="1:3" s="15" customFormat="1" ht="15.75">
      <c r="A3" s="98"/>
      <c r="B3" s="70"/>
      <c r="C3" s="99"/>
    </row>
    <row r="4" spans="1:3" s="322" customFormat="1">
      <c r="A4" s="379" t="s">
        <v>349</v>
      </c>
      <c r="B4" s="401" t="s">
        <v>361</v>
      </c>
      <c r="C4" s="402" t="s">
        <v>360</v>
      </c>
    </row>
    <row r="5" spans="1:3" s="322" customFormat="1">
      <c r="A5" s="403"/>
      <c r="B5" s="328"/>
      <c r="C5" s="355"/>
    </row>
    <row r="6" spans="1:3" s="322" customFormat="1">
      <c r="A6" s="847" t="s">
        <v>615</v>
      </c>
      <c r="B6" s="404" t="s">
        <v>681</v>
      </c>
      <c r="C6" s="405" t="s">
        <v>344</v>
      </c>
    </row>
    <row r="7" spans="1:3" s="322" customFormat="1">
      <c r="A7" s="847" t="s">
        <v>680</v>
      </c>
      <c r="B7" s="406" t="s">
        <v>568</v>
      </c>
      <c r="C7" s="407" t="s">
        <v>567</v>
      </c>
    </row>
    <row r="8" spans="1:3" s="322" customFormat="1">
      <c r="A8" s="434"/>
      <c r="B8" s="406"/>
      <c r="C8" s="407"/>
    </row>
    <row r="9" spans="1:3" ht="21">
      <c r="A9" s="125" t="s">
        <v>454</v>
      </c>
      <c r="B9" s="124"/>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5" customWidth="1"/>
    <col min="2" max="2" width="22.85546875" style="43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5"/>
  </cols>
  <sheetData>
    <row r="2" spans="1:19" ht="15.75">
      <c r="A2" s="1055" t="s">
        <v>209</v>
      </c>
      <c r="B2" s="1055"/>
      <c r="C2" s="1055"/>
      <c r="D2" s="59"/>
      <c r="E2" s="59"/>
      <c r="F2" s="59"/>
      <c r="G2" s="59"/>
      <c r="H2" s="60"/>
      <c r="I2" s="60"/>
      <c r="J2" s="61"/>
      <c r="K2" s="61"/>
      <c r="L2" s="60"/>
      <c r="M2" s="60"/>
      <c r="N2" s="60"/>
      <c r="O2" s="60"/>
      <c r="P2" s="60"/>
      <c r="Q2" s="60"/>
      <c r="R2" s="60"/>
    </row>
    <row r="3" spans="1:19">
      <c r="A3" s="1056"/>
      <c r="B3" s="1056"/>
      <c r="C3" s="1056"/>
      <c r="D3" s="1056"/>
      <c r="E3" s="1056"/>
      <c r="F3" s="1056"/>
      <c r="G3" s="1056"/>
      <c r="H3" s="1056"/>
      <c r="I3" s="1056"/>
      <c r="J3" s="1056"/>
      <c r="K3" s="1056"/>
      <c r="L3" s="1056"/>
      <c r="M3" s="1056"/>
      <c r="N3" s="1056"/>
      <c r="O3" s="1056"/>
      <c r="P3" s="1056"/>
      <c r="Q3" s="1056"/>
      <c r="R3" s="1056"/>
    </row>
    <row r="4" spans="1:19" ht="15.75" thickBot="1">
      <c r="A4" s="436"/>
      <c r="B4" s="436"/>
      <c r="C4" s="63"/>
      <c r="D4" s="63"/>
      <c r="E4" s="63"/>
      <c r="F4" s="63"/>
      <c r="G4" s="63"/>
      <c r="H4" s="63"/>
      <c r="I4" s="63"/>
      <c r="J4" s="63"/>
      <c r="K4" s="63"/>
      <c r="L4" s="63"/>
      <c r="M4" s="63"/>
      <c r="N4" s="63"/>
      <c r="O4" s="63"/>
      <c r="P4" s="63"/>
      <c r="Q4" s="63"/>
      <c r="R4" s="63"/>
    </row>
    <row r="5" spans="1:19" ht="16.5" thickBot="1">
      <c r="A5" s="1057" t="s">
        <v>210</v>
      </c>
      <c r="B5" s="728"/>
      <c r="C5" s="1060" t="s">
        <v>329</v>
      </c>
      <c r="D5" s="1061"/>
      <c r="E5" s="1061"/>
      <c r="F5" s="1061"/>
      <c r="G5" s="1061"/>
      <c r="H5" s="1061"/>
      <c r="I5" s="1061"/>
      <c r="J5" s="1061"/>
      <c r="K5" s="1061"/>
      <c r="L5" s="1061"/>
      <c r="M5" s="1061"/>
      <c r="N5" s="1061"/>
      <c r="O5" s="1061"/>
      <c r="P5" s="1061"/>
      <c r="Q5" s="1061"/>
      <c r="R5" s="1062"/>
    </row>
    <row r="6" spans="1:19" ht="16.5" thickTop="1">
      <c r="A6" s="1058"/>
      <c r="B6" s="729"/>
      <c r="C6" s="1063" t="s">
        <v>20</v>
      </c>
      <c r="D6" s="1065" t="s">
        <v>189</v>
      </c>
      <c r="E6" s="1067" t="s">
        <v>190</v>
      </c>
      <c r="F6" s="1068"/>
      <c r="G6" s="1068"/>
      <c r="H6" s="1068"/>
      <c r="I6" s="1068"/>
      <c r="J6" s="1068"/>
      <c r="K6" s="1068"/>
      <c r="L6" s="1069"/>
      <c r="M6" s="1067" t="s">
        <v>191</v>
      </c>
      <c r="N6" s="1068"/>
      <c r="O6" s="1068"/>
      <c r="P6" s="1068"/>
      <c r="Q6" s="1068"/>
      <c r="R6" s="1070" t="s">
        <v>109</v>
      </c>
    </row>
    <row r="7" spans="1:19" ht="45.75" thickBot="1">
      <c r="A7" s="1059"/>
      <c r="B7" s="730"/>
      <c r="C7" s="1064"/>
      <c r="D7" s="1066"/>
      <c r="E7" s="911" t="s">
        <v>192</v>
      </c>
      <c r="F7" s="911" t="s">
        <v>193</v>
      </c>
      <c r="G7" s="64" t="s">
        <v>194</v>
      </c>
      <c r="H7" s="911" t="s">
        <v>195</v>
      </c>
      <c r="I7" s="911" t="s">
        <v>113</v>
      </c>
      <c r="J7" s="911" t="s">
        <v>196</v>
      </c>
      <c r="K7" s="433" t="s">
        <v>197</v>
      </c>
      <c r="L7" s="433" t="s">
        <v>198</v>
      </c>
      <c r="M7" s="64" t="s">
        <v>199</v>
      </c>
      <c r="N7" s="65" t="s">
        <v>200</v>
      </c>
      <c r="O7" s="65" t="s">
        <v>201</v>
      </c>
      <c r="P7" s="65" t="s">
        <v>202</v>
      </c>
      <c r="Q7" s="66" t="s">
        <v>203</v>
      </c>
      <c r="R7" s="1071"/>
    </row>
    <row r="8" spans="1:19" ht="18.75" customHeight="1" thickTop="1">
      <c r="A8" s="735" t="s">
        <v>330</v>
      </c>
      <c r="B8" s="740"/>
      <c r="C8" s="1052"/>
      <c r="D8" s="1052"/>
      <c r="E8" s="1052"/>
      <c r="F8" s="1052"/>
      <c r="G8" s="1052"/>
      <c r="H8" s="1052"/>
      <c r="I8" s="1052"/>
      <c r="J8" s="1052"/>
      <c r="K8" s="1052"/>
      <c r="L8" s="1052"/>
      <c r="M8" s="1052"/>
      <c r="N8" s="1052"/>
      <c r="O8" s="1052"/>
      <c r="P8" s="1052"/>
      <c r="Q8" s="1052"/>
      <c r="R8" s="298"/>
    </row>
    <row r="9" spans="1:19" s="437" customFormat="1">
      <c r="A9" s="736" t="s">
        <v>211</v>
      </c>
      <c r="B9" s="741"/>
      <c r="C9" s="931">
        <f>'Eigen gebouwen'!B15</f>
        <v>0</v>
      </c>
      <c r="D9" s="931">
        <f>'Eigen gebouwen'!C15</f>
        <v>0</v>
      </c>
      <c r="E9" s="931">
        <f>'Eigen gebouwen'!D15</f>
        <v>0</v>
      </c>
      <c r="F9" s="931">
        <f>'Eigen gebouwen'!E15</f>
        <v>0</v>
      </c>
      <c r="G9" s="931">
        <f>'Eigen gebouwen'!F15</f>
        <v>0</v>
      </c>
      <c r="H9" s="931">
        <f>'Eigen gebouwen'!G15</f>
        <v>0</v>
      </c>
      <c r="I9" s="931">
        <f>'Eigen gebouwen'!H15</f>
        <v>0</v>
      </c>
      <c r="J9" s="931">
        <f>'Eigen gebouwen'!I15</f>
        <v>0</v>
      </c>
      <c r="K9" s="931">
        <f>'Eigen gebouwen'!J15</f>
        <v>0</v>
      </c>
      <c r="L9" s="931">
        <f>'Eigen gebouwen'!K15</f>
        <v>0</v>
      </c>
      <c r="M9" s="931">
        <f>'Eigen gebouwen'!L15</f>
        <v>0</v>
      </c>
      <c r="N9" s="931">
        <f>'Eigen gebouwen'!M15</f>
        <v>0</v>
      </c>
      <c r="O9" s="931">
        <f>'Eigen gebouwen'!N15</f>
        <v>0</v>
      </c>
      <c r="P9" s="931">
        <f>'Eigen gebouwen'!O15</f>
        <v>0</v>
      </c>
      <c r="Q9" s="932">
        <f>'Eigen gebouwen'!P15</f>
        <v>0</v>
      </c>
      <c r="R9" s="627">
        <f>SUM(C9:Q9)</f>
        <v>0</v>
      </c>
      <c r="S9" s="67"/>
    </row>
    <row r="10" spans="1:19" s="437" customFormat="1">
      <c r="A10" s="737" t="s">
        <v>212</v>
      </c>
      <c r="B10" s="742"/>
      <c r="C10" s="931">
        <f ca="1">tertiair!B16+'openbare verlichting'!B8</f>
        <v>66789.616304847485</v>
      </c>
      <c r="D10" s="931">
        <f ca="1">tertiair!C16</f>
        <v>0</v>
      </c>
      <c r="E10" s="931">
        <f ca="1">tertiair!D16</f>
        <v>163900.72110630805</v>
      </c>
      <c r="F10" s="931">
        <f>tertiair!E16</f>
        <v>916.86108091783922</v>
      </c>
      <c r="G10" s="931">
        <f ca="1">tertiair!F16</f>
        <v>9509.2918734243212</v>
      </c>
      <c r="H10" s="931">
        <f>tertiair!G16</f>
        <v>0</v>
      </c>
      <c r="I10" s="931">
        <f>tertiair!H16</f>
        <v>0</v>
      </c>
      <c r="J10" s="931">
        <f>tertiair!I16</f>
        <v>0</v>
      </c>
      <c r="K10" s="931">
        <f>tertiair!J16</f>
        <v>5.6001173174900207E-2</v>
      </c>
      <c r="L10" s="931">
        <f>tertiair!K16</f>
        <v>0</v>
      </c>
      <c r="M10" s="931">
        <f ca="1">tertiair!L16</f>
        <v>0</v>
      </c>
      <c r="N10" s="931">
        <f>tertiair!M16</f>
        <v>0</v>
      </c>
      <c r="O10" s="931">
        <f ca="1">tertiair!N16</f>
        <v>2391.2233157676183</v>
      </c>
      <c r="P10" s="931">
        <f>tertiair!O16</f>
        <v>12.506666666666668</v>
      </c>
      <c r="Q10" s="932">
        <f>tertiair!P16</f>
        <v>171.6</v>
      </c>
      <c r="R10" s="628">
        <f ca="1">SUM(C10:Q10)</f>
        <v>243691.87634910515</v>
      </c>
      <c r="S10" s="67"/>
    </row>
    <row r="11" spans="1:19" s="437" customFormat="1">
      <c r="A11" s="736" t="s">
        <v>213</v>
      </c>
      <c r="B11" s="741"/>
      <c r="C11" s="931">
        <f>huishoudens!B8</f>
        <v>79696.648514803557</v>
      </c>
      <c r="D11" s="931">
        <f>huishoudens!C8</f>
        <v>0</v>
      </c>
      <c r="E11" s="931">
        <f>huishoudens!D8</f>
        <v>130108.6742561203</v>
      </c>
      <c r="F11" s="931">
        <f>huishoudens!E8</f>
        <v>5085.0651009019093</v>
      </c>
      <c r="G11" s="931">
        <f>huishoudens!F8</f>
        <v>117867.85277587596</v>
      </c>
      <c r="H11" s="931">
        <f>huishoudens!G8</f>
        <v>0</v>
      </c>
      <c r="I11" s="931">
        <f>huishoudens!H8</f>
        <v>0</v>
      </c>
      <c r="J11" s="931">
        <f>huishoudens!I8</f>
        <v>0</v>
      </c>
      <c r="K11" s="931">
        <f>huishoudens!J8</f>
        <v>605.73693827833586</v>
      </c>
      <c r="L11" s="931">
        <f>huishoudens!K8</f>
        <v>0</v>
      </c>
      <c r="M11" s="931">
        <f>huishoudens!L8</f>
        <v>0</v>
      </c>
      <c r="N11" s="931">
        <f>huishoudens!M8</f>
        <v>0</v>
      </c>
      <c r="O11" s="931">
        <f>huishoudens!N8</f>
        <v>27020.163244092379</v>
      </c>
      <c r="P11" s="931">
        <f>huishoudens!O8</f>
        <v>906.73333333333335</v>
      </c>
      <c r="Q11" s="932">
        <f>huishoudens!P8</f>
        <v>2726.5333333333333</v>
      </c>
      <c r="R11" s="628">
        <f>SUM(C11:Q11)</f>
        <v>364017.40749673906</v>
      </c>
      <c r="S11" s="67"/>
    </row>
    <row r="12" spans="1:19" s="437" customFormat="1">
      <c r="A12" s="736" t="s">
        <v>486</v>
      </c>
      <c r="B12" s="741"/>
      <c r="C12" s="931">
        <f>'Eigen openbare verlichting'!B15</f>
        <v>0</v>
      </c>
      <c r="D12" s="931"/>
      <c r="E12" s="931"/>
      <c r="F12" s="931"/>
      <c r="G12" s="931"/>
      <c r="H12" s="931"/>
      <c r="I12" s="931"/>
      <c r="J12" s="931"/>
      <c r="K12" s="931"/>
      <c r="L12" s="931"/>
      <c r="M12" s="931"/>
      <c r="N12" s="931"/>
      <c r="O12" s="931"/>
      <c r="P12" s="931"/>
      <c r="Q12" s="931"/>
      <c r="R12" s="628">
        <f>SUM(C12:Q12)</f>
        <v>0</v>
      </c>
      <c r="S12" s="67"/>
    </row>
    <row r="13" spans="1:19" s="437" customFormat="1">
      <c r="A13" s="736" t="s">
        <v>599</v>
      </c>
      <c r="B13" s="745" t="s">
        <v>597</v>
      </c>
      <c r="C13" s="931">
        <f>industrie!B18</f>
        <v>88951.247994410369</v>
      </c>
      <c r="D13" s="931">
        <f>industrie!C18</f>
        <v>0</v>
      </c>
      <c r="E13" s="931">
        <f>industrie!D18</f>
        <v>89164.23376478671</v>
      </c>
      <c r="F13" s="931">
        <f>industrie!E18</f>
        <v>1242.4363784083405</v>
      </c>
      <c r="G13" s="931">
        <f>industrie!F18</f>
        <v>20726.948631358253</v>
      </c>
      <c r="H13" s="931">
        <f>industrie!G18</f>
        <v>0</v>
      </c>
      <c r="I13" s="931">
        <f>industrie!H18</f>
        <v>0</v>
      </c>
      <c r="J13" s="931">
        <f>industrie!I18</f>
        <v>0</v>
      </c>
      <c r="K13" s="931">
        <f>industrie!J18</f>
        <v>65.28870812124228</v>
      </c>
      <c r="L13" s="931">
        <f>industrie!K18</f>
        <v>0</v>
      </c>
      <c r="M13" s="931">
        <f>industrie!L18</f>
        <v>0</v>
      </c>
      <c r="N13" s="931">
        <f>industrie!M18</f>
        <v>0</v>
      </c>
      <c r="O13" s="931">
        <f>industrie!N18</f>
        <v>3176.0443744253075</v>
      </c>
      <c r="P13" s="931">
        <f>industrie!O18</f>
        <v>0</v>
      </c>
      <c r="Q13" s="932">
        <f>industrie!P18</f>
        <v>0</v>
      </c>
      <c r="R13" s="628">
        <f>SUM(C13:Q13)</f>
        <v>203326.19985151023</v>
      </c>
      <c r="S13" s="67"/>
    </row>
    <row r="14" spans="1:19" s="437" customFormat="1">
      <c r="A14" s="736"/>
      <c r="B14" s="745" t="s">
        <v>598</v>
      </c>
      <c r="C14" s="931"/>
      <c r="D14" s="931"/>
      <c r="E14" s="931"/>
      <c r="F14" s="931"/>
      <c r="G14" s="931"/>
      <c r="H14" s="931"/>
      <c r="I14" s="931"/>
      <c r="J14" s="931"/>
      <c r="K14" s="931"/>
      <c r="L14" s="931"/>
      <c r="M14" s="931"/>
      <c r="N14" s="931"/>
      <c r="O14" s="931"/>
      <c r="P14" s="931"/>
      <c r="Q14" s="931"/>
      <c r="R14" s="628"/>
      <c r="S14" s="67"/>
    </row>
    <row r="15" spans="1:19" s="437" customFormat="1" ht="15" thickBot="1">
      <c r="A15" s="933" t="s">
        <v>773</v>
      </c>
      <c r="B15" s="934"/>
      <c r="C15" s="935"/>
      <c r="D15" s="935"/>
      <c r="E15" s="935"/>
      <c r="F15" s="935"/>
      <c r="G15" s="935"/>
      <c r="H15" s="935"/>
      <c r="I15" s="935"/>
      <c r="J15" s="935"/>
      <c r="K15" s="935"/>
      <c r="L15" s="935"/>
      <c r="M15" s="935"/>
      <c r="N15" s="935"/>
      <c r="O15" s="935"/>
      <c r="P15" s="935"/>
      <c r="Q15" s="936"/>
      <c r="R15" s="627"/>
      <c r="S15" s="67"/>
    </row>
    <row r="16" spans="1:19" s="437" customFormat="1" ht="15.75" thickBot="1">
      <c r="A16" s="629" t="s">
        <v>214</v>
      </c>
      <c r="B16" s="743"/>
      <c r="C16" s="660">
        <f ca="1">SUM(C9:C15)</f>
        <v>235437.5128140614</v>
      </c>
      <c r="D16" s="660">
        <f t="shared" ref="D16:R16" ca="1" si="0">SUM(D9:D15)</f>
        <v>0</v>
      </c>
      <c r="E16" s="660">
        <f t="shared" ca="1" si="0"/>
        <v>383173.62912721501</v>
      </c>
      <c r="F16" s="660">
        <f t="shared" si="0"/>
        <v>7244.362560228089</v>
      </c>
      <c r="G16" s="660">
        <f t="shared" ca="1" si="0"/>
        <v>148104.09328065853</v>
      </c>
      <c r="H16" s="660">
        <f t="shared" si="0"/>
        <v>0</v>
      </c>
      <c r="I16" s="660">
        <f t="shared" si="0"/>
        <v>0</v>
      </c>
      <c r="J16" s="660">
        <f t="shared" si="0"/>
        <v>0</v>
      </c>
      <c r="K16" s="660">
        <f t="shared" si="0"/>
        <v>671.08164757275301</v>
      </c>
      <c r="L16" s="660">
        <f t="shared" si="0"/>
        <v>0</v>
      </c>
      <c r="M16" s="660">
        <f t="shared" ca="1" si="0"/>
        <v>0</v>
      </c>
      <c r="N16" s="660">
        <f t="shared" si="0"/>
        <v>0</v>
      </c>
      <c r="O16" s="660">
        <f t="shared" ca="1" si="0"/>
        <v>32587.430934285301</v>
      </c>
      <c r="P16" s="660">
        <f t="shared" si="0"/>
        <v>919.24</v>
      </c>
      <c r="Q16" s="660">
        <f t="shared" si="0"/>
        <v>2898.1333333333332</v>
      </c>
      <c r="R16" s="660">
        <f t="shared" ca="1" si="0"/>
        <v>811035.48369735444</v>
      </c>
      <c r="S16" s="67"/>
    </row>
    <row r="17" spans="1:19" s="437" customFormat="1" ht="15.75">
      <c r="A17" s="738" t="s">
        <v>215</v>
      </c>
      <c r="B17" s="664"/>
      <c r="C17" s="1053"/>
      <c r="D17" s="1053"/>
      <c r="E17" s="1053"/>
      <c r="F17" s="1053"/>
      <c r="G17" s="1053"/>
      <c r="H17" s="1053"/>
      <c r="I17" s="1053"/>
      <c r="J17" s="1053"/>
      <c r="K17" s="1053"/>
      <c r="L17" s="1053"/>
      <c r="M17" s="1053"/>
      <c r="N17" s="1053"/>
      <c r="O17" s="1053"/>
      <c r="P17" s="1053"/>
      <c r="Q17" s="1053"/>
      <c r="R17" s="630"/>
      <c r="S17" s="67"/>
    </row>
    <row r="18" spans="1:19" s="437" customFormat="1">
      <c r="A18" s="736" t="s">
        <v>216</v>
      </c>
      <c r="B18" s="741"/>
      <c r="C18" s="931">
        <f>'Eigen vloot'!B27</f>
        <v>0</v>
      </c>
      <c r="D18" s="931">
        <f>'Eigen vloot'!C27</f>
        <v>0</v>
      </c>
      <c r="E18" s="931">
        <f>'Eigen vloot'!D27</f>
        <v>0</v>
      </c>
      <c r="F18" s="931">
        <f>'Eigen vloot'!E27</f>
        <v>0</v>
      </c>
      <c r="G18" s="931">
        <f>'Eigen vloot'!F27</f>
        <v>0</v>
      </c>
      <c r="H18" s="931">
        <f>'Eigen vloot'!G27</f>
        <v>0</v>
      </c>
      <c r="I18" s="931">
        <f>'Eigen vloot'!H27</f>
        <v>0</v>
      </c>
      <c r="J18" s="931">
        <f>'Eigen vloot'!I27</f>
        <v>0</v>
      </c>
      <c r="K18" s="931">
        <f>'Eigen vloot'!J27</f>
        <v>0</v>
      </c>
      <c r="L18" s="931">
        <f>'Eigen vloot'!K27</f>
        <v>0</v>
      </c>
      <c r="M18" s="931">
        <f>'Eigen vloot'!L27</f>
        <v>0</v>
      </c>
      <c r="N18" s="931">
        <f>'Eigen vloot'!M27</f>
        <v>0</v>
      </c>
      <c r="O18" s="931">
        <f>'Eigen vloot'!N27</f>
        <v>0</v>
      </c>
      <c r="P18" s="931">
        <f>'Eigen vloot'!O27</f>
        <v>0</v>
      </c>
      <c r="Q18" s="932">
        <f>'Eigen vloot'!P27</f>
        <v>0</v>
      </c>
      <c r="R18" s="628">
        <f>SUM(C18:Q18)</f>
        <v>0</v>
      </c>
      <c r="S18" s="67"/>
    </row>
    <row r="19" spans="1:19" s="437" customFormat="1">
      <c r="A19" s="736" t="s">
        <v>217</v>
      </c>
      <c r="B19" s="741"/>
      <c r="C19" s="931">
        <f>transport!B54</f>
        <v>24.629674365410857</v>
      </c>
      <c r="D19" s="931">
        <f>transport!C54</f>
        <v>0</v>
      </c>
      <c r="E19" s="931">
        <f>transport!D54</f>
        <v>0</v>
      </c>
      <c r="F19" s="931">
        <f>transport!E54</f>
        <v>0</v>
      </c>
      <c r="G19" s="931">
        <f>transport!F54</f>
        <v>0</v>
      </c>
      <c r="H19" s="931">
        <f>transport!G54</f>
        <v>2313.7134778170303</v>
      </c>
      <c r="I19" s="931">
        <f>transport!H54</f>
        <v>0</v>
      </c>
      <c r="J19" s="931">
        <f>transport!I54</f>
        <v>0</v>
      </c>
      <c r="K19" s="931">
        <f>transport!J54</f>
        <v>0</v>
      </c>
      <c r="L19" s="931">
        <f>transport!K54</f>
        <v>0</v>
      </c>
      <c r="M19" s="931">
        <f>transport!L54</f>
        <v>0</v>
      </c>
      <c r="N19" s="931">
        <f>transport!M54</f>
        <v>133.23981229852876</v>
      </c>
      <c r="O19" s="931">
        <f>transport!N54</f>
        <v>0</v>
      </c>
      <c r="P19" s="931">
        <f>transport!O54</f>
        <v>0</v>
      </c>
      <c r="Q19" s="932">
        <f>transport!P54</f>
        <v>0</v>
      </c>
      <c r="R19" s="628">
        <f>SUM(C19:Q19)</f>
        <v>2471.5829644809696</v>
      </c>
      <c r="S19" s="67"/>
    </row>
    <row r="20" spans="1:19" s="437" customFormat="1">
      <c r="A20" s="736" t="s">
        <v>295</v>
      </c>
      <c r="B20" s="741"/>
      <c r="C20" s="931">
        <f>transport!B14</f>
        <v>242.29833853190422</v>
      </c>
      <c r="D20" s="931">
        <f>transport!C14</f>
        <v>0</v>
      </c>
      <c r="E20" s="931">
        <f>transport!D14</f>
        <v>386.9873844509641</v>
      </c>
      <c r="F20" s="931">
        <f>transport!E14</f>
        <v>728.02322386715696</v>
      </c>
      <c r="G20" s="931">
        <f>transport!F14</f>
        <v>0</v>
      </c>
      <c r="H20" s="931">
        <f>transport!G14</f>
        <v>346958.68560052209</v>
      </c>
      <c r="I20" s="931">
        <f>transport!H14</f>
        <v>68010.718260606314</v>
      </c>
      <c r="J20" s="931">
        <f>transport!I14</f>
        <v>0</v>
      </c>
      <c r="K20" s="931">
        <f>transport!J14</f>
        <v>0</v>
      </c>
      <c r="L20" s="931">
        <f>transport!K14</f>
        <v>0</v>
      </c>
      <c r="M20" s="931">
        <f>transport!L14</f>
        <v>0</v>
      </c>
      <c r="N20" s="931">
        <f>transport!M14</f>
        <v>22273.457691564825</v>
      </c>
      <c r="O20" s="931">
        <f>transport!N14</f>
        <v>0</v>
      </c>
      <c r="P20" s="931">
        <f>transport!O14</f>
        <v>0</v>
      </c>
      <c r="Q20" s="932">
        <f>transport!P14</f>
        <v>0</v>
      </c>
      <c r="R20" s="628">
        <f>SUM(C20:Q20)</f>
        <v>438600.17049954319</v>
      </c>
      <c r="S20" s="67"/>
    </row>
    <row r="21" spans="1:19" s="437" customFormat="1" ht="15" thickBot="1">
      <c r="A21" s="758" t="s">
        <v>774</v>
      </c>
      <c r="B21" s="934"/>
      <c r="C21" s="935"/>
      <c r="D21" s="935"/>
      <c r="E21" s="935"/>
      <c r="F21" s="935"/>
      <c r="G21" s="935"/>
      <c r="H21" s="935"/>
      <c r="I21" s="935"/>
      <c r="J21" s="935"/>
      <c r="K21" s="935"/>
      <c r="L21" s="935"/>
      <c r="M21" s="935"/>
      <c r="N21" s="935"/>
      <c r="O21" s="935"/>
      <c r="P21" s="935"/>
      <c r="Q21" s="936"/>
      <c r="R21" s="627"/>
      <c r="S21" s="67"/>
    </row>
    <row r="22" spans="1:19" s="437" customFormat="1" ht="15.75" thickBot="1">
      <c r="A22" s="633" t="s">
        <v>218</v>
      </c>
      <c r="B22" s="744"/>
      <c r="C22" s="739">
        <f>SUM(C18:C21)</f>
        <v>266.92801289731506</v>
      </c>
      <c r="D22" s="739">
        <f t="shared" ref="D22:R22" si="1">SUM(D18:D21)</f>
        <v>0</v>
      </c>
      <c r="E22" s="739">
        <f t="shared" si="1"/>
        <v>386.9873844509641</v>
      </c>
      <c r="F22" s="739">
        <f t="shared" si="1"/>
        <v>728.02322386715696</v>
      </c>
      <c r="G22" s="739">
        <f t="shared" si="1"/>
        <v>0</v>
      </c>
      <c r="H22" s="739">
        <f t="shared" si="1"/>
        <v>349272.39907833911</v>
      </c>
      <c r="I22" s="739">
        <f t="shared" si="1"/>
        <v>68010.718260606314</v>
      </c>
      <c r="J22" s="739">
        <f t="shared" si="1"/>
        <v>0</v>
      </c>
      <c r="K22" s="739">
        <f t="shared" si="1"/>
        <v>0</v>
      </c>
      <c r="L22" s="739">
        <f t="shared" si="1"/>
        <v>0</v>
      </c>
      <c r="M22" s="739">
        <f t="shared" si="1"/>
        <v>0</v>
      </c>
      <c r="N22" s="739">
        <f t="shared" si="1"/>
        <v>22406.697503863354</v>
      </c>
      <c r="O22" s="739">
        <f t="shared" si="1"/>
        <v>0</v>
      </c>
      <c r="P22" s="739">
        <f t="shared" si="1"/>
        <v>0</v>
      </c>
      <c r="Q22" s="739">
        <f t="shared" si="1"/>
        <v>0</v>
      </c>
      <c r="R22" s="739">
        <f t="shared" si="1"/>
        <v>441071.75346402416</v>
      </c>
      <c r="S22" s="67"/>
    </row>
    <row r="23" spans="1:19" s="437" customFormat="1" ht="15.75">
      <c r="A23" s="738" t="s">
        <v>225</v>
      </c>
      <c r="B23" s="664"/>
      <c r="C23" s="1053"/>
      <c r="D23" s="1053"/>
      <c r="E23" s="1053"/>
      <c r="F23" s="1053"/>
      <c r="G23" s="1053"/>
      <c r="H23" s="1053"/>
      <c r="I23" s="1053"/>
      <c r="J23" s="1053"/>
      <c r="K23" s="1053"/>
      <c r="L23" s="1053"/>
      <c r="M23" s="1053"/>
      <c r="N23" s="1053"/>
      <c r="O23" s="1053"/>
      <c r="P23" s="1053"/>
      <c r="Q23" s="1053"/>
      <c r="R23" s="630"/>
      <c r="S23" s="67"/>
    </row>
    <row r="24" spans="1:19" s="437" customFormat="1">
      <c r="A24" s="736" t="s">
        <v>594</v>
      </c>
      <c r="B24" s="741"/>
      <c r="C24" s="931">
        <f>+landbouw!B8</f>
        <v>8700.6679359847058</v>
      </c>
      <c r="D24" s="931">
        <f>+landbouw!C8</f>
        <v>128140.71428571429</v>
      </c>
      <c r="E24" s="931">
        <f>+landbouw!D8</f>
        <v>0</v>
      </c>
      <c r="F24" s="931">
        <f>+landbouw!E8</f>
        <v>282.36527591894571</v>
      </c>
      <c r="G24" s="931">
        <f>+landbouw!F8</f>
        <v>32098.452353874502</v>
      </c>
      <c r="H24" s="931">
        <f>+landbouw!G8</f>
        <v>0</v>
      </c>
      <c r="I24" s="931">
        <f>+landbouw!H8</f>
        <v>0</v>
      </c>
      <c r="J24" s="931">
        <f>+landbouw!I8</f>
        <v>0</v>
      </c>
      <c r="K24" s="931">
        <f>+landbouw!J8</f>
        <v>2288.1857137912311</v>
      </c>
      <c r="L24" s="931">
        <f>+landbouw!K8</f>
        <v>0</v>
      </c>
      <c r="M24" s="931">
        <f>+landbouw!L8</f>
        <v>0</v>
      </c>
      <c r="N24" s="931">
        <f>+landbouw!M8</f>
        <v>0</v>
      </c>
      <c r="O24" s="931">
        <f>+landbouw!N8</f>
        <v>0</v>
      </c>
      <c r="P24" s="931">
        <f>+landbouw!O8</f>
        <v>0</v>
      </c>
      <c r="Q24" s="932">
        <f>+landbouw!P8</f>
        <v>0</v>
      </c>
      <c r="R24" s="628">
        <f>SUM(C24:Q24)</f>
        <v>171510.38556528368</v>
      </c>
      <c r="S24" s="67"/>
    </row>
    <row r="25" spans="1:19" s="437" customFormat="1" ht="15" thickBot="1">
      <c r="A25" s="758" t="s">
        <v>775</v>
      </c>
      <c r="B25" s="934"/>
      <c r="C25" s="935">
        <f>IF(Onbekend_ele_kWh="---",0,Onbekend_ele_kWh)/1000+IF(REST_rest_ele_kWh="---",0,REST_rest_ele_kWh)/1000</f>
        <v>3139.9423002968861</v>
      </c>
      <c r="D25" s="935"/>
      <c r="E25" s="935">
        <f>IF(onbekend_gas_kWh="---",0,onbekend_gas_kWh)/1000+IF(REST_rest_gas_kWh="---",0,REST_rest_gas_kWh)/1000</f>
        <v>8552.6694440609244</v>
      </c>
      <c r="F25" s="935"/>
      <c r="G25" s="935"/>
      <c r="H25" s="935"/>
      <c r="I25" s="935"/>
      <c r="J25" s="935"/>
      <c r="K25" s="935"/>
      <c r="L25" s="935"/>
      <c r="M25" s="935"/>
      <c r="N25" s="935"/>
      <c r="O25" s="935"/>
      <c r="P25" s="935"/>
      <c r="Q25" s="936"/>
      <c r="R25" s="628">
        <f>SUM(C25:Q25)</f>
        <v>11692.611744357811</v>
      </c>
      <c r="S25" s="67"/>
    </row>
    <row r="26" spans="1:19" s="437" customFormat="1" ht="15.75" thickBot="1">
      <c r="A26" s="633" t="s">
        <v>776</v>
      </c>
      <c r="B26" s="744"/>
      <c r="C26" s="739">
        <f>SUM(C24:C25)</f>
        <v>11840.610236281591</v>
      </c>
      <c r="D26" s="739">
        <f t="shared" ref="D26:R26" si="2">SUM(D24:D25)</f>
        <v>128140.71428571429</v>
      </c>
      <c r="E26" s="739">
        <f t="shared" si="2"/>
        <v>8552.6694440609244</v>
      </c>
      <c r="F26" s="739">
        <f t="shared" si="2"/>
        <v>282.36527591894571</v>
      </c>
      <c r="G26" s="739">
        <f t="shared" si="2"/>
        <v>32098.452353874502</v>
      </c>
      <c r="H26" s="739">
        <f t="shared" si="2"/>
        <v>0</v>
      </c>
      <c r="I26" s="739">
        <f t="shared" si="2"/>
        <v>0</v>
      </c>
      <c r="J26" s="739">
        <f t="shared" si="2"/>
        <v>0</v>
      </c>
      <c r="K26" s="739">
        <f t="shared" si="2"/>
        <v>2288.1857137912311</v>
      </c>
      <c r="L26" s="739">
        <f t="shared" si="2"/>
        <v>0</v>
      </c>
      <c r="M26" s="739">
        <f t="shared" si="2"/>
        <v>0</v>
      </c>
      <c r="N26" s="739">
        <f t="shared" si="2"/>
        <v>0</v>
      </c>
      <c r="O26" s="739">
        <f t="shared" si="2"/>
        <v>0</v>
      </c>
      <c r="P26" s="739">
        <f t="shared" si="2"/>
        <v>0</v>
      </c>
      <c r="Q26" s="739">
        <f t="shared" si="2"/>
        <v>0</v>
      </c>
      <c r="R26" s="739">
        <f t="shared" si="2"/>
        <v>183202.99730964151</v>
      </c>
      <c r="S26" s="67"/>
    </row>
    <row r="27" spans="1:19" s="437" customFormat="1" ht="17.25" thickTop="1" thickBot="1">
      <c r="A27" s="634" t="s">
        <v>109</v>
      </c>
      <c r="B27" s="732"/>
      <c r="C27" s="635">
        <f ca="1">C22+C16+C26</f>
        <v>247545.0510632403</v>
      </c>
      <c r="D27" s="635">
        <f t="shared" ref="D27:R27" ca="1" si="3">D22+D16+D26</f>
        <v>128140.71428571429</v>
      </c>
      <c r="E27" s="635">
        <f t="shared" ca="1" si="3"/>
        <v>392113.28595572693</v>
      </c>
      <c r="F27" s="635">
        <f t="shared" si="3"/>
        <v>8254.7510600141923</v>
      </c>
      <c r="G27" s="635">
        <f t="shared" ca="1" si="3"/>
        <v>180202.54563453305</v>
      </c>
      <c r="H27" s="635">
        <f t="shared" si="3"/>
        <v>349272.39907833911</v>
      </c>
      <c r="I27" s="635">
        <f t="shared" si="3"/>
        <v>68010.718260606314</v>
      </c>
      <c r="J27" s="635">
        <f t="shared" si="3"/>
        <v>0</v>
      </c>
      <c r="K27" s="635">
        <f t="shared" si="3"/>
        <v>2959.267361363984</v>
      </c>
      <c r="L27" s="635">
        <f t="shared" si="3"/>
        <v>0</v>
      </c>
      <c r="M27" s="635">
        <f t="shared" ca="1" si="3"/>
        <v>0</v>
      </c>
      <c r="N27" s="635">
        <f t="shared" si="3"/>
        <v>22406.697503863354</v>
      </c>
      <c r="O27" s="635">
        <f t="shared" ca="1" si="3"/>
        <v>32587.430934285301</v>
      </c>
      <c r="P27" s="635">
        <f t="shared" si="3"/>
        <v>919.24</v>
      </c>
      <c r="Q27" s="635">
        <f t="shared" si="3"/>
        <v>2898.1333333333332</v>
      </c>
      <c r="R27" s="635">
        <f t="shared" ca="1" si="3"/>
        <v>1435310.2344710201</v>
      </c>
      <c r="S27" s="67"/>
    </row>
    <row r="28" spans="1:19" ht="15.75" customHeight="1" thickBot="1">
      <c r="A28" s="636"/>
      <c r="B28" s="636"/>
      <c r="C28" s="637"/>
      <c r="D28" s="637"/>
      <c r="E28" s="637"/>
      <c r="F28" s="637"/>
      <c r="G28" s="637"/>
      <c r="H28" s="637"/>
      <c r="I28" s="637"/>
      <c r="J28" s="637"/>
      <c r="K28" s="637"/>
      <c r="L28" s="637"/>
      <c r="M28" s="637"/>
      <c r="N28" s="637"/>
      <c r="O28" s="637"/>
      <c r="P28" s="637"/>
      <c r="Q28" s="637"/>
      <c r="R28" s="637"/>
    </row>
    <row r="29" spans="1:19" ht="41.25" customHeight="1" thickTop="1" thickBot="1">
      <c r="A29" s="638" t="s">
        <v>331</v>
      </c>
      <c r="B29" s="638"/>
      <c r="C29" s="639">
        <f>'EF ele_warmte'!B5</f>
        <v>0</v>
      </c>
      <c r="D29" s="640"/>
      <c r="E29" s="641"/>
      <c r="F29" s="640"/>
      <c r="G29" s="640"/>
      <c r="H29" s="640"/>
      <c r="I29" s="640"/>
      <c r="J29" s="640"/>
      <c r="K29" s="640"/>
      <c r="L29" s="640"/>
      <c r="M29" s="640"/>
      <c r="N29" s="640"/>
      <c r="O29" s="640"/>
      <c r="P29" s="640"/>
      <c r="Q29" s="640"/>
      <c r="R29" s="640"/>
    </row>
    <row r="30" spans="1:19" ht="31.5" thickTop="1" thickBot="1">
      <c r="A30" s="642" t="s">
        <v>332</v>
      </c>
      <c r="B30" s="642"/>
      <c r="C30" s="643" t="s">
        <v>204</v>
      </c>
      <c r="D30" s="644"/>
      <c r="E30" s="644"/>
      <c r="F30" s="644"/>
      <c r="G30" s="644"/>
      <c r="H30" s="645"/>
      <c r="I30" s="646"/>
      <c r="J30" s="646"/>
      <c r="K30" s="646"/>
      <c r="L30" s="646"/>
      <c r="M30" s="646"/>
      <c r="N30" s="646"/>
      <c r="O30" s="646"/>
      <c r="P30" s="646"/>
      <c r="Q30" s="646"/>
      <c r="R30" s="646"/>
    </row>
    <row r="31" spans="1:19" ht="15" thickTop="1">
      <c r="A31" s="1054"/>
      <c r="B31" s="1054"/>
      <c r="C31" s="1054"/>
      <c r="D31" s="647"/>
      <c r="E31" s="646"/>
      <c r="F31" s="646"/>
      <c r="G31" s="646"/>
      <c r="H31" s="646"/>
      <c r="I31" s="646"/>
      <c r="J31" s="646"/>
      <c r="K31" s="646"/>
      <c r="L31" s="646"/>
      <c r="M31" s="646"/>
      <c r="N31" s="646"/>
      <c r="O31" s="646"/>
      <c r="P31" s="646"/>
      <c r="Q31" s="646"/>
      <c r="R31" s="646"/>
    </row>
    <row r="32" spans="1:19" ht="15.75">
      <c r="A32" s="648" t="s">
        <v>219</v>
      </c>
      <c r="B32" s="648"/>
      <c r="C32" s="647"/>
      <c r="D32" s="647"/>
      <c r="E32" s="646"/>
      <c r="F32" s="646"/>
      <c r="G32" s="646"/>
      <c r="H32" s="646"/>
      <c r="I32" s="646"/>
      <c r="J32" s="646"/>
      <c r="K32" s="646"/>
      <c r="L32" s="646"/>
      <c r="M32" s="646"/>
      <c r="N32" s="646"/>
      <c r="O32" s="646"/>
      <c r="P32" s="646"/>
      <c r="Q32" s="646"/>
      <c r="R32" s="646"/>
    </row>
    <row r="33" spans="1:18">
      <c r="A33" s="1032"/>
      <c r="B33" s="1032"/>
      <c r="C33" s="1032"/>
      <c r="D33" s="1032"/>
      <c r="E33" s="1032"/>
      <c r="F33" s="1032"/>
      <c r="G33" s="1032"/>
      <c r="H33" s="1032"/>
      <c r="I33" s="1032"/>
      <c r="J33" s="1032"/>
      <c r="K33" s="1032"/>
      <c r="L33" s="1032"/>
      <c r="M33" s="1032"/>
      <c r="N33" s="1032"/>
      <c r="O33" s="1032"/>
      <c r="P33" s="1032"/>
      <c r="Q33" s="1032"/>
      <c r="R33" s="1032"/>
    </row>
    <row r="34" spans="1:18" ht="15.75" thickBot="1">
      <c r="A34" s="649"/>
      <c r="B34" s="649"/>
      <c r="C34" s="650"/>
      <c r="D34" s="650"/>
      <c r="E34" s="650"/>
      <c r="F34" s="650"/>
      <c r="G34" s="650"/>
      <c r="H34" s="650"/>
      <c r="I34" s="650"/>
      <c r="J34" s="650"/>
      <c r="K34" s="650"/>
      <c r="L34" s="650"/>
      <c r="M34" s="650"/>
      <c r="N34" s="650"/>
      <c r="O34" s="650"/>
      <c r="P34" s="650"/>
      <c r="Q34" s="650"/>
      <c r="R34" s="650"/>
    </row>
    <row r="35" spans="1:18" ht="17.25" thickTop="1" thickBot="1">
      <c r="A35" s="1072"/>
      <c r="B35" s="746"/>
      <c r="C35" s="1074" t="s">
        <v>333</v>
      </c>
      <c r="D35" s="1075"/>
      <c r="E35" s="1075"/>
      <c r="F35" s="1075"/>
      <c r="G35" s="1075"/>
      <c r="H35" s="1075"/>
      <c r="I35" s="1075"/>
      <c r="J35" s="1075"/>
      <c r="K35" s="1075"/>
      <c r="L35" s="1075"/>
      <c r="M35" s="1075"/>
      <c r="N35" s="1075"/>
      <c r="O35" s="1075"/>
      <c r="P35" s="1075"/>
      <c r="Q35" s="1075"/>
      <c r="R35" s="1076"/>
    </row>
    <row r="36" spans="1:18" ht="16.5" thickTop="1">
      <c r="A36" s="1073"/>
      <c r="B36" s="747"/>
      <c r="C36" s="1077" t="s">
        <v>20</v>
      </c>
      <c r="D36" s="1079" t="s">
        <v>220</v>
      </c>
      <c r="E36" s="1081" t="s">
        <v>190</v>
      </c>
      <c r="F36" s="1082"/>
      <c r="G36" s="1082"/>
      <c r="H36" s="1082"/>
      <c r="I36" s="1082"/>
      <c r="J36" s="1082"/>
      <c r="K36" s="1082"/>
      <c r="L36" s="1083"/>
      <c r="M36" s="1081" t="s">
        <v>191</v>
      </c>
      <c r="N36" s="1082"/>
      <c r="O36" s="1082"/>
      <c r="P36" s="1082"/>
      <c r="Q36" s="1082"/>
      <c r="R36" s="1033" t="s">
        <v>109</v>
      </c>
    </row>
    <row r="37" spans="1:18" ht="45.75" thickBot="1">
      <c r="A37" s="1073"/>
      <c r="B37" s="747"/>
      <c r="C37" s="1078"/>
      <c r="D37" s="1080"/>
      <c r="E37" s="651" t="s">
        <v>192</v>
      </c>
      <c r="F37" s="651" t="s">
        <v>193</v>
      </c>
      <c r="G37" s="651" t="s">
        <v>194</v>
      </c>
      <c r="H37" s="651" t="s">
        <v>195</v>
      </c>
      <c r="I37" s="651" t="s">
        <v>113</v>
      </c>
      <c r="J37" s="651" t="s">
        <v>196</v>
      </c>
      <c r="K37" s="652" t="s">
        <v>221</v>
      </c>
      <c r="L37" s="652" t="s">
        <v>198</v>
      </c>
      <c r="M37" s="64" t="s">
        <v>199</v>
      </c>
      <c r="N37" s="65" t="s">
        <v>200</v>
      </c>
      <c r="O37" s="651" t="s">
        <v>222</v>
      </c>
      <c r="P37" s="651" t="s">
        <v>223</v>
      </c>
      <c r="Q37" s="652" t="s">
        <v>203</v>
      </c>
      <c r="R37" s="1035"/>
    </row>
    <row r="38" spans="1:18" ht="17.25" thickTop="1" thickBot="1">
      <c r="A38" s="759" t="s">
        <v>330</v>
      </c>
      <c r="B38" s="760"/>
      <c r="C38" s="653" t="s">
        <v>224</v>
      </c>
      <c r="D38" s="654"/>
      <c r="E38" s="655"/>
      <c r="F38" s="655"/>
      <c r="G38" s="655"/>
      <c r="H38" s="655"/>
      <c r="I38" s="655"/>
      <c r="J38" s="655"/>
      <c r="K38" s="655"/>
      <c r="L38" s="655"/>
      <c r="M38" s="937"/>
      <c r="N38" s="937"/>
      <c r="O38" s="655"/>
      <c r="P38" s="937"/>
      <c r="Q38" s="656"/>
      <c r="R38" s="657"/>
    </row>
    <row r="39" spans="1:18" ht="15" thickTop="1">
      <c r="A39" s="938" t="s">
        <v>211</v>
      </c>
      <c r="B39" s="756"/>
      <c r="C39" s="931">
        <f ca="1">'Eigen gebouwen'!B19</f>
        <v>0</v>
      </c>
      <c r="D39" s="931">
        <f ca="1">'Eigen gebouwen'!C19</f>
        <v>0</v>
      </c>
      <c r="E39" s="931">
        <f>'Eigen gebouwen'!D19</f>
        <v>0</v>
      </c>
      <c r="F39" s="931">
        <f>'Eigen gebouwen'!E19</f>
        <v>0</v>
      </c>
      <c r="G39" s="931">
        <f>'Eigen gebouwen'!F19</f>
        <v>0</v>
      </c>
      <c r="H39" s="931">
        <f>'Eigen gebouwen'!G19</f>
        <v>0</v>
      </c>
      <c r="I39" s="931">
        <f>'Eigen gebouwen'!H19</f>
        <v>0</v>
      </c>
      <c r="J39" s="931">
        <f>'Eigen gebouwen'!I19</f>
        <v>0</v>
      </c>
      <c r="K39" s="931">
        <f>'Eigen gebouwen'!J19</f>
        <v>0</v>
      </c>
      <c r="L39" s="931">
        <f>'Eigen gebouwen'!K19</f>
        <v>0</v>
      </c>
      <c r="M39" s="931">
        <f>'Eigen gebouwen'!L19</f>
        <v>0</v>
      </c>
      <c r="N39" s="931">
        <f>'Eigen gebouwen'!M19</f>
        <v>0</v>
      </c>
      <c r="O39" s="931">
        <f>'Eigen gebouwen'!N19</f>
        <v>0</v>
      </c>
      <c r="P39" s="931">
        <f>'Eigen gebouwen'!O19</f>
        <v>0</v>
      </c>
      <c r="Q39" s="702">
        <f>'Eigen gebouwen'!P19</f>
        <v>0</v>
      </c>
      <c r="R39" s="939">
        <f t="shared" ref="R39:R44" ca="1" si="4">SUM(C39:Q39)</f>
        <v>0</v>
      </c>
    </row>
    <row r="40" spans="1:18">
      <c r="A40" s="737" t="s">
        <v>212</v>
      </c>
      <c r="B40" s="757"/>
      <c r="C40" s="931">
        <f ca="1">tertiair!B20+'openbare verlichting'!B12</f>
        <v>12680.266924055159</v>
      </c>
      <c r="D40" s="931">
        <f ca="1">tertiair!C20</f>
        <v>0</v>
      </c>
      <c r="E40" s="931">
        <f ca="1">tertiair!D20</f>
        <v>33107.945663474231</v>
      </c>
      <c r="F40" s="931">
        <f>tertiair!E20</f>
        <v>208.1274653683495</v>
      </c>
      <c r="G40" s="931">
        <f ca="1">tertiair!F20</f>
        <v>2538.9809302042941</v>
      </c>
      <c r="H40" s="931">
        <f>tertiair!G20</f>
        <v>0</v>
      </c>
      <c r="I40" s="931">
        <f>tertiair!H20</f>
        <v>0</v>
      </c>
      <c r="J40" s="931">
        <f>tertiair!I20</f>
        <v>0</v>
      </c>
      <c r="K40" s="931">
        <f>tertiair!J20</f>
        <v>1.9824415303914673E-2</v>
      </c>
      <c r="L40" s="931">
        <f>tertiair!K20</f>
        <v>0</v>
      </c>
      <c r="M40" s="931">
        <f ca="1">tertiair!L20</f>
        <v>0</v>
      </c>
      <c r="N40" s="931">
        <f>tertiair!M20</f>
        <v>0</v>
      </c>
      <c r="O40" s="931">
        <f ca="1">tertiair!N20</f>
        <v>0</v>
      </c>
      <c r="P40" s="931">
        <f>tertiair!O20</f>
        <v>0</v>
      </c>
      <c r="Q40" s="702">
        <f>tertiair!P20</f>
        <v>0</v>
      </c>
      <c r="R40" s="777">
        <f t="shared" ca="1" si="4"/>
        <v>48535.340807517336</v>
      </c>
    </row>
    <row r="41" spans="1:18">
      <c r="A41" s="749" t="s">
        <v>213</v>
      </c>
      <c r="B41" s="756"/>
      <c r="C41" s="931">
        <f ca="1">huishoudens!B12</f>
        <v>15130.71689928195</v>
      </c>
      <c r="D41" s="931">
        <f ca="1">huishoudens!C12</f>
        <v>0</v>
      </c>
      <c r="E41" s="931">
        <f>huishoudens!D12</f>
        <v>26281.952199736301</v>
      </c>
      <c r="F41" s="931">
        <f>huishoudens!E12</f>
        <v>1154.3097779047334</v>
      </c>
      <c r="G41" s="931">
        <f>huishoudens!F12</f>
        <v>31470.716691158883</v>
      </c>
      <c r="H41" s="931">
        <f>huishoudens!G12</f>
        <v>0</v>
      </c>
      <c r="I41" s="931">
        <f>huishoudens!H12</f>
        <v>0</v>
      </c>
      <c r="J41" s="931">
        <f>huishoudens!I12</f>
        <v>0</v>
      </c>
      <c r="K41" s="931">
        <f>huishoudens!J12</f>
        <v>214.43087615053088</v>
      </c>
      <c r="L41" s="931">
        <f>huishoudens!K12</f>
        <v>0</v>
      </c>
      <c r="M41" s="931">
        <f>huishoudens!L12</f>
        <v>0</v>
      </c>
      <c r="N41" s="931">
        <f>huishoudens!M12</f>
        <v>0</v>
      </c>
      <c r="O41" s="931">
        <f>huishoudens!N12</f>
        <v>0</v>
      </c>
      <c r="P41" s="931">
        <f>huishoudens!O12</f>
        <v>0</v>
      </c>
      <c r="Q41" s="702">
        <f>huishoudens!P12</f>
        <v>0</v>
      </c>
      <c r="R41" s="777">
        <f t="shared" ca="1" si="4"/>
        <v>74252.126444232403</v>
      </c>
    </row>
    <row r="42" spans="1:18">
      <c r="A42" s="749" t="s">
        <v>486</v>
      </c>
      <c r="B42" s="756"/>
      <c r="C42" s="931">
        <f ca="1">'Eigen openbare verlichting'!B19</f>
        <v>0</v>
      </c>
      <c r="D42" s="931"/>
      <c r="E42" s="931"/>
      <c r="F42" s="931"/>
      <c r="G42" s="931"/>
      <c r="H42" s="931"/>
      <c r="I42" s="931"/>
      <c r="J42" s="931"/>
      <c r="K42" s="931"/>
      <c r="L42" s="931"/>
      <c r="M42" s="931"/>
      <c r="N42" s="931"/>
      <c r="O42" s="931"/>
      <c r="P42" s="931"/>
      <c r="Q42" s="702"/>
      <c r="R42" s="777">
        <f t="shared" ca="1" si="4"/>
        <v>0</v>
      </c>
    </row>
    <row r="43" spans="1:18">
      <c r="A43" s="749" t="s">
        <v>600</v>
      </c>
      <c r="B43" s="764" t="s">
        <v>597</v>
      </c>
      <c r="C43" s="931">
        <f ca="1">industrie!B22</f>
        <v>16887.738397070061</v>
      </c>
      <c r="D43" s="931">
        <f ca="1">industrie!C22</f>
        <v>0</v>
      </c>
      <c r="E43" s="931">
        <f>industrie!D22</f>
        <v>18011.175220486915</v>
      </c>
      <c r="F43" s="931">
        <f>industrie!E22</f>
        <v>282.0330578986933</v>
      </c>
      <c r="G43" s="931">
        <f>industrie!F22</f>
        <v>5534.0952845726542</v>
      </c>
      <c r="H43" s="931">
        <f>industrie!G22</f>
        <v>0</v>
      </c>
      <c r="I43" s="931">
        <f>industrie!H22</f>
        <v>0</v>
      </c>
      <c r="J43" s="931">
        <f>industrie!I22</f>
        <v>0</v>
      </c>
      <c r="K43" s="931">
        <f>industrie!J22</f>
        <v>23.112202674919764</v>
      </c>
      <c r="L43" s="931">
        <f>industrie!K22</f>
        <v>0</v>
      </c>
      <c r="M43" s="931">
        <f>industrie!L22</f>
        <v>0</v>
      </c>
      <c r="N43" s="931">
        <f>industrie!M22</f>
        <v>0</v>
      </c>
      <c r="O43" s="931">
        <f>industrie!N22</f>
        <v>0</v>
      </c>
      <c r="P43" s="931">
        <f>industrie!O22</f>
        <v>0</v>
      </c>
      <c r="Q43" s="702">
        <f>industrie!P22</f>
        <v>0</v>
      </c>
      <c r="R43" s="776">
        <f t="shared" ca="1" si="4"/>
        <v>40738.154162703242</v>
      </c>
    </row>
    <row r="44" spans="1:18">
      <c r="A44" s="749"/>
      <c r="B44" s="756" t="s">
        <v>598</v>
      </c>
      <c r="C44" s="931"/>
      <c r="D44" s="931"/>
      <c r="E44" s="931"/>
      <c r="F44" s="931"/>
      <c r="G44" s="931"/>
      <c r="H44" s="931"/>
      <c r="I44" s="931"/>
      <c r="J44" s="931"/>
      <c r="K44" s="931"/>
      <c r="L44" s="931"/>
      <c r="M44" s="931"/>
      <c r="N44" s="931"/>
      <c r="O44" s="931"/>
      <c r="P44" s="931"/>
      <c r="Q44" s="702"/>
      <c r="R44" s="777">
        <f t="shared" si="4"/>
        <v>0</v>
      </c>
    </row>
    <row r="45" spans="1:18" ht="15" thickBot="1">
      <c r="A45" s="933" t="s">
        <v>773</v>
      </c>
      <c r="B45" s="940"/>
      <c r="C45" s="935"/>
      <c r="D45" s="935"/>
      <c r="E45" s="935"/>
      <c r="F45" s="935"/>
      <c r="G45" s="935"/>
      <c r="H45" s="935"/>
      <c r="I45" s="935"/>
      <c r="J45" s="935"/>
      <c r="K45" s="935"/>
      <c r="L45" s="935"/>
      <c r="M45" s="935"/>
      <c r="N45" s="935"/>
      <c r="O45" s="935"/>
      <c r="P45" s="935"/>
      <c r="Q45" s="936"/>
      <c r="R45" s="941"/>
    </row>
    <row r="46" spans="1:18" ht="15.75" thickBot="1">
      <c r="A46" s="750" t="s">
        <v>214</v>
      </c>
      <c r="B46" s="763"/>
      <c r="C46" s="660">
        <f ca="1">SUM(C39:C45)</f>
        <v>44698.722220407173</v>
      </c>
      <c r="D46" s="660">
        <f t="shared" ref="D46:Q46" ca="1" si="5">SUM(D39:D45)</f>
        <v>0</v>
      </c>
      <c r="E46" s="660">
        <f t="shared" ca="1" si="5"/>
        <v>77401.07308369744</v>
      </c>
      <c r="F46" s="660">
        <f t="shared" si="5"/>
        <v>1644.4703011717761</v>
      </c>
      <c r="G46" s="660">
        <f t="shared" ca="1" si="5"/>
        <v>39543.792905935836</v>
      </c>
      <c r="H46" s="660">
        <f t="shared" si="5"/>
        <v>0</v>
      </c>
      <c r="I46" s="660">
        <f t="shared" si="5"/>
        <v>0</v>
      </c>
      <c r="J46" s="660">
        <f t="shared" si="5"/>
        <v>0</v>
      </c>
      <c r="K46" s="660">
        <f t="shared" si="5"/>
        <v>237.56290324075454</v>
      </c>
      <c r="L46" s="660">
        <f t="shared" si="5"/>
        <v>0</v>
      </c>
      <c r="M46" s="660">
        <f t="shared" ca="1" si="5"/>
        <v>0</v>
      </c>
      <c r="N46" s="660">
        <f t="shared" si="5"/>
        <v>0</v>
      </c>
      <c r="O46" s="660">
        <f t="shared" ca="1" si="5"/>
        <v>0</v>
      </c>
      <c r="P46" s="660">
        <f t="shared" si="5"/>
        <v>0</v>
      </c>
      <c r="Q46" s="660">
        <f t="shared" si="5"/>
        <v>0</v>
      </c>
      <c r="R46" s="660">
        <f ca="1">SUM(R39:R45)</f>
        <v>163525.62141445297</v>
      </c>
    </row>
    <row r="47" spans="1:18" ht="15.75">
      <c r="A47" s="751" t="s">
        <v>215</v>
      </c>
      <c r="B47" s="761"/>
      <c r="C47" s="653"/>
      <c r="D47" s="654"/>
      <c r="E47" s="654"/>
      <c r="F47" s="654"/>
      <c r="G47" s="654"/>
      <c r="H47" s="654"/>
      <c r="I47" s="654"/>
      <c r="J47" s="654"/>
      <c r="K47" s="654"/>
      <c r="L47" s="654"/>
      <c r="M47" s="663"/>
      <c r="N47" s="663"/>
      <c r="O47" s="654"/>
      <c r="P47" s="663"/>
      <c r="Q47" s="663"/>
      <c r="R47" s="657"/>
    </row>
    <row r="48" spans="1:18">
      <c r="A48" s="749" t="s">
        <v>216</v>
      </c>
      <c r="B48" s="756"/>
      <c r="C48" s="931">
        <f ca="1">'Eigen vloot'!B31</f>
        <v>0</v>
      </c>
      <c r="D48" s="931">
        <f>'Eigen vloot'!C31</f>
        <v>0</v>
      </c>
      <c r="E48" s="931">
        <f>'Eigen vloot'!D31</f>
        <v>0</v>
      </c>
      <c r="F48" s="931">
        <f>'Eigen vloot'!E31</f>
        <v>0</v>
      </c>
      <c r="G48" s="931">
        <f>'Eigen vloot'!F31</f>
        <v>0</v>
      </c>
      <c r="H48" s="931">
        <f>'Eigen vloot'!G31</f>
        <v>0</v>
      </c>
      <c r="I48" s="931">
        <f>'Eigen vloot'!H31</f>
        <v>0</v>
      </c>
      <c r="J48" s="931">
        <f>'Eigen vloot'!I31</f>
        <v>0</v>
      </c>
      <c r="K48" s="931">
        <f>'Eigen vloot'!J31</f>
        <v>0</v>
      </c>
      <c r="L48" s="931">
        <f>'Eigen vloot'!K31</f>
        <v>0</v>
      </c>
      <c r="M48" s="931">
        <f>'Eigen vloot'!L31</f>
        <v>0</v>
      </c>
      <c r="N48" s="931">
        <f>'Eigen vloot'!M31</f>
        <v>0</v>
      </c>
      <c r="O48" s="931">
        <f>'Eigen vloot'!N31</f>
        <v>0</v>
      </c>
      <c r="P48" s="931">
        <f>'Eigen vloot'!O31</f>
        <v>0</v>
      </c>
      <c r="Q48" s="931">
        <f>'Eigen vloot'!P31</f>
        <v>0</v>
      </c>
      <c r="R48" s="658">
        <f ca="1">SUM(C48:Q48)</f>
        <v>0</v>
      </c>
    </row>
    <row r="49" spans="1:18">
      <c r="A49" s="749" t="s">
        <v>217</v>
      </c>
      <c r="B49" s="756"/>
      <c r="C49" s="931">
        <f ca="1">transport!B58</f>
        <v>4.6760389186919387</v>
      </c>
      <c r="D49" s="931">
        <f ca="1">transport!C58</f>
        <v>0</v>
      </c>
      <c r="E49" s="931">
        <f>transport!D58</f>
        <v>0</v>
      </c>
      <c r="F49" s="931">
        <f>transport!E58</f>
        <v>0</v>
      </c>
      <c r="G49" s="931">
        <f>transport!F58</f>
        <v>0</v>
      </c>
      <c r="H49" s="931">
        <f>transport!G58</f>
        <v>617.76149857714711</v>
      </c>
      <c r="I49" s="931">
        <f>transport!H58</f>
        <v>0</v>
      </c>
      <c r="J49" s="931">
        <f>transport!I58</f>
        <v>0</v>
      </c>
      <c r="K49" s="931">
        <f>transport!J58</f>
        <v>0</v>
      </c>
      <c r="L49" s="931">
        <f>transport!K58</f>
        <v>0</v>
      </c>
      <c r="M49" s="931">
        <f>transport!L58</f>
        <v>0</v>
      </c>
      <c r="N49" s="931">
        <f>transport!M58</f>
        <v>0</v>
      </c>
      <c r="O49" s="931">
        <f>transport!N58</f>
        <v>0</v>
      </c>
      <c r="P49" s="931">
        <f>transport!O58</f>
        <v>0</v>
      </c>
      <c r="Q49" s="932">
        <f>transport!P58</f>
        <v>0</v>
      </c>
      <c r="R49" s="658">
        <f ca="1">SUM(C49:Q49)</f>
        <v>622.43753749583902</v>
      </c>
    </row>
    <row r="50" spans="1:18">
      <c r="A50" s="752" t="s">
        <v>295</v>
      </c>
      <c r="B50" s="762"/>
      <c r="C50" s="631">
        <f ca="1">transport!B18</f>
        <v>46.001276513047344</v>
      </c>
      <c r="D50" s="631">
        <f>transport!C18</f>
        <v>0</v>
      </c>
      <c r="E50" s="631">
        <f>transport!D18</f>
        <v>78.171451659094757</v>
      </c>
      <c r="F50" s="631">
        <f>transport!E18</f>
        <v>165.26127181784463</v>
      </c>
      <c r="G50" s="631">
        <f>transport!F18</f>
        <v>0</v>
      </c>
      <c r="H50" s="631">
        <f>transport!G18</f>
        <v>92637.969055339403</v>
      </c>
      <c r="I50" s="631">
        <f>transport!H18</f>
        <v>16934.668846890971</v>
      </c>
      <c r="J50" s="631">
        <f>transport!I18</f>
        <v>0</v>
      </c>
      <c r="K50" s="631">
        <f>transport!J18</f>
        <v>0</v>
      </c>
      <c r="L50" s="631">
        <f>transport!K18</f>
        <v>0</v>
      </c>
      <c r="M50" s="631">
        <f>transport!L18</f>
        <v>0</v>
      </c>
      <c r="N50" s="631">
        <f>transport!M18</f>
        <v>0</v>
      </c>
      <c r="O50" s="631">
        <f>transport!N18</f>
        <v>0</v>
      </c>
      <c r="P50" s="631">
        <f>transport!O18</f>
        <v>0</v>
      </c>
      <c r="Q50" s="632">
        <f>transport!P18</f>
        <v>0</v>
      </c>
      <c r="R50" s="659">
        <f ca="1">SUM(C50:Q50)</f>
        <v>109862.07190222036</v>
      </c>
    </row>
    <row r="51" spans="1:18" ht="15" thickBot="1">
      <c r="A51" s="749" t="s">
        <v>774</v>
      </c>
      <c r="B51" s="756"/>
      <c r="C51" s="931"/>
      <c r="D51" s="931"/>
      <c r="E51" s="931"/>
      <c r="F51" s="931"/>
      <c r="G51" s="931"/>
      <c r="H51" s="931"/>
      <c r="I51" s="931"/>
      <c r="J51" s="931"/>
      <c r="K51" s="931"/>
      <c r="L51" s="931"/>
      <c r="M51" s="931"/>
      <c r="N51" s="931"/>
      <c r="O51" s="931"/>
      <c r="P51" s="931"/>
      <c r="Q51" s="932"/>
      <c r="R51" s="658"/>
    </row>
    <row r="52" spans="1:18" ht="15.75" thickBot="1">
      <c r="A52" s="750" t="s">
        <v>218</v>
      </c>
      <c r="B52" s="763"/>
      <c r="C52" s="660">
        <f ca="1">SUM(C48:C51)</f>
        <v>50.677315431739281</v>
      </c>
      <c r="D52" s="660">
        <f t="shared" ref="D52:Q52" ca="1" si="6">SUM(D48:D51)</f>
        <v>0</v>
      </c>
      <c r="E52" s="660">
        <f t="shared" si="6"/>
        <v>78.171451659094757</v>
      </c>
      <c r="F52" s="660">
        <f t="shared" si="6"/>
        <v>165.26127181784463</v>
      </c>
      <c r="G52" s="660">
        <f t="shared" si="6"/>
        <v>0</v>
      </c>
      <c r="H52" s="660">
        <f t="shared" si="6"/>
        <v>93255.730553916554</v>
      </c>
      <c r="I52" s="660">
        <f t="shared" si="6"/>
        <v>16934.668846890971</v>
      </c>
      <c r="J52" s="660">
        <f t="shared" si="6"/>
        <v>0</v>
      </c>
      <c r="K52" s="660">
        <f t="shared" si="6"/>
        <v>0</v>
      </c>
      <c r="L52" s="660">
        <f t="shared" si="6"/>
        <v>0</v>
      </c>
      <c r="M52" s="660">
        <f t="shared" si="6"/>
        <v>0</v>
      </c>
      <c r="N52" s="660">
        <f t="shared" si="6"/>
        <v>0</v>
      </c>
      <c r="O52" s="660">
        <f t="shared" si="6"/>
        <v>0</v>
      </c>
      <c r="P52" s="660">
        <f t="shared" si="6"/>
        <v>0</v>
      </c>
      <c r="Q52" s="660">
        <f t="shared" si="6"/>
        <v>0</v>
      </c>
      <c r="R52" s="660">
        <f ca="1">SUM(R48:R51)</f>
        <v>110484.50943971619</v>
      </c>
    </row>
    <row r="53" spans="1:18" ht="15.75">
      <c r="A53" s="751" t="s">
        <v>225</v>
      </c>
      <c r="B53" s="731"/>
      <c r="C53" s="653"/>
      <c r="D53" s="654"/>
      <c r="E53" s="654"/>
      <c r="F53" s="654"/>
      <c r="G53" s="654"/>
      <c r="H53" s="654"/>
      <c r="I53" s="654"/>
      <c r="J53" s="654"/>
      <c r="K53" s="654"/>
      <c r="L53" s="654"/>
      <c r="M53" s="663"/>
      <c r="N53" s="663"/>
      <c r="O53" s="654"/>
      <c r="P53" s="663"/>
      <c r="Q53" s="663"/>
      <c r="R53" s="657"/>
    </row>
    <row r="54" spans="1:18">
      <c r="A54" s="752" t="s">
        <v>594</v>
      </c>
      <c r="B54" s="762"/>
      <c r="C54" s="631">
        <f ca="1">+landbouw!B12</f>
        <v>1651.8554522351219</v>
      </c>
      <c r="D54" s="631">
        <f ca="1">+landbouw!C12</f>
        <v>21884.747899159669</v>
      </c>
      <c r="E54" s="631">
        <f>+landbouw!D12</f>
        <v>0</v>
      </c>
      <c r="F54" s="631">
        <f>+landbouw!E12</f>
        <v>64.096917633600683</v>
      </c>
      <c r="G54" s="631">
        <f>+landbouw!F12</f>
        <v>8570.286778484493</v>
      </c>
      <c r="H54" s="631">
        <f>+landbouw!G12</f>
        <v>0</v>
      </c>
      <c r="I54" s="631">
        <f>+landbouw!H12</f>
        <v>0</v>
      </c>
      <c r="J54" s="631">
        <f>+landbouw!I12</f>
        <v>0</v>
      </c>
      <c r="K54" s="631">
        <f>+landbouw!J12</f>
        <v>810.01774268209579</v>
      </c>
      <c r="L54" s="631">
        <f>+landbouw!K12</f>
        <v>0</v>
      </c>
      <c r="M54" s="631">
        <f>+landbouw!L12</f>
        <v>0</v>
      </c>
      <c r="N54" s="631">
        <f>+landbouw!M12</f>
        <v>0</v>
      </c>
      <c r="O54" s="631">
        <f>+landbouw!N12</f>
        <v>0</v>
      </c>
      <c r="P54" s="631">
        <f>+landbouw!O12</f>
        <v>0</v>
      </c>
      <c r="Q54" s="632">
        <f>+landbouw!P12</f>
        <v>0</v>
      </c>
      <c r="R54" s="659">
        <f ca="1">SUM(C54:Q54)</f>
        <v>32981.00479019498</v>
      </c>
    </row>
    <row r="55" spans="1:18" ht="15" thickBot="1">
      <c r="A55" s="752" t="s">
        <v>775</v>
      </c>
      <c r="B55" s="762"/>
      <c r="C55" s="631">
        <f ca="1">C25*'EF ele_warmte'!B12</f>
        <v>596.1301875454335</v>
      </c>
      <c r="D55" s="631"/>
      <c r="E55" s="631">
        <f>E25*EF_CO2_aardgas</f>
        <v>1727.6392277003069</v>
      </c>
      <c r="F55" s="631"/>
      <c r="G55" s="631"/>
      <c r="H55" s="631"/>
      <c r="I55" s="631"/>
      <c r="J55" s="631"/>
      <c r="K55" s="631"/>
      <c r="L55" s="631"/>
      <c r="M55" s="631"/>
      <c r="N55" s="631"/>
      <c r="O55" s="631"/>
      <c r="P55" s="631"/>
      <c r="Q55" s="632"/>
      <c r="R55" s="659">
        <f ca="1">SUM(C55:Q55)</f>
        <v>2323.7694152457407</v>
      </c>
    </row>
    <row r="56" spans="1:18" ht="15.75" thickBot="1">
      <c r="A56" s="750" t="s">
        <v>776</v>
      </c>
      <c r="B56" s="763"/>
      <c r="C56" s="660">
        <f ca="1">SUM(C54:C55)</f>
        <v>2247.9856397805552</v>
      </c>
      <c r="D56" s="660">
        <f t="shared" ref="D56:Q56" ca="1" si="7">SUM(D54:D55)</f>
        <v>21884.747899159669</v>
      </c>
      <c r="E56" s="660">
        <f t="shared" si="7"/>
        <v>1727.6392277003069</v>
      </c>
      <c r="F56" s="660">
        <f t="shared" si="7"/>
        <v>64.096917633600683</v>
      </c>
      <c r="G56" s="660">
        <f t="shared" si="7"/>
        <v>8570.286778484493</v>
      </c>
      <c r="H56" s="660">
        <f t="shared" si="7"/>
        <v>0</v>
      </c>
      <c r="I56" s="660">
        <f t="shared" si="7"/>
        <v>0</v>
      </c>
      <c r="J56" s="660">
        <f t="shared" si="7"/>
        <v>0</v>
      </c>
      <c r="K56" s="660">
        <f t="shared" si="7"/>
        <v>810.01774268209579</v>
      </c>
      <c r="L56" s="660">
        <f t="shared" si="7"/>
        <v>0</v>
      </c>
      <c r="M56" s="660">
        <f t="shared" si="7"/>
        <v>0</v>
      </c>
      <c r="N56" s="660">
        <f t="shared" si="7"/>
        <v>0</v>
      </c>
      <c r="O56" s="660">
        <f t="shared" si="7"/>
        <v>0</v>
      </c>
      <c r="P56" s="660">
        <f t="shared" si="7"/>
        <v>0</v>
      </c>
      <c r="Q56" s="661">
        <f t="shared" si="7"/>
        <v>0</v>
      </c>
      <c r="R56" s="662">
        <f ca="1">SUM(R54:R55)</f>
        <v>35304.774205440721</v>
      </c>
    </row>
    <row r="57" spans="1:18" ht="15.75">
      <c r="A57" s="731" t="s">
        <v>595</v>
      </c>
      <c r="B57" s="731"/>
      <c r="C57" s="665"/>
      <c r="D57" s="654"/>
      <c r="E57" s="654"/>
      <c r="F57" s="654"/>
      <c r="G57" s="654"/>
      <c r="H57" s="654"/>
      <c r="I57" s="654"/>
      <c r="J57" s="654"/>
      <c r="K57" s="654"/>
      <c r="L57" s="654"/>
      <c r="M57" s="663"/>
      <c r="N57" s="663"/>
      <c r="O57" s="654"/>
      <c r="P57" s="663"/>
      <c r="Q57" s="663"/>
      <c r="R57" s="657"/>
    </row>
    <row r="58" spans="1:18" ht="15">
      <c r="A58" s="753" t="s">
        <v>226</v>
      </c>
      <c r="B58" s="767"/>
      <c r="C58" s="1022"/>
      <c r="D58" s="1023"/>
      <c r="E58" s="1023"/>
      <c r="F58" s="1023"/>
      <c r="G58" s="1023"/>
      <c r="H58" s="1023"/>
      <c r="I58" s="1023"/>
      <c r="J58" s="1023"/>
      <c r="K58" s="1023"/>
      <c r="L58" s="1023"/>
      <c r="M58" s="1023"/>
      <c r="N58" s="1023"/>
      <c r="O58" s="1023"/>
      <c r="P58" s="1023"/>
      <c r="Q58" s="1023"/>
      <c r="R58" s="666"/>
    </row>
    <row r="59" spans="1:18" ht="15">
      <c r="A59" s="754" t="s">
        <v>227</v>
      </c>
      <c r="B59" s="741"/>
      <c r="C59" s="1024"/>
      <c r="D59" s="1025"/>
      <c r="E59" s="1025"/>
      <c r="F59" s="1025"/>
      <c r="G59" s="1025"/>
      <c r="H59" s="1025"/>
      <c r="I59" s="1025"/>
      <c r="J59" s="1025"/>
      <c r="K59" s="1025"/>
      <c r="L59" s="1025"/>
      <c r="M59" s="1025"/>
      <c r="N59" s="1025"/>
      <c r="O59" s="1025"/>
      <c r="P59" s="1025"/>
      <c r="Q59" s="1025"/>
      <c r="R59" s="667"/>
    </row>
    <row r="60" spans="1:18" ht="15" thickBot="1">
      <c r="A60" s="765" t="s">
        <v>228</v>
      </c>
      <c r="B60" s="766"/>
      <c r="C60" s="1024"/>
      <c r="D60" s="1025"/>
      <c r="E60" s="1025"/>
      <c r="F60" s="1025"/>
      <c r="G60" s="1025"/>
      <c r="H60" s="1025"/>
      <c r="I60" s="1025"/>
      <c r="J60" s="1025"/>
      <c r="K60" s="1025"/>
      <c r="L60" s="1025"/>
      <c r="M60" s="1025"/>
      <c r="N60" s="1025"/>
      <c r="O60" s="1025"/>
      <c r="P60" s="1025"/>
      <c r="Q60" s="1025"/>
      <c r="R60" s="659"/>
    </row>
    <row r="61" spans="1:18" ht="16.5" thickBot="1">
      <c r="A61" s="768" t="s">
        <v>109</v>
      </c>
      <c r="B61" s="769"/>
      <c r="C61" s="668">
        <f ca="1">C46+C52+C56</f>
        <v>46997.385175619471</v>
      </c>
      <c r="D61" s="668">
        <f t="shared" ref="D61:Q61" ca="1" si="8">D46+D52+D56</f>
        <v>21884.747899159669</v>
      </c>
      <c r="E61" s="668">
        <f t="shared" ca="1" si="8"/>
        <v>79206.883763056845</v>
      </c>
      <c r="F61" s="668">
        <f t="shared" si="8"/>
        <v>1873.8284906232213</v>
      </c>
      <c r="G61" s="668">
        <f t="shared" ca="1" si="8"/>
        <v>48114.079684420329</v>
      </c>
      <c r="H61" s="668">
        <f t="shared" si="8"/>
        <v>93255.730553916554</v>
      </c>
      <c r="I61" s="668">
        <f t="shared" si="8"/>
        <v>16934.668846890971</v>
      </c>
      <c r="J61" s="668">
        <f t="shared" si="8"/>
        <v>0</v>
      </c>
      <c r="K61" s="668">
        <f t="shared" si="8"/>
        <v>1047.5806459228504</v>
      </c>
      <c r="L61" s="668">
        <f t="shared" si="8"/>
        <v>0</v>
      </c>
      <c r="M61" s="668">
        <f t="shared" ca="1" si="8"/>
        <v>0</v>
      </c>
      <c r="N61" s="668">
        <f t="shared" si="8"/>
        <v>0</v>
      </c>
      <c r="O61" s="668">
        <f t="shared" ca="1" si="8"/>
        <v>0</v>
      </c>
      <c r="P61" s="668">
        <f t="shared" si="8"/>
        <v>0</v>
      </c>
      <c r="Q61" s="668">
        <f t="shared" si="8"/>
        <v>0</v>
      </c>
      <c r="R61" s="668">
        <f ca="1">R46+R52+R56</f>
        <v>309314.90505960985</v>
      </c>
    </row>
    <row r="62" spans="1:18" ht="15.75" thickTop="1" thickBot="1">
      <c r="A62" s="912"/>
      <c r="B62" s="912"/>
      <c r="C62" s="669"/>
      <c r="D62" s="669"/>
      <c r="E62" s="670"/>
      <c r="F62" s="670"/>
      <c r="G62" s="670"/>
      <c r="H62" s="670"/>
      <c r="I62" s="670"/>
      <c r="J62" s="670"/>
      <c r="K62" s="670"/>
      <c r="L62" s="670"/>
      <c r="M62" s="670"/>
      <c r="N62" s="670"/>
      <c r="O62" s="670"/>
      <c r="P62" s="670"/>
      <c r="Q62" s="670"/>
      <c r="R62" s="670"/>
    </row>
    <row r="63" spans="1:18" ht="20.25" thickTop="1" thickBot="1">
      <c r="A63" s="671" t="s">
        <v>334</v>
      </c>
      <c r="B63" s="748"/>
      <c r="C63" s="709">
        <f t="shared" ref="C63:Q63" ca="1" si="9">IF(ISERROR(C61/C27),0,C61/C27)</f>
        <v>0.18985386689719383</v>
      </c>
      <c r="D63" s="709">
        <f t="shared" ca="1" si="9"/>
        <v>0.17078684180239098</v>
      </c>
      <c r="E63" s="942">
        <f t="shared" ca="1" si="9"/>
        <v>0.20200000000000001</v>
      </c>
      <c r="F63" s="709">
        <f t="shared" si="9"/>
        <v>0.22699999999999995</v>
      </c>
      <c r="G63" s="709">
        <f t="shared" ca="1" si="9"/>
        <v>0.26700000000000002</v>
      </c>
      <c r="H63" s="709">
        <f t="shared" si="9"/>
        <v>0.26700000000000002</v>
      </c>
      <c r="I63" s="709">
        <f t="shared" si="9"/>
        <v>0.24899999999999997</v>
      </c>
      <c r="J63" s="709">
        <f t="shared" si="9"/>
        <v>0</v>
      </c>
      <c r="K63" s="709">
        <f t="shared" si="9"/>
        <v>0.35400000000000004</v>
      </c>
      <c r="L63" s="709">
        <f t="shared" si="9"/>
        <v>0</v>
      </c>
      <c r="M63" s="709">
        <f t="shared" ca="1" si="9"/>
        <v>0</v>
      </c>
      <c r="N63" s="709">
        <f t="shared" si="9"/>
        <v>0</v>
      </c>
      <c r="O63" s="709">
        <f t="shared" ca="1" si="9"/>
        <v>0</v>
      </c>
      <c r="P63" s="709">
        <f t="shared" si="9"/>
        <v>0</v>
      </c>
      <c r="Q63" s="709">
        <f t="shared" si="9"/>
        <v>0</v>
      </c>
      <c r="R63" s="670"/>
    </row>
    <row r="64" spans="1:18" ht="33" thickTop="1" thickBot="1">
      <c r="A64" s="755" t="s">
        <v>335</v>
      </c>
      <c r="B64" s="733"/>
      <c r="C64" s="710">
        <f>'EF ele_warmte'!B6</f>
        <v>0.221</v>
      </c>
      <c r="D64" s="711"/>
      <c r="E64" s="712"/>
      <c r="F64" s="713"/>
      <c r="G64" s="713"/>
      <c r="H64" s="713"/>
      <c r="I64" s="713"/>
      <c r="J64" s="713"/>
      <c r="K64" s="713"/>
      <c r="L64" s="713"/>
      <c r="M64" s="713"/>
      <c r="N64" s="713"/>
      <c r="O64" s="713"/>
      <c r="P64" s="713"/>
      <c r="Q64" s="713"/>
      <c r="R64" s="670"/>
    </row>
    <row r="65" spans="1:18" ht="15" thickTop="1">
      <c r="A65" s="672"/>
      <c r="B65" s="672"/>
      <c r="C65" s="670"/>
      <c r="D65" s="670"/>
      <c r="E65" s="670"/>
      <c r="F65" s="670"/>
      <c r="G65" s="670"/>
      <c r="H65" s="670"/>
      <c r="I65" s="670"/>
      <c r="J65" s="670"/>
      <c r="K65" s="670"/>
      <c r="L65" s="670"/>
      <c r="M65" s="670"/>
      <c r="N65" s="670"/>
      <c r="O65" s="670"/>
      <c r="P65" s="670"/>
      <c r="Q65" s="670"/>
      <c r="R65" s="670"/>
    </row>
    <row r="66" spans="1:18" ht="18.75">
      <c r="A66" s="673" t="s">
        <v>336</v>
      </c>
      <c r="B66" s="673"/>
      <c r="C66" s="646"/>
      <c r="D66" s="674"/>
      <c r="E66" s="646"/>
      <c r="F66" s="646"/>
      <c r="G66" s="646"/>
      <c r="H66" s="646"/>
      <c r="I66" s="646"/>
      <c r="J66" s="646"/>
      <c r="K66" s="646"/>
      <c r="L66" s="646"/>
      <c r="M66" s="646"/>
      <c r="N66" s="646"/>
      <c r="O66" s="646"/>
      <c r="P66" s="675"/>
      <c r="Q66" s="675"/>
      <c r="R66" s="675"/>
    </row>
    <row r="67" spans="1:18">
      <c r="A67" s="1032"/>
      <c r="B67" s="1032"/>
      <c r="C67" s="1032"/>
      <c r="D67" s="1032"/>
      <c r="E67" s="1032"/>
      <c r="F67" s="1032"/>
      <c r="G67" s="1032"/>
      <c r="H67" s="1032"/>
      <c r="I67" s="1032"/>
      <c r="J67" s="1032"/>
      <c r="K67" s="1032"/>
      <c r="L67" s="1032"/>
      <c r="M67" s="1032"/>
      <c r="N67" s="1032"/>
      <c r="O67" s="1032"/>
      <c r="P67" s="1032"/>
      <c r="Q67" s="1032"/>
      <c r="R67" s="676"/>
    </row>
    <row r="68" spans="1:18" ht="16.5" customHeight="1" thickBot="1">
      <c r="A68" s="649"/>
      <c r="B68" s="649"/>
      <c r="C68" s="650"/>
      <c r="D68" s="650"/>
      <c r="E68" s="650"/>
      <c r="F68" s="650"/>
      <c r="G68" s="650"/>
      <c r="H68" s="650"/>
      <c r="I68" s="650"/>
      <c r="J68" s="650"/>
      <c r="K68" s="650"/>
      <c r="L68" s="650"/>
      <c r="M68" s="650"/>
      <c r="N68" s="650"/>
      <c r="O68" s="650"/>
      <c r="P68" s="650"/>
      <c r="Q68" s="650"/>
      <c r="R68" s="650"/>
    </row>
    <row r="69" spans="1:18" ht="48.75" customHeight="1" thickTop="1" thickBot="1">
      <c r="A69" s="1033" t="s">
        <v>229</v>
      </c>
      <c r="B69" s="1036" t="s">
        <v>337</v>
      </c>
      <c r="C69" s="1037"/>
      <c r="D69" s="1040" t="s">
        <v>338</v>
      </c>
      <c r="E69" s="1041"/>
      <c r="F69" s="1041"/>
      <c r="G69" s="1041"/>
      <c r="H69" s="1041"/>
      <c r="I69" s="1041"/>
      <c r="J69" s="1041"/>
      <c r="K69" s="1041"/>
      <c r="L69" s="1041"/>
      <c r="M69" s="1041"/>
      <c r="N69" s="1041"/>
      <c r="O69" s="1042"/>
      <c r="P69" s="943" t="s">
        <v>603</v>
      </c>
      <c r="Q69" s="1043" t="s">
        <v>602</v>
      </c>
      <c r="R69" s="1044"/>
    </row>
    <row r="70" spans="1:18" ht="61.5" thickTop="1" thickBot="1">
      <c r="A70" s="1034"/>
      <c r="B70" s="1038"/>
      <c r="C70" s="1039"/>
      <c r="D70" s="1045" t="s">
        <v>190</v>
      </c>
      <c r="E70" s="1046"/>
      <c r="F70" s="1046"/>
      <c r="G70" s="1046"/>
      <c r="H70" s="1047"/>
      <c r="I70" s="923" t="s">
        <v>234</v>
      </c>
      <c r="J70" s="923" t="s">
        <v>222</v>
      </c>
      <c r="K70" s="923" t="s">
        <v>202</v>
      </c>
      <c r="L70" s="923" t="s">
        <v>203</v>
      </c>
      <c r="M70" s="677" t="s">
        <v>233</v>
      </c>
      <c r="N70" s="923" t="s">
        <v>235</v>
      </c>
      <c r="O70" s="918" t="s">
        <v>120</v>
      </c>
      <c r="P70" s="944"/>
      <c r="Q70" s="783"/>
      <c r="R70" s="784"/>
    </row>
    <row r="71" spans="1:18" ht="95.25" customHeight="1" thickTop="1" thickBot="1">
      <c r="A71" s="1035"/>
      <c r="B71" s="917" t="s">
        <v>601</v>
      </c>
      <c r="C71" s="917" t="s">
        <v>777</v>
      </c>
      <c r="D71" s="945" t="s">
        <v>192</v>
      </c>
      <c r="E71" s="946" t="s">
        <v>193</v>
      </c>
      <c r="F71" s="923" t="s">
        <v>194</v>
      </c>
      <c r="G71" s="920" t="s">
        <v>196</v>
      </c>
      <c r="H71" s="947" t="s">
        <v>197</v>
      </c>
      <c r="I71" s="914"/>
      <c r="J71" s="914"/>
      <c r="K71" s="914"/>
      <c r="L71" s="914"/>
      <c r="M71" s="921"/>
      <c r="N71" s="914"/>
      <c r="O71" s="919"/>
      <c r="P71" s="948"/>
      <c r="Q71" s="913" t="s">
        <v>604</v>
      </c>
      <c r="R71" s="919" t="s">
        <v>605</v>
      </c>
    </row>
    <row r="72" spans="1:18" ht="15.75" thickTop="1">
      <c r="A72" s="678" t="s">
        <v>237</v>
      </c>
      <c r="B72" s="770">
        <f>'lokale energieproductie'!B4</f>
        <v>0</v>
      </c>
      <c r="C72" s="1026"/>
      <c r="D72" s="1026"/>
      <c r="E72" s="1029"/>
      <c r="F72" s="1029"/>
      <c r="G72" s="1090"/>
      <c r="H72" s="1093"/>
      <c r="I72" s="1096"/>
      <c r="J72" s="915"/>
      <c r="K72" s="1048"/>
      <c r="L72" s="1048"/>
      <c r="M72" s="1048"/>
      <c r="N72" s="1048"/>
      <c r="O72" s="1049"/>
      <c r="P72" s="778">
        <v>0</v>
      </c>
      <c r="Q72" s="949"/>
      <c r="R72" s="778">
        <v>0</v>
      </c>
    </row>
    <row r="73" spans="1:18" ht="15">
      <c r="A73" s="679" t="s">
        <v>238</v>
      </c>
      <c r="B73" s="678">
        <f>'lokale energieproductie'!B5</f>
        <v>0</v>
      </c>
      <c r="C73" s="1027"/>
      <c r="D73" s="1027"/>
      <c r="E73" s="1030"/>
      <c r="F73" s="1030"/>
      <c r="G73" s="1091"/>
      <c r="H73" s="1094"/>
      <c r="I73" s="1027"/>
      <c r="J73" s="916"/>
      <c r="K73" s="1030"/>
      <c r="L73" s="1030"/>
      <c r="M73" s="1030"/>
      <c r="N73" s="1030"/>
      <c r="O73" s="1050"/>
      <c r="P73" s="779">
        <v>0</v>
      </c>
      <c r="Q73" s="785"/>
      <c r="R73" s="779">
        <v>0</v>
      </c>
    </row>
    <row r="74" spans="1:18" ht="15">
      <c r="A74" s="679" t="s">
        <v>239</v>
      </c>
      <c r="B74" s="678">
        <f>'lokale energieproductie'!B6</f>
        <v>14506.905605286898</v>
      </c>
      <c r="C74" s="1027"/>
      <c r="D74" s="1027"/>
      <c r="E74" s="1030"/>
      <c r="F74" s="1030"/>
      <c r="G74" s="1091"/>
      <c r="H74" s="1094"/>
      <c r="I74" s="1027"/>
      <c r="J74" s="916"/>
      <c r="K74" s="1030"/>
      <c r="L74" s="1030"/>
      <c r="M74" s="1030"/>
      <c r="N74" s="1030"/>
      <c r="O74" s="1050"/>
      <c r="P74" s="779">
        <v>0</v>
      </c>
      <c r="Q74" s="785"/>
      <c r="R74" s="779">
        <v>0</v>
      </c>
    </row>
    <row r="75" spans="1:18" ht="15.75" thickBot="1">
      <c r="A75" s="679" t="s">
        <v>778</v>
      </c>
      <c r="B75" s="678">
        <f>'lokale energieproductie'!B7</f>
        <v>0</v>
      </c>
      <c r="C75" s="1028"/>
      <c r="D75" s="1028"/>
      <c r="E75" s="1031"/>
      <c r="F75" s="1031"/>
      <c r="G75" s="1092"/>
      <c r="H75" s="1095"/>
      <c r="I75" s="1028"/>
      <c r="J75" s="950"/>
      <c r="K75" s="1031"/>
      <c r="L75" s="1031"/>
      <c r="M75" s="1031"/>
      <c r="N75" s="1031"/>
      <c r="O75" s="1051"/>
      <c r="P75" s="779">
        <v>0</v>
      </c>
      <c r="Q75" s="951"/>
      <c r="R75" s="779">
        <v>0</v>
      </c>
    </row>
    <row r="76" spans="1:18" ht="15">
      <c r="A76" s="680" t="s">
        <v>240</v>
      </c>
      <c r="B76" s="678">
        <f>'lokale energieproductie'!B8*IFERROR(SUM(I76:O76)/SUM(D76:O76),0)</f>
        <v>25235.999999999996</v>
      </c>
      <c r="C76" s="678">
        <f>'lokale energieproductie'!B8*IFERROR(SUM(D76:H76)/SUM(D76:O76),0)</f>
        <v>64462.5</v>
      </c>
      <c r="D76" s="952">
        <f>'lokale energieproductie'!C8</f>
        <v>75838.23529411765</v>
      </c>
      <c r="E76" s="953">
        <f>'lokale energieproductie'!D8</f>
        <v>0</v>
      </c>
      <c r="F76" s="953">
        <f>'lokale energieproductie'!E8</f>
        <v>0</v>
      </c>
      <c r="G76" s="953">
        <f>'lokale energieproductie'!F8</f>
        <v>0</v>
      </c>
      <c r="H76" s="953">
        <f>'lokale energieproductie'!G8</f>
        <v>0</v>
      </c>
      <c r="I76" s="953">
        <f>'lokale energieproductie'!I8</f>
        <v>0</v>
      </c>
      <c r="J76" s="953">
        <f>'lokale energieproductie'!J8</f>
        <v>29689.411764705881</v>
      </c>
      <c r="K76" s="953">
        <f>'lokale energieproductie'!M8</f>
        <v>0</v>
      </c>
      <c r="L76" s="953">
        <f>'lokale energieproductie'!N8</f>
        <v>0</v>
      </c>
      <c r="M76" s="953">
        <f>'lokale energieproductie'!H8</f>
        <v>0</v>
      </c>
      <c r="N76" s="953">
        <f>'lokale energieproductie'!K8</f>
        <v>0</v>
      </c>
      <c r="O76" s="954">
        <f>'lokale energieproductie'!L8</f>
        <v>0</v>
      </c>
      <c r="P76" s="955"/>
      <c r="Q76" s="780">
        <f>D76*EF_CO2_aardgas+E76*EF_VLgas_CO2+'SEAP template'!F76*EF_stookolie_CO2+EF_bruinkool_CO2*'SEAP template'!G76+'SEAP template'!H76*EF_steenkool_CO2+'EF brandstof'!M4*'SEAP template'!M76+'SEAP template'!O76*EF_anderfossiel_CO2</f>
        <v>15319.323529411766</v>
      </c>
      <c r="R76" s="779">
        <v>0</v>
      </c>
    </row>
    <row r="77" spans="1:18" ht="30.75" thickBot="1">
      <c r="A77" s="681" t="s">
        <v>339</v>
      </c>
      <c r="B77" s="678">
        <f>'lokale energieproductie'!B9*IFERROR(SUM(I77:O77)/SUM(D77:O77),0)</f>
        <v>0</v>
      </c>
      <c r="C77" s="678">
        <f>'lokale energieproductie'!B9*IFERROR(SUM(D77:H77)/SUM(D77:O77),0)</f>
        <v>0</v>
      </c>
      <c r="D77" s="703">
        <f>'lokale energieproductie'!C9</f>
        <v>0</v>
      </c>
      <c r="E77" s="704">
        <f>'lokale energieproductie'!D9</f>
        <v>0</v>
      </c>
      <c r="F77" s="704">
        <f>'lokale energieproductie'!E9</f>
        <v>0</v>
      </c>
      <c r="G77" s="704">
        <f>'lokale energieproductie'!F9</f>
        <v>0</v>
      </c>
      <c r="H77" s="704">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54">
        <f>'lokale energieproductie'!L9</f>
        <v>0</v>
      </c>
      <c r="P77" s="772"/>
      <c r="Q77" s="780">
        <f>D77*EF_CO2_aardgas+E77*EF_VLgas_CO2+'SEAP template'!F77*EF_stookolie_CO2+EF_bruinkool_CO2*'SEAP template'!G77+'SEAP template'!H77*EF_steenkool_CO2+'EF brandstof'!M4*'SEAP template'!M77+'SEAP template'!O77*EF_anderfossiel_CO2</f>
        <v>0</v>
      </c>
      <c r="R77" s="782">
        <v>0</v>
      </c>
    </row>
    <row r="78" spans="1:18" ht="16.5" thickTop="1" thickBot="1">
      <c r="A78" s="682" t="s">
        <v>109</v>
      </c>
      <c r="B78" s="683">
        <f>SUM(B72:B77)</f>
        <v>39742.905605286898</v>
      </c>
      <c r="C78" s="683">
        <f>SUM(C72:C77)</f>
        <v>64462.5</v>
      </c>
      <c r="D78" s="684">
        <f t="shared" ref="D78:H78" si="10">SUM(D76:D77)</f>
        <v>75838.23529411765</v>
      </c>
      <c r="E78" s="684">
        <f t="shared" si="10"/>
        <v>0</v>
      </c>
      <c r="F78" s="684">
        <f t="shared" si="10"/>
        <v>0</v>
      </c>
      <c r="G78" s="684">
        <f t="shared" si="10"/>
        <v>0</v>
      </c>
      <c r="H78" s="684">
        <f t="shared" si="10"/>
        <v>0</v>
      </c>
      <c r="I78" s="684">
        <f>SUM(I76:I77)</f>
        <v>0</v>
      </c>
      <c r="J78" s="684">
        <f>SUM(J76:J77)</f>
        <v>29689.411764705881</v>
      </c>
      <c r="K78" s="684">
        <f t="shared" ref="K78:L78" si="11">SUM(K76:K77)</f>
        <v>0</v>
      </c>
      <c r="L78" s="684">
        <f t="shared" si="11"/>
        <v>0</v>
      </c>
      <c r="M78" s="684">
        <f>SUM(M76:M77)</f>
        <v>0</v>
      </c>
      <c r="N78" s="684">
        <f>SUM(N76:N77)</f>
        <v>0</v>
      </c>
      <c r="O78" s="787">
        <f>SUM(O76:O77)</f>
        <v>0</v>
      </c>
      <c r="P78" s="685">
        <v>0</v>
      </c>
      <c r="Q78" s="685">
        <f>SUM(Q76:Q77)</f>
        <v>15319.323529411766</v>
      </c>
      <c r="R78" s="685">
        <f>SUM(R72:R77)</f>
        <v>0</v>
      </c>
    </row>
    <row r="79" spans="1:18" ht="15.75" thickTop="1">
      <c r="A79" s="686"/>
      <c r="B79" s="734"/>
      <c r="C79" s="687"/>
      <c r="D79" s="687"/>
      <c r="E79" s="647"/>
      <c r="F79" s="646"/>
      <c r="G79" s="646"/>
      <c r="H79" s="646"/>
      <c r="I79" s="688"/>
      <c r="J79" s="646"/>
      <c r="K79" s="646"/>
      <c r="L79" s="646"/>
      <c r="M79" s="646"/>
      <c r="N79" s="689"/>
      <c r="O79" s="646"/>
      <c r="P79" s="646"/>
      <c r="Q79" s="646"/>
      <c r="R79" s="646"/>
    </row>
    <row r="80" spans="1:18" ht="15">
      <c r="A80" s="912"/>
      <c r="B80" s="912"/>
      <c r="C80" s="687"/>
      <c r="D80" s="687"/>
      <c r="E80" s="646"/>
      <c r="F80" s="646"/>
      <c r="G80" s="646"/>
      <c r="H80" s="646"/>
      <c r="I80" s="646"/>
      <c r="J80" s="646"/>
      <c r="K80" s="646"/>
      <c r="L80" s="646"/>
      <c r="M80" s="646"/>
      <c r="N80" s="646"/>
      <c r="O80" s="646"/>
      <c r="P80" s="646"/>
      <c r="Q80" s="646"/>
      <c r="R80" s="646"/>
    </row>
    <row r="81" spans="1:19" ht="18.75">
      <c r="A81" s="690" t="s">
        <v>340</v>
      </c>
      <c r="B81" s="690"/>
      <c r="C81" s="691"/>
      <c r="D81" s="674"/>
      <c r="E81" s="646"/>
      <c r="F81" s="646"/>
      <c r="G81" s="646"/>
      <c r="H81" s="646"/>
      <c r="I81" s="646"/>
      <c r="J81" s="646"/>
      <c r="K81" s="646"/>
      <c r="L81" s="646"/>
      <c r="M81" s="646"/>
      <c r="N81" s="646"/>
      <c r="O81" s="646"/>
      <c r="P81" s="646"/>
      <c r="Q81" s="646"/>
      <c r="R81" s="646"/>
    </row>
    <row r="82" spans="1:19">
      <c r="A82" s="1032"/>
      <c r="B82" s="1032"/>
      <c r="C82" s="1032"/>
      <c r="D82" s="1032"/>
      <c r="E82" s="1032"/>
      <c r="F82" s="1032"/>
      <c r="G82" s="1032"/>
      <c r="H82" s="1032"/>
      <c r="I82" s="1032"/>
      <c r="J82" s="1032"/>
      <c r="K82" s="1032"/>
      <c r="L82" s="1032"/>
      <c r="M82" s="1032"/>
      <c r="N82" s="1032"/>
      <c r="O82" s="1032"/>
      <c r="P82" s="1032"/>
      <c r="Q82" s="676"/>
      <c r="R82" s="676"/>
    </row>
    <row r="83" spans="1:19" ht="15.75" thickBot="1">
      <c r="A83" s="649"/>
      <c r="B83" s="649"/>
      <c r="C83" s="650"/>
      <c r="D83" s="650"/>
      <c r="E83" s="650"/>
      <c r="F83" s="650"/>
      <c r="G83" s="650"/>
      <c r="H83" s="650"/>
      <c r="I83" s="650"/>
      <c r="J83" s="650"/>
      <c r="K83" s="650"/>
      <c r="L83" s="650"/>
      <c r="M83" s="650"/>
      <c r="N83" s="650"/>
      <c r="O83" s="650"/>
      <c r="P83" s="650"/>
      <c r="Q83" s="650"/>
      <c r="R83" s="650"/>
    </row>
    <row r="84" spans="1:19" ht="48.2" customHeight="1" thickTop="1" thickBot="1">
      <c r="A84" s="1033" t="s">
        <v>241</v>
      </c>
      <c r="B84" s="1036" t="s">
        <v>341</v>
      </c>
      <c r="C84" s="1084"/>
      <c r="D84" s="1087" t="s">
        <v>342</v>
      </c>
      <c r="E84" s="1088"/>
      <c r="F84" s="1088"/>
      <c r="G84" s="1088"/>
      <c r="H84" s="1088"/>
      <c r="I84" s="1088"/>
      <c r="J84" s="1088"/>
      <c r="K84" s="1088"/>
      <c r="L84" s="1088"/>
      <c r="M84" s="1088"/>
      <c r="N84" s="1088"/>
      <c r="O84" s="1089"/>
      <c r="P84" s="943" t="s">
        <v>603</v>
      </c>
      <c r="Q84" s="1036" t="s">
        <v>602</v>
      </c>
      <c r="R84" s="1037"/>
    </row>
    <row r="85" spans="1:19" ht="16.5" customHeight="1" thickTop="1" thickBot="1">
      <c r="A85" s="1034"/>
      <c r="B85" s="1085"/>
      <c r="C85" s="1086"/>
      <c r="D85" s="1100" t="s">
        <v>190</v>
      </c>
      <c r="E85" s="1101"/>
      <c r="F85" s="1101"/>
      <c r="G85" s="1101"/>
      <c r="H85" s="1102"/>
      <c r="I85" s="1103" t="s">
        <v>234</v>
      </c>
      <c r="J85" s="1079" t="s">
        <v>222</v>
      </c>
      <c r="K85" s="1106" t="s">
        <v>202</v>
      </c>
      <c r="L85" s="1106" t="s">
        <v>203</v>
      </c>
      <c r="M85" s="1107" t="s">
        <v>233</v>
      </c>
      <c r="N85" s="1106" t="s">
        <v>245</v>
      </c>
      <c r="O85" s="1109" t="s">
        <v>120</v>
      </c>
      <c r="P85" s="944"/>
      <c r="Q85" s="783"/>
      <c r="R85" s="784"/>
    </row>
    <row r="86" spans="1:19" ht="110.25" customHeight="1" thickTop="1" thickBot="1">
      <c r="A86" s="1035"/>
      <c r="B86" s="771" t="s">
        <v>601</v>
      </c>
      <c r="C86" s="771" t="s">
        <v>777</v>
      </c>
      <c r="D86" s="913" t="s">
        <v>192</v>
      </c>
      <c r="E86" s="914" t="s">
        <v>193</v>
      </c>
      <c r="F86" s="922" t="s">
        <v>194</v>
      </c>
      <c r="G86" s="914" t="s">
        <v>196</v>
      </c>
      <c r="H86" s="692" t="s">
        <v>197</v>
      </c>
      <c r="I86" s="1104"/>
      <c r="J86" s="1105"/>
      <c r="K86" s="1080"/>
      <c r="L86" s="1080"/>
      <c r="M86" s="1108"/>
      <c r="N86" s="1080"/>
      <c r="O86" s="1110"/>
      <c r="P86" s="948"/>
      <c r="Q86" s="913" t="s">
        <v>604</v>
      </c>
      <c r="R86" s="919" t="s">
        <v>605</v>
      </c>
    </row>
    <row r="87" spans="1:19" ht="15.75" thickTop="1">
      <c r="A87" s="693" t="s">
        <v>240</v>
      </c>
      <c r="B87" s="694">
        <f>'lokale energieproductie'!B17*IFERROR(SUM(I87:O87)/SUM(D87:O87),0)</f>
        <v>36051.428571428572</v>
      </c>
      <c r="C87" s="694">
        <f>'lokale energieproductie'!B17*IFERROR(SUM(D87:H87)/SUM(D87:O87),0)</f>
        <v>92089.285714285725</v>
      </c>
      <c r="D87" s="705">
        <f>'lokale energieproductie'!C17</f>
        <v>108340.3361344538</v>
      </c>
      <c r="E87" s="705">
        <f>'lokale energieproductie'!D17</f>
        <v>0</v>
      </c>
      <c r="F87" s="705">
        <f>'lokale energieproductie'!E17</f>
        <v>0</v>
      </c>
      <c r="G87" s="705">
        <f>'lokale energieproductie'!F17</f>
        <v>0</v>
      </c>
      <c r="H87" s="705">
        <f>'lokale energieproductie'!G17</f>
        <v>0</v>
      </c>
      <c r="I87" s="705">
        <f>'lokale energieproductie'!I17</f>
        <v>0</v>
      </c>
      <c r="J87" s="705">
        <f>'lokale energieproductie'!J17</f>
        <v>42413.445378151264</v>
      </c>
      <c r="K87" s="705">
        <f>'lokale energieproductie'!M17</f>
        <v>0</v>
      </c>
      <c r="L87" s="705">
        <f>'lokale energieproductie'!N17</f>
        <v>0</v>
      </c>
      <c r="M87" s="705">
        <f>'lokale energieproductie'!H17</f>
        <v>0</v>
      </c>
      <c r="N87" s="705">
        <f>'lokale energieproductie'!K17</f>
        <v>0</v>
      </c>
      <c r="O87" s="705">
        <f>'lokale energieproductie'!L17</f>
        <v>0</v>
      </c>
      <c r="P87" s="1097"/>
      <c r="Q87" s="786">
        <f>D87*EF_CO2_aardgas+E87*EF_VLgas_CO2+'SEAP template'!F87*EF_stookolie_CO2+EF_bruinkool_CO2*'SEAP template'!G87+'SEAP template'!H87*EF_steenkool_CO2+'EF brandstof'!M4*'SEAP template'!M87+'SEAP template'!O87*EF_anderfossiel_CO2</f>
        <v>21884.747899159669</v>
      </c>
      <c r="R87" s="773">
        <v>0</v>
      </c>
    </row>
    <row r="88" spans="1:19" ht="15">
      <c r="A88" s="695" t="s">
        <v>246</v>
      </c>
      <c r="B88" s="694">
        <f>'lokale energieproductie'!B18*IFERROR(SUM(I88:O88)/SUM(D88:O88),0)</f>
        <v>0</v>
      </c>
      <c r="C88" s="694">
        <f>'lokale energieproductie'!B18*IFERROR(SUM(D88:H88)/SUM(D88:O88),0)</f>
        <v>0</v>
      </c>
      <c r="D88" s="705">
        <f>'lokale energieproductie'!C18</f>
        <v>0</v>
      </c>
      <c r="E88" s="705">
        <f>'lokale energieproductie'!D18</f>
        <v>0</v>
      </c>
      <c r="F88" s="705">
        <f>'lokale energieproductie'!E18</f>
        <v>0</v>
      </c>
      <c r="G88" s="705">
        <f>'lokale energieproductie'!F18</f>
        <v>0</v>
      </c>
      <c r="H88" s="705">
        <f>'lokale energieproductie'!G18</f>
        <v>0</v>
      </c>
      <c r="I88" s="705">
        <f>'lokale energieproductie'!I18</f>
        <v>0</v>
      </c>
      <c r="J88" s="705">
        <f>'lokale energieproductie'!J18</f>
        <v>0</v>
      </c>
      <c r="K88" s="705">
        <f>'lokale energieproductie'!M18</f>
        <v>0</v>
      </c>
      <c r="L88" s="705">
        <f>'lokale energieproductie'!N18</f>
        <v>0</v>
      </c>
      <c r="M88" s="705">
        <f>'lokale energieproductie'!H18</f>
        <v>0</v>
      </c>
      <c r="N88" s="705">
        <f>'lokale energieproductie'!K18</f>
        <v>0</v>
      </c>
      <c r="O88" s="705">
        <f>'lokale energieproductie'!L18</f>
        <v>0</v>
      </c>
      <c r="P88" s="1098"/>
      <c r="Q88" s="780">
        <f>D88*EF_CO2_aardgas+E88*EF_VLgas_CO2+'SEAP template'!F88*EF_stookolie_CO2+EF_bruinkool_CO2*'SEAP template'!G88+'SEAP template'!H88*EF_steenkool_CO2+'EF brandstof'!M4*'SEAP template'!M88+'SEAP template'!O88*EF_anderfossiel_CO2</f>
        <v>0</v>
      </c>
      <c r="R88" s="774">
        <v>0</v>
      </c>
    </row>
    <row r="89" spans="1:19" ht="30" thickBot="1">
      <c r="A89" s="681" t="s">
        <v>339</v>
      </c>
      <c r="B89" s="694">
        <f>'lokale energieproductie'!B19*IFERROR(SUM(I89:O89)/SUM(D89:O89),0)</f>
        <v>0</v>
      </c>
      <c r="C89" s="694">
        <f>'lokale energieproductie'!B19*IFERROR(SUM(D89:H89)/SUM(D89:O89),0)</f>
        <v>0</v>
      </c>
      <c r="D89" s="705">
        <f>'lokale energieproductie'!C19</f>
        <v>0</v>
      </c>
      <c r="E89" s="705">
        <f>'lokale energieproductie'!D19</f>
        <v>0</v>
      </c>
      <c r="F89" s="705">
        <f>'lokale energieproductie'!E19</f>
        <v>0</v>
      </c>
      <c r="G89" s="705">
        <f>'lokale energieproductie'!F19</f>
        <v>0</v>
      </c>
      <c r="H89" s="705">
        <f>'lokale energieproductie'!G19</f>
        <v>0</v>
      </c>
      <c r="I89" s="705">
        <f>'lokale energieproductie'!I19</f>
        <v>0</v>
      </c>
      <c r="J89" s="705">
        <f>'lokale energieproductie'!J19</f>
        <v>0</v>
      </c>
      <c r="K89" s="705">
        <f>'lokale energieproductie'!M19</f>
        <v>0</v>
      </c>
      <c r="L89" s="705">
        <f>'lokale energieproductie'!N19</f>
        <v>0</v>
      </c>
      <c r="M89" s="705">
        <f>'lokale energieproductie'!H19</f>
        <v>0</v>
      </c>
      <c r="N89" s="705">
        <f>'lokale energieproductie'!K19</f>
        <v>0</v>
      </c>
      <c r="O89" s="705">
        <f>'lokale energieproductie'!L19</f>
        <v>0</v>
      </c>
      <c r="P89" s="1099"/>
      <c r="Q89" s="781">
        <f>D89*EF_CO2_aardgas+E89*EF_VLgas_CO2+'SEAP template'!F89*EF_stookolie_CO2+EF_bruinkool_CO2*'SEAP template'!G89+'SEAP template'!H89*EF_steenkool_CO2+'EF brandstof'!M4*'SEAP template'!M89+'SEAP template'!O89*EF_anderfossiel_CO2</f>
        <v>0</v>
      </c>
      <c r="R89" s="775">
        <v>0</v>
      </c>
    </row>
    <row r="90" spans="1:19" ht="16.5" thickTop="1" thickBot="1">
      <c r="A90" s="696" t="s">
        <v>109</v>
      </c>
      <c r="B90" s="683">
        <f>SUM(B87:B89)</f>
        <v>36051.428571428572</v>
      </c>
      <c r="C90" s="683">
        <f>SUM(C87:C89)</f>
        <v>92089.285714285725</v>
      </c>
      <c r="D90" s="683">
        <f t="shared" ref="D90:H90" si="12">SUM(D87:D89)</f>
        <v>108340.3361344538</v>
      </c>
      <c r="E90" s="683">
        <f t="shared" si="12"/>
        <v>0</v>
      </c>
      <c r="F90" s="683">
        <f t="shared" si="12"/>
        <v>0</v>
      </c>
      <c r="G90" s="683">
        <f t="shared" si="12"/>
        <v>0</v>
      </c>
      <c r="H90" s="683">
        <f t="shared" si="12"/>
        <v>0</v>
      </c>
      <c r="I90" s="683">
        <f>SUM(I87:I89)</f>
        <v>0</v>
      </c>
      <c r="J90" s="683">
        <f>SUM(J87:J89)</f>
        <v>42413.445378151264</v>
      </c>
      <c r="K90" s="683">
        <f t="shared" ref="K90:L90" si="13">SUM(K87:K89)</f>
        <v>0</v>
      </c>
      <c r="L90" s="683">
        <f t="shared" si="13"/>
        <v>0</v>
      </c>
      <c r="M90" s="683">
        <f>SUM(M87:M89)</f>
        <v>0</v>
      </c>
      <c r="N90" s="683">
        <f>SUM(N87:N89)</f>
        <v>0</v>
      </c>
      <c r="O90" s="683">
        <f>SUM(O87:O89)</f>
        <v>0</v>
      </c>
      <c r="P90" s="683">
        <v>0</v>
      </c>
      <c r="Q90" s="683">
        <f>SUM(Q87:Q89)</f>
        <v>21884.747899159669</v>
      </c>
      <c r="R90" s="787">
        <f>SUM(R87:R89)</f>
        <v>0</v>
      </c>
    </row>
    <row r="91" spans="1:19" ht="15.75" thickTop="1">
      <c r="A91" s="697"/>
      <c r="B91" s="697"/>
      <c r="C91" s="698"/>
      <c r="D91" s="699"/>
      <c r="E91" s="700"/>
      <c r="F91" s="688"/>
      <c r="G91" s="688"/>
      <c r="H91" s="688"/>
      <c r="I91" s="688"/>
      <c r="J91" s="688"/>
      <c r="K91" s="688"/>
      <c r="L91" s="688"/>
      <c r="M91" s="646"/>
      <c r="Q91" s="688"/>
      <c r="R91" s="646"/>
      <c r="S91" s="675"/>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39" bestFit="1" customWidth="1"/>
    <col min="2" max="2" width="11.28515625" style="439" bestFit="1" customWidth="1"/>
    <col min="3" max="3" width="15.42578125" style="439" bestFit="1" customWidth="1"/>
    <col min="4" max="4" width="9.140625" style="439"/>
    <col min="5" max="5" width="16.28515625" style="439" customWidth="1"/>
    <col min="6" max="8" width="9.140625" style="439"/>
    <col min="9" max="9" width="14.28515625" style="439" customWidth="1"/>
    <col min="10" max="10" width="18.5703125" style="439" customWidth="1"/>
    <col min="11" max="11" width="15.140625" style="439" customWidth="1"/>
    <col min="12" max="12" width="15.42578125" style="439" customWidth="1"/>
    <col min="13" max="13" width="17" style="439" customWidth="1"/>
    <col min="14" max="14" width="16.42578125" style="439" customWidth="1"/>
    <col min="15" max="15" width="13.42578125" style="439" customWidth="1"/>
    <col min="16" max="16" width="18.28515625" style="439" customWidth="1"/>
    <col min="17" max="17" width="10.5703125" style="439" bestFit="1" customWidth="1"/>
    <col min="18" max="18" width="9.5703125" style="439" bestFit="1" customWidth="1"/>
    <col min="19" max="16384" width="9.140625" style="439"/>
  </cols>
  <sheetData>
    <row r="1" spans="1:17" ht="15.75">
      <c r="A1" s="1111" t="s">
        <v>534</v>
      </c>
      <c r="B1" s="1112" t="s">
        <v>530</v>
      </c>
      <c r="C1" s="1112"/>
      <c r="D1" s="1112"/>
      <c r="E1" s="1112"/>
      <c r="F1" s="1112"/>
      <c r="G1" s="1112"/>
      <c r="H1" s="1112"/>
      <c r="I1" s="1112"/>
      <c r="J1" s="1112"/>
      <c r="K1" s="1112"/>
      <c r="L1" s="1112"/>
      <c r="M1" s="1112"/>
      <c r="N1" s="1112"/>
      <c r="O1" s="1112"/>
      <c r="P1" s="1113"/>
      <c r="Q1" s="956"/>
    </row>
    <row r="2" spans="1:17">
      <c r="A2" s="1111"/>
      <c r="B2" s="1114" t="s">
        <v>20</v>
      </c>
      <c r="C2" s="1116" t="s">
        <v>189</v>
      </c>
      <c r="D2" s="1118" t="s">
        <v>190</v>
      </c>
      <c r="E2" s="1119"/>
      <c r="F2" s="1119"/>
      <c r="G2" s="1119"/>
      <c r="H2" s="1119"/>
      <c r="I2" s="1119"/>
      <c r="J2" s="1119"/>
      <c r="K2" s="1115"/>
      <c r="L2" s="1118" t="s">
        <v>191</v>
      </c>
      <c r="M2" s="1119"/>
      <c r="N2" s="1119"/>
      <c r="O2" s="1119"/>
      <c r="P2" s="1115"/>
      <c r="Q2" s="956"/>
    </row>
    <row r="3" spans="1:17" ht="45">
      <c r="A3" s="1111"/>
      <c r="B3" s="1115"/>
      <c r="C3" s="1117"/>
      <c r="D3" s="956" t="s">
        <v>192</v>
      </c>
      <c r="E3" s="956" t="s">
        <v>193</v>
      </c>
      <c r="F3" s="956" t="s">
        <v>194</v>
      </c>
      <c r="G3" s="956" t="s">
        <v>195</v>
      </c>
      <c r="H3" s="956" t="s">
        <v>113</v>
      </c>
      <c r="I3" s="956" t="s">
        <v>196</v>
      </c>
      <c r="J3" s="956" t="s">
        <v>197</v>
      </c>
      <c r="K3" s="956" t="s">
        <v>198</v>
      </c>
      <c r="L3" s="956" t="s">
        <v>199</v>
      </c>
      <c r="M3" s="956" t="s">
        <v>200</v>
      </c>
      <c r="N3" s="956" t="s">
        <v>201</v>
      </c>
      <c r="O3" s="956" t="s">
        <v>202</v>
      </c>
      <c r="P3" s="956" t="s">
        <v>203</v>
      </c>
      <c r="Q3" s="956" t="s">
        <v>109</v>
      </c>
    </row>
    <row r="4" spans="1:17">
      <c r="A4" s="440" t="s">
        <v>148</v>
      </c>
      <c r="B4" s="441">
        <f>huishoudens!B8</f>
        <v>79696.648514803557</v>
      </c>
      <c r="C4" s="441">
        <f>huishoudens!C8</f>
        <v>0</v>
      </c>
      <c r="D4" s="441">
        <f>huishoudens!D8</f>
        <v>130108.6742561203</v>
      </c>
      <c r="E4" s="441">
        <f>huishoudens!E8</f>
        <v>5085.0651009019093</v>
      </c>
      <c r="F4" s="441">
        <f>huishoudens!F8</f>
        <v>117867.85277587596</v>
      </c>
      <c r="G4" s="441">
        <f>huishoudens!G8</f>
        <v>0</v>
      </c>
      <c r="H4" s="441">
        <f>huishoudens!H8</f>
        <v>0</v>
      </c>
      <c r="I4" s="441">
        <f>huishoudens!I8</f>
        <v>0</v>
      </c>
      <c r="J4" s="441">
        <f>huishoudens!J8</f>
        <v>605.73693827833586</v>
      </c>
      <c r="K4" s="441">
        <f>huishoudens!K8</f>
        <v>0</v>
      </c>
      <c r="L4" s="441">
        <f>huishoudens!L8</f>
        <v>0</v>
      </c>
      <c r="M4" s="441">
        <f>huishoudens!M8</f>
        <v>0</v>
      </c>
      <c r="N4" s="441">
        <f>huishoudens!N8</f>
        <v>27020.163244092379</v>
      </c>
      <c r="O4" s="441">
        <f>huishoudens!O8</f>
        <v>906.73333333333335</v>
      </c>
      <c r="P4" s="442">
        <f>huishoudens!P8</f>
        <v>2726.5333333333333</v>
      </c>
      <c r="Q4" s="443">
        <f>SUM(B4:P4)</f>
        <v>364017.40749673906</v>
      </c>
    </row>
    <row r="5" spans="1:17">
      <c r="A5" s="440" t="s">
        <v>149</v>
      </c>
      <c r="B5" s="441">
        <f ca="1">tertiair!B16</f>
        <v>63332.33730484749</v>
      </c>
      <c r="C5" s="441">
        <f ca="1">tertiair!C16</f>
        <v>0</v>
      </c>
      <c r="D5" s="441">
        <f ca="1">tertiair!D16</f>
        <v>163900.72110630805</v>
      </c>
      <c r="E5" s="441">
        <f>tertiair!E16</f>
        <v>916.86108091783922</v>
      </c>
      <c r="F5" s="441">
        <f ca="1">tertiair!F16</f>
        <v>9509.2918734243212</v>
      </c>
      <c r="G5" s="441">
        <f>tertiair!G16</f>
        <v>0</v>
      </c>
      <c r="H5" s="441">
        <f>tertiair!H16</f>
        <v>0</v>
      </c>
      <c r="I5" s="441">
        <f>tertiair!I16</f>
        <v>0</v>
      </c>
      <c r="J5" s="441">
        <f>tertiair!J16</f>
        <v>5.6001173174900207E-2</v>
      </c>
      <c r="K5" s="441">
        <f>tertiair!K16</f>
        <v>0</v>
      </c>
      <c r="L5" s="441">
        <f ca="1">tertiair!L16</f>
        <v>0</v>
      </c>
      <c r="M5" s="441">
        <f>tertiair!M16</f>
        <v>0</v>
      </c>
      <c r="N5" s="441">
        <f ca="1">tertiair!N16</f>
        <v>2391.2233157676183</v>
      </c>
      <c r="O5" s="441">
        <f>tertiair!O16</f>
        <v>12.506666666666668</v>
      </c>
      <c r="P5" s="442">
        <f>tertiair!P16</f>
        <v>171.6</v>
      </c>
      <c r="Q5" s="440">
        <f t="shared" ref="Q5:Q14" ca="1" si="0">SUM(B5:P5)</f>
        <v>240234.59734910517</v>
      </c>
    </row>
    <row r="6" spans="1:17">
      <c r="A6" s="440" t="s">
        <v>187</v>
      </c>
      <c r="B6" s="441">
        <f>'openbare verlichting'!B8</f>
        <v>3457.279</v>
      </c>
      <c r="C6" s="441"/>
      <c r="D6" s="441"/>
      <c r="E6" s="441"/>
      <c r="F6" s="441"/>
      <c r="G6" s="441"/>
      <c r="H6" s="441"/>
      <c r="I6" s="441"/>
      <c r="J6" s="441"/>
      <c r="K6" s="441"/>
      <c r="L6" s="441"/>
      <c r="M6" s="441"/>
      <c r="N6" s="441"/>
      <c r="O6" s="441"/>
      <c r="P6" s="442"/>
      <c r="Q6" s="440">
        <f t="shared" si="0"/>
        <v>3457.279</v>
      </c>
    </row>
    <row r="7" spans="1:17">
      <c r="A7" s="440" t="s">
        <v>105</v>
      </c>
      <c r="B7" s="441">
        <f>landbouw!B8</f>
        <v>8700.6679359847058</v>
      </c>
      <c r="C7" s="441">
        <f>landbouw!C8</f>
        <v>128140.71428571429</v>
      </c>
      <c r="D7" s="441">
        <f>landbouw!D8</f>
        <v>0</v>
      </c>
      <c r="E7" s="441">
        <f>landbouw!E8</f>
        <v>282.36527591894571</v>
      </c>
      <c r="F7" s="441">
        <f>landbouw!F8</f>
        <v>32098.452353874502</v>
      </c>
      <c r="G7" s="441">
        <f>landbouw!G8</f>
        <v>0</v>
      </c>
      <c r="H7" s="441">
        <f>landbouw!H8</f>
        <v>0</v>
      </c>
      <c r="I7" s="441">
        <f>landbouw!I8</f>
        <v>0</v>
      </c>
      <c r="J7" s="441">
        <f>landbouw!J8</f>
        <v>2288.1857137912311</v>
      </c>
      <c r="K7" s="441">
        <f>landbouw!K8</f>
        <v>0</v>
      </c>
      <c r="L7" s="441">
        <f>landbouw!L8</f>
        <v>0</v>
      </c>
      <c r="M7" s="441">
        <f>landbouw!M8</f>
        <v>0</v>
      </c>
      <c r="N7" s="441">
        <f>landbouw!N8</f>
        <v>0</v>
      </c>
      <c r="O7" s="441">
        <f>landbouw!O8</f>
        <v>0</v>
      </c>
      <c r="P7" s="442">
        <f>landbouw!P8</f>
        <v>0</v>
      </c>
      <c r="Q7" s="440">
        <f t="shared" si="0"/>
        <v>171510.38556528368</v>
      </c>
    </row>
    <row r="8" spans="1:17">
      <c r="A8" s="440" t="s">
        <v>596</v>
      </c>
      <c r="B8" s="441">
        <f>industrie!B18</f>
        <v>88951.247994410369</v>
      </c>
      <c r="C8" s="441">
        <f>industrie!C18</f>
        <v>0</v>
      </c>
      <c r="D8" s="441">
        <f>industrie!D18</f>
        <v>89164.23376478671</v>
      </c>
      <c r="E8" s="441">
        <f>industrie!E18</f>
        <v>1242.4363784083405</v>
      </c>
      <c r="F8" s="441">
        <f>industrie!F18</f>
        <v>20726.948631358253</v>
      </c>
      <c r="G8" s="441">
        <f>industrie!G18</f>
        <v>0</v>
      </c>
      <c r="H8" s="441">
        <f>industrie!H18</f>
        <v>0</v>
      </c>
      <c r="I8" s="441">
        <f>industrie!I18</f>
        <v>0</v>
      </c>
      <c r="J8" s="441">
        <f>industrie!J18</f>
        <v>65.28870812124228</v>
      </c>
      <c r="K8" s="441">
        <f>industrie!K18</f>
        <v>0</v>
      </c>
      <c r="L8" s="441">
        <f>industrie!L18</f>
        <v>0</v>
      </c>
      <c r="M8" s="441">
        <f>industrie!M18</f>
        <v>0</v>
      </c>
      <c r="N8" s="441">
        <f>industrie!N18</f>
        <v>3176.0443744253075</v>
      </c>
      <c r="O8" s="441">
        <f>industrie!O18</f>
        <v>0</v>
      </c>
      <c r="P8" s="442">
        <f>industrie!P18</f>
        <v>0</v>
      </c>
      <c r="Q8" s="440">
        <f t="shared" si="0"/>
        <v>203326.19985151023</v>
      </c>
    </row>
    <row r="9" spans="1:17" s="446" customFormat="1">
      <c r="A9" s="444" t="s">
        <v>545</v>
      </c>
      <c r="B9" s="445">
        <f>transport!B14</f>
        <v>242.29833853190422</v>
      </c>
      <c r="C9" s="445">
        <f>transport!C14</f>
        <v>0</v>
      </c>
      <c r="D9" s="445">
        <f>transport!D14</f>
        <v>386.9873844509641</v>
      </c>
      <c r="E9" s="445">
        <f>transport!E14</f>
        <v>728.02322386715696</v>
      </c>
      <c r="F9" s="445">
        <f>transport!F14</f>
        <v>0</v>
      </c>
      <c r="G9" s="445">
        <f>transport!G14</f>
        <v>346958.68560052209</v>
      </c>
      <c r="H9" s="445">
        <f>transport!H14</f>
        <v>68010.718260606314</v>
      </c>
      <c r="I9" s="445">
        <f>transport!I14</f>
        <v>0</v>
      </c>
      <c r="J9" s="445">
        <f>transport!J14</f>
        <v>0</v>
      </c>
      <c r="K9" s="445">
        <f>transport!K14</f>
        <v>0</v>
      </c>
      <c r="L9" s="445">
        <f>transport!L14</f>
        <v>0</v>
      </c>
      <c r="M9" s="445">
        <f>transport!M14</f>
        <v>22273.457691564825</v>
      </c>
      <c r="N9" s="445">
        <f>transport!N14</f>
        <v>0</v>
      </c>
      <c r="O9" s="445">
        <f>transport!O14</f>
        <v>0</v>
      </c>
      <c r="P9" s="445">
        <f>transport!P14</f>
        <v>0</v>
      </c>
      <c r="Q9" s="444">
        <f>SUM(B9:P9)</f>
        <v>438600.17049954319</v>
      </c>
    </row>
    <row r="10" spans="1:17">
      <c r="A10" s="440" t="s">
        <v>535</v>
      </c>
      <c r="B10" s="441">
        <f>transport!B54</f>
        <v>24.629674365410857</v>
      </c>
      <c r="C10" s="441">
        <f>transport!C54</f>
        <v>0</v>
      </c>
      <c r="D10" s="441">
        <f>transport!D54</f>
        <v>0</v>
      </c>
      <c r="E10" s="441">
        <f>transport!E54</f>
        <v>0</v>
      </c>
      <c r="F10" s="441">
        <f>transport!F54</f>
        <v>0</v>
      </c>
      <c r="G10" s="441">
        <f>transport!G54</f>
        <v>2313.7134778170303</v>
      </c>
      <c r="H10" s="441">
        <f>transport!H54</f>
        <v>0</v>
      </c>
      <c r="I10" s="441">
        <f>transport!I54</f>
        <v>0</v>
      </c>
      <c r="J10" s="441">
        <f>transport!J54</f>
        <v>0</v>
      </c>
      <c r="K10" s="441">
        <f>transport!K54</f>
        <v>0</v>
      </c>
      <c r="L10" s="441">
        <f>transport!L54</f>
        <v>0</v>
      </c>
      <c r="M10" s="441">
        <f>transport!M54</f>
        <v>133.23981229852876</v>
      </c>
      <c r="N10" s="441">
        <f>transport!N54</f>
        <v>0</v>
      </c>
      <c r="O10" s="441">
        <f>transport!O54</f>
        <v>0</v>
      </c>
      <c r="P10" s="442">
        <f>transport!P54</f>
        <v>0</v>
      </c>
      <c r="Q10" s="440">
        <f t="shared" si="0"/>
        <v>2471.5829644809696</v>
      </c>
    </row>
    <row r="11" spans="1:17">
      <c r="A11" s="440" t="s">
        <v>536</v>
      </c>
      <c r="B11" s="441">
        <f>'Eigen gebouwen'!B15</f>
        <v>0</v>
      </c>
      <c r="C11" s="441">
        <f>'Eigen gebouwen'!C15</f>
        <v>0</v>
      </c>
      <c r="D11" s="441">
        <f>'Eigen gebouwen'!D15</f>
        <v>0</v>
      </c>
      <c r="E11" s="441">
        <f>'Eigen gebouwen'!E15</f>
        <v>0</v>
      </c>
      <c r="F11" s="441">
        <f>'Eigen gebouwen'!F15</f>
        <v>0</v>
      </c>
      <c r="G11" s="441">
        <f>'Eigen gebouwen'!G15</f>
        <v>0</v>
      </c>
      <c r="H11" s="441">
        <f>'Eigen gebouwen'!H15</f>
        <v>0</v>
      </c>
      <c r="I11" s="441">
        <f>'Eigen gebouwen'!I15</f>
        <v>0</v>
      </c>
      <c r="J11" s="441">
        <f>'Eigen gebouwen'!J15</f>
        <v>0</v>
      </c>
      <c r="K11" s="441">
        <f>'Eigen gebouwen'!K15</f>
        <v>0</v>
      </c>
      <c r="L11" s="441">
        <f>'Eigen gebouwen'!L15</f>
        <v>0</v>
      </c>
      <c r="M11" s="441">
        <f>'Eigen gebouwen'!M15</f>
        <v>0</v>
      </c>
      <c r="N11" s="441">
        <f>'Eigen gebouwen'!N15</f>
        <v>0</v>
      </c>
      <c r="O11" s="441">
        <f>'Eigen gebouwen'!O15</f>
        <v>0</v>
      </c>
      <c r="P11" s="442">
        <f>'Eigen gebouwen'!P15</f>
        <v>0</v>
      </c>
      <c r="Q11" s="440">
        <f t="shared" si="0"/>
        <v>0</v>
      </c>
    </row>
    <row r="12" spans="1:17">
      <c r="A12" s="440" t="s">
        <v>537</v>
      </c>
      <c r="B12" s="441">
        <f>'Eigen openbare verlichting'!B15</f>
        <v>0</v>
      </c>
      <c r="C12" s="441"/>
      <c r="D12" s="441"/>
      <c r="E12" s="441"/>
      <c r="F12" s="441"/>
      <c r="G12" s="441"/>
      <c r="H12" s="441"/>
      <c r="I12" s="441"/>
      <c r="J12" s="441"/>
      <c r="K12" s="441"/>
      <c r="L12" s="441"/>
      <c r="M12" s="441"/>
      <c r="N12" s="441"/>
      <c r="O12" s="441"/>
      <c r="P12" s="442"/>
      <c r="Q12" s="440">
        <f t="shared" si="0"/>
        <v>0</v>
      </c>
    </row>
    <row r="13" spans="1:17">
      <c r="A13" s="440" t="s">
        <v>538</v>
      </c>
      <c r="B13" s="441">
        <f>'Eigen vloot'!B27</f>
        <v>0</v>
      </c>
      <c r="C13" s="441">
        <f>'Eigen vloot'!C27</f>
        <v>0</v>
      </c>
      <c r="D13" s="441">
        <f>'Eigen vloot'!D27</f>
        <v>0</v>
      </c>
      <c r="E13" s="441">
        <f>'Eigen vloot'!E27</f>
        <v>0</v>
      </c>
      <c r="F13" s="441">
        <f>'Eigen vloot'!F27</f>
        <v>0</v>
      </c>
      <c r="G13" s="441">
        <f>'Eigen vloot'!G27</f>
        <v>0</v>
      </c>
      <c r="H13" s="441">
        <f>'Eigen vloot'!H27</f>
        <v>0</v>
      </c>
      <c r="I13" s="441">
        <f>'Eigen vloot'!I27</f>
        <v>0</v>
      </c>
      <c r="J13" s="441">
        <f>'Eigen vloot'!J27</f>
        <v>0</v>
      </c>
      <c r="K13" s="441">
        <f>'Eigen vloot'!K27</f>
        <v>0</v>
      </c>
      <c r="L13" s="441">
        <f>'Eigen vloot'!L27</f>
        <v>0</v>
      </c>
      <c r="M13" s="441">
        <f>'Eigen vloot'!M27</f>
        <v>0</v>
      </c>
      <c r="N13" s="441">
        <f>'Eigen vloot'!N27</f>
        <v>0</v>
      </c>
      <c r="O13" s="441">
        <f>'Eigen vloot'!O27</f>
        <v>0</v>
      </c>
      <c r="P13" s="442">
        <f>'Eigen vloot'!P27</f>
        <v>0</v>
      </c>
      <c r="Q13" s="440">
        <f t="shared" si="0"/>
        <v>0</v>
      </c>
    </row>
    <row r="14" spans="1:17">
      <c r="A14" s="447" t="s">
        <v>779</v>
      </c>
      <c r="B14" s="448">
        <f>'SEAP template'!C25</f>
        <v>3139.9423002968861</v>
      </c>
      <c r="C14" s="448"/>
      <c r="D14" s="448">
        <f>'SEAP template'!E25</f>
        <v>8552.6694440609244</v>
      </c>
      <c r="E14" s="448"/>
      <c r="F14" s="448"/>
      <c r="G14" s="448"/>
      <c r="H14" s="448"/>
      <c r="I14" s="448"/>
      <c r="J14" s="448"/>
      <c r="K14" s="448"/>
      <c r="L14" s="448"/>
      <c r="M14" s="448"/>
      <c r="N14" s="448"/>
      <c r="O14" s="448"/>
      <c r="P14" s="449"/>
      <c r="Q14" s="440">
        <f t="shared" si="0"/>
        <v>11692.611744357811</v>
      </c>
    </row>
    <row r="15" spans="1:17" s="450" customFormat="1">
      <c r="A15" s="957" t="s">
        <v>539</v>
      </c>
      <c r="B15" s="905">
        <f ca="1">SUM(B4:B14)</f>
        <v>247545.05106324033</v>
      </c>
      <c r="C15" s="905">
        <f t="shared" ref="C15:Q15" ca="1" si="1">SUM(C4:C14)</f>
        <v>128140.71428571429</v>
      </c>
      <c r="D15" s="905">
        <f t="shared" ca="1" si="1"/>
        <v>392113.28595572693</v>
      </c>
      <c r="E15" s="905">
        <f t="shared" si="1"/>
        <v>8254.7510600141904</v>
      </c>
      <c r="F15" s="905">
        <f t="shared" ca="1" si="1"/>
        <v>180202.54563453305</v>
      </c>
      <c r="G15" s="905">
        <f t="shared" si="1"/>
        <v>349272.39907833911</v>
      </c>
      <c r="H15" s="905">
        <f t="shared" si="1"/>
        <v>68010.718260606314</v>
      </c>
      <c r="I15" s="905">
        <f t="shared" si="1"/>
        <v>0</v>
      </c>
      <c r="J15" s="905">
        <f t="shared" si="1"/>
        <v>2959.2673613639845</v>
      </c>
      <c r="K15" s="905">
        <f t="shared" si="1"/>
        <v>0</v>
      </c>
      <c r="L15" s="905">
        <f t="shared" ca="1" si="1"/>
        <v>0</v>
      </c>
      <c r="M15" s="905">
        <f t="shared" si="1"/>
        <v>22406.697503863354</v>
      </c>
      <c r="N15" s="905">
        <f t="shared" ca="1" si="1"/>
        <v>32587.430934285301</v>
      </c>
      <c r="O15" s="905">
        <f t="shared" si="1"/>
        <v>919.24</v>
      </c>
      <c r="P15" s="905">
        <f t="shared" si="1"/>
        <v>2898.1333333333332</v>
      </c>
      <c r="Q15" s="905">
        <f t="shared" ca="1" si="1"/>
        <v>1435310.2344710198</v>
      </c>
    </row>
    <row r="17" spans="1:17">
      <c r="A17" s="451" t="s">
        <v>540</v>
      </c>
      <c r="B17" s="714">
        <f ca="1">huishoudens!B10</f>
        <v>0.18985386689719377</v>
      </c>
      <c r="C17" s="714">
        <f ca="1">huishoudens!C10</f>
        <v>0.17078684180239098</v>
      </c>
      <c r="D17" s="714">
        <f>huishoudens!D10</f>
        <v>0.20200000000000001</v>
      </c>
      <c r="E17" s="714">
        <f>huishoudens!E10</f>
        <v>0.22700000000000001</v>
      </c>
      <c r="F17" s="714">
        <f>huishoudens!F10</f>
        <v>0.26700000000000002</v>
      </c>
      <c r="G17" s="714">
        <f>huishoudens!G10</f>
        <v>0.26700000000000002</v>
      </c>
      <c r="H17" s="714">
        <f>huishoudens!H10</f>
        <v>0.249</v>
      </c>
      <c r="I17" s="714">
        <f>huishoudens!I10</f>
        <v>0.35099999999999998</v>
      </c>
      <c r="J17" s="714">
        <f>huishoudens!J10</f>
        <v>0.35399999999999998</v>
      </c>
      <c r="K17" s="714">
        <f>huishoudens!K10</f>
        <v>0.26400000000000001</v>
      </c>
      <c r="L17" s="714">
        <f>huishoudens!L10</f>
        <v>0</v>
      </c>
      <c r="M17" s="714">
        <f>huishoudens!M10</f>
        <v>0</v>
      </c>
      <c r="N17" s="714">
        <f>huishoudens!N10</f>
        <v>0</v>
      </c>
      <c r="O17" s="714">
        <f>huishoudens!O10</f>
        <v>0</v>
      </c>
      <c r="P17" s="714">
        <f>huishoudens!P10</f>
        <v>0</v>
      </c>
    </row>
    <row r="18" spans="1:17" ht="15.75" customHeight="1"/>
    <row r="19" spans="1:17" ht="15" customHeight="1">
      <c r="A19" s="1111" t="s">
        <v>542</v>
      </c>
      <c r="B19" s="1112" t="s">
        <v>541</v>
      </c>
      <c r="C19" s="1112"/>
      <c r="D19" s="1112"/>
      <c r="E19" s="1112"/>
      <c r="F19" s="1112"/>
      <c r="G19" s="1112"/>
      <c r="H19" s="1112"/>
      <c r="I19" s="1112"/>
      <c r="J19" s="1112"/>
      <c r="K19" s="1112"/>
      <c r="L19" s="1112"/>
      <c r="M19" s="1112"/>
      <c r="N19" s="1112"/>
      <c r="O19" s="1112"/>
      <c r="P19" s="1113"/>
      <c r="Q19" s="956"/>
    </row>
    <row r="20" spans="1:17" ht="15" customHeight="1">
      <c r="A20" s="1111"/>
      <c r="B20" s="1114" t="s">
        <v>20</v>
      </c>
      <c r="C20" s="1116" t="s">
        <v>189</v>
      </c>
      <c r="D20" s="1118" t="s">
        <v>190</v>
      </c>
      <c r="E20" s="1119"/>
      <c r="F20" s="1119"/>
      <c r="G20" s="1119"/>
      <c r="H20" s="1119"/>
      <c r="I20" s="1119"/>
      <c r="J20" s="1119"/>
      <c r="K20" s="1115"/>
      <c r="L20" s="1118" t="s">
        <v>191</v>
      </c>
      <c r="M20" s="1119"/>
      <c r="N20" s="1119"/>
      <c r="O20" s="1119"/>
      <c r="P20" s="1115"/>
      <c r="Q20" s="956"/>
    </row>
    <row r="21" spans="1:17" ht="45">
      <c r="A21" s="1111"/>
      <c r="B21" s="1115"/>
      <c r="C21" s="1117"/>
      <c r="D21" s="956" t="s">
        <v>192</v>
      </c>
      <c r="E21" s="956" t="s">
        <v>193</v>
      </c>
      <c r="F21" s="956" t="s">
        <v>194</v>
      </c>
      <c r="G21" s="956" t="s">
        <v>195</v>
      </c>
      <c r="H21" s="956" t="s">
        <v>113</v>
      </c>
      <c r="I21" s="956" t="s">
        <v>196</v>
      </c>
      <c r="J21" s="956" t="s">
        <v>197</v>
      </c>
      <c r="K21" s="956" t="s">
        <v>198</v>
      </c>
      <c r="L21" s="956" t="s">
        <v>199</v>
      </c>
      <c r="M21" s="956" t="s">
        <v>200</v>
      </c>
      <c r="N21" s="956" t="s">
        <v>201</v>
      </c>
      <c r="O21" s="956" t="s">
        <v>202</v>
      </c>
      <c r="P21" s="956" t="s">
        <v>203</v>
      </c>
      <c r="Q21" s="956" t="s">
        <v>109</v>
      </c>
    </row>
    <row r="22" spans="1:17">
      <c r="A22" s="440" t="s">
        <v>148</v>
      </c>
      <c r="B22" s="441">
        <f t="shared" ref="B22:B32" ca="1" si="2">B4*$B$17</f>
        <v>15130.71689928195</v>
      </c>
      <c r="C22" s="441">
        <f t="shared" ref="C22:C32" ca="1" si="3">C4*$C$17</f>
        <v>0</v>
      </c>
      <c r="D22" s="441">
        <f t="shared" ref="D22:D32" si="4">D4*$D$17</f>
        <v>26281.952199736301</v>
      </c>
      <c r="E22" s="441">
        <f t="shared" ref="E22:E32" si="5">E4*$E$17</f>
        <v>1154.3097779047334</v>
      </c>
      <c r="F22" s="441">
        <f t="shared" ref="F22:F32" si="6">F4*$F$17</f>
        <v>31470.716691158883</v>
      </c>
      <c r="G22" s="441">
        <f t="shared" ref="G22:G32" si="7">G4*$G$17</f>
        <v>0</v>
      </c>
      <c r="H22" s="441">
        <f t="shared" ref="H22:H32" si="8">H4*$H$17</f>
        <v>0</v>
      </c>
      <c r="I22" s="441">
        <f t="shared" ref="I22:I32" si="9">I4*$I$17</f>
        <v>0</v>
      </c>
      <c r="J22" s="441">
        <f t="shared" ref="J22:J32" si="10">J4*$J$17</f>
        <v>214.43087615053088</v>
      </c>
      <c r="K22" s="441">
        <f t="shared" ref="K22:K32" si="11">K4*$K$17</f>
        <v>0</v>
      </c>
      <c r="L22" s="441">
        <f t="shared" ref="L22:L32" si="12">L4*$L$17</f>
        <v>0</v>
      </c>
      <c r="M22" s="441">
        <f t="shared" ref="M22:M32" si="13">M4*$M$17</f>
        <v>0</v>
      </c>
      <c r="N22" s="441">
        <f t="shared" ref="N22:N32" si="14">N4*$N$17</f>
        <v>0</v>
      </c>
      <c r="O22" s="441">
        <f t="shared" ref="O22:O32" si="15">O4*$O$17</f>
        <v>0</v>
      </c>
      <c r="P22" s="452">
        <f t="shared" ref="P22:P32" si="16">P4*$P$17</f>
        <v>0</v>
      </c>
      <c r="Q22" s="443">
        <f ca="1">SUM(B22:P22)</f>
        <v>74252.126444232403</v>
      </c>
    </row>
    <row r="23" spans="1:17">
      <c r="A23" s="440" t="s">
        <v>149</v>
      </c>
      <c r="B23" s="441">
        <f t="shared" ca="1" si="2"/>
        <v>12023.889136962694</v>
      </c>
      <c r="C23" s="441">
        <f t="shared" ca="1" si="3"/>
        <v>0</v>
      </c>
      <c r="D23" s="441">
        <f t="shared" ca="1" si="4"/>
        <v>33107.945663474231</v>
      </c>
      <c r="E23" s="441">
        <f t="shared" si="5"/>
        <v>208.1274653683495</v>
      </c>
      <c r="F23" s="441">
        <f t="shared" ca="1" si="6"/>
        <v>2538.9809302042941</v>
      </c>
      <c r="G23" s="441">
        <f t="shared" si="7"/>
        <v>0</v>
      </c>
      <c r="H23" s="441">
        <f t="shared" si="8"/>
        <v>0</v>
      </c>
      <c r="I23" s="441">
        <f t="shared" si="9"/>
        <v>0</v>
      </c>
      <c r="J23" s="441">
        <f t="shared" si="10"/>
        <v>1.9824415303914673E-2</v>
      </c>
      <c r="K23" s="441">
        <f t="shared" si="11"/>
        <v>0</v>
      </c>
      <c r="L23" s="441">
        <f t="shared" ca="1" si="12"/>
        <v>0</v>
      </c>
      <c r="M23" s="441">
        <f t="shared" si="13"/>
        <v>0</v>
      </c>
      <c r="N23" s="441">
        <f t="shared" ca="1" si="14"/>
        <v>0</v>
      </c>
      <c r="O23" s="441">
        <f t="shared" si="15"/>
        <v>0</v>
      </c>
      <c r="P23" s="442">
        <f t="shared" si="16"/>
        <v>0</v>
      </c>
      <c r="Q23" s="440">
        <f t="shared" ref="Q23:Q32" ca="1" si="17">SUM(B23:P23)</f>
        <v>47878.963020424875</v>
      </c>
    </row>
    <row r="24" spans="1:17">
      <c r="A24" s="440" t="s">
        <v>187</v>
      </c>
      <c r="B24" s="441">
        <f t="shared" ca="1" si="2"/>
        <v>656.37778709246322</v>
      </c>
      <c r="C24" s="441">
        <f t="shared" ca="1" si="3"/>
        <v>0</v>
      </c>
      <c r="D24" s="441">
        <f t="shared" si="4"/>
        <v>0</v>
      </c>
      <c r="E24" s="441">
        <f t="shared" si="5"/>
        <v>0</v>
      </c>
      <c r="F24" s="441">
        <f t="shared" si="6"/>
        <v>0</v>
      </c>
      <c r="G24" s="441">
        <f t="shared" si="7"/>
        <v>0</v>
      </c>
      <c r="H24" s="441">
        <f t="shared" si="8"/>
        <v>0</v>
      </c>
      <c r="I24" s="441">
        <f t="shared" si="9"/>
        <v>0</v>
      </c>
      <c r="J24" s="441">
        <f t="shared" si="10"/>
        <v>0</v>
      </c>
      <c r="K24" s="441">
        <f t="shared" si="11"/>
        <v>0</v>
      </c>
      <c r="L24" s="441">
        <f t="shared" si="12"/>
        <v>0</v>
      </c>
      <c r="M24" s="441">
        <f t="shared" si="13"/>
        <v>0</v>
      </c>
      <c r="N24" s="441">
        <f t="shared" si="14"/>
        <v>0</v>
      </c>
      <c r="O24" s="441">
        <f t="shared" si="15"/>
        <v>0</v>
      </c>
      <c r="P24" s="442">
        <f t="shared" si="16"/>
        <v>0</v>
      </c>
      <c r="Q24" s="440">
        <f t="shared" ca="1" si="17"/>
        <v>656.37778709246322</v>
      </c>
    </row>
    <row r="25" spans="1:17">
      <c r="A25" s="440" t="s">
        <v>105</v>
      </c>
      <c r="B25" s="441">
        <f t="shared" ca="1" si="2"/>
        <v>1651.8554522351219</v>
      </c>
      <c r="C25" s="441">
        <f t="shared" ca="1" si="3"/>
        <v>21884.747899159669</v>
      </c>
      <c r="D25" s="441">
        <f t="shared" si="4"/>
        <v>0</v>
      </c>
      <c r="E25" s="441">
        <f t="shared" si="5"/>
        <v>64.096917633600683</v>
      </c>
      <c r="F25" s="441">
        <f t="shared" si="6"/>
        <v>8570.286778484493</v>
      </c>
      <c r="G25" s="441">
        <f t="shared" si="7"/>
        <v>0</v>
      </c>
      <c r="H25" s="441">
        <f t="shared" si="8"/>
        <v>0</v>
      </c>
      <c r="I25" s="441">
        <f t="shared" si="9"/>
        <v>0</v>
      </c>
      <c r="J25" s="441">
        <f t="shared" si="10"/>
        <v>810.01774268209579</v>
      </c>
      <c r="K25" s="441">
        <f t="shared" si="11"/>
        <v>0</v>
      </c>
      <c r="L25" s="441">
        <f t="shared" si="12"/>
        <v>0</v>
      </c>
      <c r="M25" s="441">
        <f t="shared" si="13"/>
        <v>0</v>
      </c>
      <c r="N25" s="441">
        <f t="shared" si="14"/>
        <v>0</v>
      </c>
      <c r="O25" s="441">
        <f t="shared" si="15"/>
        <v>0</v>
      </c>
      <c r="P25" s="442">
        <f t="shared" si="16"/>
        <v>0</v>
      </c>
      <c r="Q25" s="440">
        <f t="shared" ca="1" si="17"/>
        <v>32981.00479019498</v>
      </c>
    </row>
    <row r="26" spans="1:17">
      <c r="A26" s="440" t="s">
        <v>596</v>
      </c>
      <c r="B26" s="441">
        <f t="shared" ca="1" si="2"/>
        <v>16887.738397070061</v>
      </c>
      <c r="C26" s="441">
        <f t="shared" ca="1" si="3"/>
        <v>0</v>
      </c>
      <c r="D26" s="441">
        <f t="shared" si="4"/>
        <v>18011.175220486915</v>
      </c>
      <c r="E26" s="441">
        <f t="shared" si="5"/>
        <v>282.0330578986933</v>
      </c>
      <c r="F26" s="441">
        <f t="shared" si="6"/>
        <v>5534.0952845726542</v>
      </c>
      <c r="G26" s="441">
        <f t="shared" si="7"/>
        <v>0</v>
      </c>
      <c r="H26" s="441">
        <f t="shared" si="8"/>
        <v>0</v>
      </c>
      <c r="I26" s="441">
        <f t="shared" si="9"/>
        <v>0</v>
      </c>
      <c r="J26" s="441">
        <f t="shared" si="10"/>
        <v>23.112202674919764</v>
      </c>
      <c r="K26" s="441">
        <f t="shared" si="11"/>
        <v>0</v>
      </c>
      <c r="L26" s="441">
        <f t="shared" si="12"/>
        <v>0</v>
      </c>
      <c r="M26" s="441">
        <f t="shared" si="13"/>
        <v>0</v>
      </c>
      <c r="N26" s="441">
        <f t="shared" si="14"/>
        <v>0</v>
      </c>
      <c r="O26" s="441">
        <f t="shared" si="15"/>
        <v>0</v>
      </c>
      <c r="P26" s="442">
        <f t="shared" si="16"/>
        <v>0</v>
      </c>
      <c r="Q26" s="440">
        <f t="shared" ca="1" si="17"/>
        <v>40738.154162703242</v>
      </c>
    </row>
    <row r="27" spans="1:17" s="446" customFormat="1">
      <c r="A27" s="444" t="s">
        <v>545</v>
      </c>
      <c r="B27" s="708">
        <f t="shared" ca="1" si="2"/>
        <v>46.001276513047344</v>
      </c>
      <c r="C27" s="445">
        <f t="shared" ca="1" si="3"/>
        <v>0</v>
      </c>
      <c r="D27" s="445">
        <f t="shared" si="4"/>
        <v>78.171451659094757</v>
      </c>
      <c r="E27" s="445">
        <f t="shared" si="5"/>
        <v>165.26127181784463</v>
      </c>
      <c r="F27" s="445">
        <f t="shared" si="6"/>
        <v>0</v>
      </c>
      <c r="G27" s="445">
        <f t="shared" si="7"/>
        <v>92637.969055339403</v>
      </c>
      <c r="H27" s="445">
        <f t="shared" si="8"/>
        <v>16934.668846890971</v>
      </c>
      <c r="I27" s="445">
        <f t="shared" si="9"/>
        <v>0</v>
      </c>
      <c r="J27" s="445">
        <f t="shared" si="10"/>
        <v>0</v>
      </c>
      <c r="K27" s="445">
        <f t="shared" si="11"/>
        <v>0</v>
      </c>
      <c r="L27" s="445">
        <f t="shared" si="12"/>
        <v>0</v>
      </c>
      <c r="M27" s="445">
        <f t="shared" si="13"/>
        <v>0</v>
      </c>
      <c r="N27" s="445">
        <f t="shared" si="14"/>
        <v>0</v>
      </c>
      <c r="O27" s="445">
        <f t="shared" si="15"/>
        <v>0</v>
      </c>
      <c r="P27" s="453">
        <f t="shared" si="16"/>
        <v>0</v>
      </c>
      <c r="Q27" s="444">
        <f t="shared" ca="1" si="17"/>
        <v>109862.07190222036</v>
      </c>
    </row>
    <row r="28" spans="1:17">
      <c r="A28" s="440" t="s">
        <v>535</v>
      </c>
      <c r="B28" s="441">
        <f t="shared" ca="1" si="2"/>
        <v>4.6760389186919387</v>
      </c>
      <c r="C28" s="441">
        <f t="shared" ca="1" si="3"/>
        <v>0</v>
      </c>
      <c r="D28" s="441">
        <f t="shared" si="4"/>
        <v>0</v>
      </c>
      <c r="E28" s="441">
        <f t="shared" si="5"/>
        <v>0</v>
      </c>
      <c r="F28" s="441">
        <f t="shared" si="6"/>
        <v>0</v>
      </c>
      <c r="G28" s="441">
        <f t="shared" si="7"/>
        <v>617.76149857714711</v>
      </c>
      <c r="H28" s="441">
        <f t="shared" si="8"/>
        <v>0</v>
      </c>
      <c r="I28" s="441">
        <f t="shared" si="9"/>
        <v>0</v>
      </c>
      <c r="J28" s="441">
        <f t="shared" si="10"/>
        <v>0</v>
      </c>
      <c r="K28" s="441">
        <f t="shared" si="11"/>
        <v>0</v>
      </c>
      <c r="L28" s="441">
        <f t="shared" si="12"/>
        <v>0</v>
      </c>
      <c r="M28" s="441">
        <f t="shared" si="13"/>
        <v>0</v>
      </c>
      <c r="N28" s="441">
        <f t="shared" si="14"/>
        <v>0</v>
      </c>
      <c r="O28" s="441">
        <f t="shared" si="15"/>
        <v>0</v>
      </c>
      <c r="P28" s="442">
        <f t="shared" si="16"/>
        <v>0</v>
      </c>
      <c r="Q28" s="440">
        <f t="shared" ca="1" si="17"/>
        <v>622.43753749583902</v>
      </c>
    </row>
    <row r="29" spans="1:17">
      <c r="A29" s="440" t="s">
        <v>536</v>
      </c>
      <c r="B29" s="441">
        <f t="shared" ca="1" si="2"/>
        <v>0</v>
      </c>
      <c r="C29" s="441">
        <f t="shared" ca="1" si="3"/>
        <v>0</v>
      </c>
      <c r="D29" s="441">
        <f t="shared" si="4"/>
        <v>0</v>
      </c>
      <c r="E29" s="441">
        <f t="shared" si="5"/>
        <v>0</v>
      </c>
      <c r="F29" s="441">
        <f t="shared" si="6"/>
        <v>0</v>
      </c>
      <c r="G29" s="441">
        <f t="shared" si="7"/>
        <v>0</v>
      </c>
      <c r="H29" s="441">
        <f t="shared" si="8"/>
        <v>0</v>
      </c>
      <c r="I29" s="441">
        <f t="shared" si="9"/>
        <v>0</v>
      </c>
      <c r="J29" s="441">
        <f t="shared" si="10"/>
        <v>0</v>
      </c>
      <c r="K29" s="441">
        <f t="shared" si="11"/>
        <v>0</v>
      </c>
      <c r="L29" s="441">
        <f t="shared" si="12"/>
        <v>0</v>
      </c>
      <c r="M29" s="441">
        <f t="shared" si="13"/>
        <v>0</v>
      </c>
      <c r="N29" s="441">
        <f t="shared" si="14"/>
        <v>0</v>
      </c>
      <c r="O29" s="441">
        <f t="shared" si="15"/>
        <v>0</v>
      </c>
      <c r="P29" s="442">
        <f t="shared" si="16"/>
        <v>0</v>
      </c>
      <c r="Q29" s="440">
        <f t="shared" ca="1" si="17"/>
        <v>0</v>
      </c>
    </row>
    <row r="30" spans="1:17">
      <c r="A30" s="440" t="s">
        <v>537</v>
      </c>
      <c r="B30" s="441">
        <f t="shared" ca="1" si="2"/>
        <v>0</v>
      </c>
      <c r="C30" s="441">
        <f t="shared" ca="1" si="3"/>
        <v>0</v>
      </c>
      <c r="D30" s="441">
        <f t="shared" si="4"/>
        <v>0</v>
      </c>
      <c r="E30" s="441">
        <f t="shared" si="5"/>
        <v>0</v>
      </c>
      <c r="F30" s="441">
        <f t="shared" si="6"/>
        <v>0</v>
      </c>
      <c r="G30" s="441">
        <f t="shared" si="7"/>
        <v>0</v>
      </c>
      <c r="H30" s="441">
        <f t="shared" si="8"/>
        <v>0</v>
      </c>
      <c r="I30" s="441">
        <f t="shared" si="9"/>
        <v>0</v>
      </c>
      <c r="J30" s="441">
        <f t="shared" si="10"/>
        <v>0</v>
      </c>
      <c r="K30" s="441">
        <f t="shared" si="11"/>
        <v>0</v>
      </c>
      <c r="L30" s="441">
        <f t="shared" si="12"/>
        <v>0</v>
      </c>
      <c r="M30" s="441">
        <f t="shared" si="13"/>
        <v>0</v>
      </c>
      <c r="N30" s="441">
        <f t="shared" si="14"/>
        <v>0</v>
      </c>
      <c r="O30" s="441">
        <f t="shared" si="15"/>
        <v>0</v>
      </c>
      <c r="P30" s="442">
        <f t="shared" si="16"/>
        <v>0</v>
      </c>
      <c r="Q30" s="440">
        <f t="shared" ca="1" si="17"/>
        <v>0</v>
      </c>
    </row>
    <row r="31" spans="1:17">
      <c r="A31" s="440" t="s">
        <v>538</v>
      </c>
      <c r="B31" s="441">
        <f t="shared" ca="1" si="2"/>
        <v>0</v>
      </c>
      <c r="C31" s="441">
        <f t="shared" ca="1" si="3"/>
        <v>0</v>
      </c>
      <c r="D31" s="441">
        <f t="shared" si="4"/>
        <v>0</v>
      </c>
      <c r="E31" s="441">
        <f t="shared" si="5"/>
        <v>0</v>
      </c>
      <c r="F31" s="441">
        <f t="shared" si="6"/>
        <v>0</v>
      </c>
      <c r="G31" s="441">
        <f t="shared" si="7"/>
        <v>0</v>
      </c>
      <c r="H31" s="441">
        <f t="shared" si="8"/>
        <v>0</v>
      </c>
      <c r="I31" s="441">
        <f t="shared" si="9"/>
        <v>0</v>
      </c>
      <c r="J31" s="441">
        <f t="shared" si="10"/>
        <v>0</v>
      </c>
      <c r="K31" s="441">
        <f t="shared" si="11"/>
        <v>0</v>
      </c>
      <c r="L31" s="441">
        <f t="shared" si="12"/>
        <v>0</v>
      </c>
      <c r="M31" s="441">
        <f t="shared" si="13"/>
        <v>0</v>
      </c>
      <c r="N31" s="441">
        <f t="shared" si="14"/>
        <v>0</v>
      </c>
      <c r="O31" s="441">
        <f t="shared" si="15"/>
        <v>0</v>
      </c>
      <c r="P31" s="442">
        <f t="shared" si="16"/>
        <v>0</v>
      </c>
      <c r="Q31" s="440">
        <f t="shared" ca="1" si="17"/>
        <v>0</v>
      </c>
    </row>
    <row r="32" spans="1:17">
      <c r="A32" s="440" t="s">
        <v>779</v>
      </c>
      <c r="B32" s="441">
        <f t="shared" ca="1" si="2"/>
        <v>596.1301875454335</v>
      </c>
      <c r="C32" s="441">
        <f t="shared" ca="1" si="3"/>
        <v>0</v>
      </c>
      <c r="D32" s="441">
        <f t="shared" si="4"/>
        <v>1727.6392277003069</v>
      </c>
      <c r="E32" s="441">
        <f t="shared" si="5"/>
        <v>0</v>
      </c>
      <c r="F32" s="441">
        <f t="shared" si="6"/>
        <v>0</v>
      </c>
      <c r="G32" s="441">
        <f t="shared" si="7"/>
        <v>0</v>
      </c>
      <c r="H32" s="441">
        <f t="shared" si="8"/>
        <v>0</v>
      </c>
      <c r="I32" s="441">
        <f t="shared" si="9"/>
        <v>0</v>
      </c>
      <c r="J32" s="441">
        <f t="shared" si="10"/>
        <v>0</v>
      </c>
      <c r="K32" s="441">
        <f t="shared" si="11"/>
        <v>0</v>
      </c>
      <c r="L32" s="441">
        <f t="shared" si="12"/>
        <v>0</v>
      </c>
      <c r="M32" s="441">
        <f t="shared" si="13"/>
        <v>0</v>
      </c>
      <c r="N32" s="441">
        <f t="shared" si="14"/>
        <v>0</v>
      </c>
      <c r="O32" s="441">
        <f t="shared" si="15"/>
        <v>0</v>
      </c>
      <c r="P32" s="442">
        <f t="shared" si="16"/>
        <v>0</v>
      </c>
      <c r="Q32" s="440">
        <f t="shared" ca="1" si="17"/>
        <v>2323.7694152457407</v>
      </c>
    </row>
    <row r="33" spans="1:17" s="450" customFormat="1">
      <c r="A33" s="957" t="s">
        <v>539</v>
      </c>
      <c r="B33" s="905">
        <f ca="1">SUM(B22:B32)</f>
        <v>46997.385175619456</v>
      </c>
      <c r="C33" s="905">
        <f t="shared" ref="C33:Q33" ca="1" si="18">SUM(C22:C32)</f>
        <v>21884.747899159669</v>
      </c>
      <c r="D33" s="905">
        <f t="shared" ca="1" si="18"/>
        <v>79206.883763056845</v>
      </c>
      <c r="E33" s="905">
        <f t="shared" si="18"/>
        <v>1873.8284906232213</v>
      </c>
      <c r="F33" s="905">
        <f t="shared" ca="1" si="18"/>
        <v>48114.079684420329</v>
      </c>
      <c r="G33" s="905">
        <f t="shared" si="18"/>
        <v>93255.730553916554</v>
      </c>
      <c r="H33" s="905">
        <f t="shared" si="18"/>
        <v>16934.668846890971</v>
      </c>
      <c r="I33" s="905">
        <f t="shared" si="18"/>
        <v>0</v>
      </c>
      <c r="J33" s="905">
        <f t="shared" si="18"/>
        <v>1047.5806459228502</v>
      </c>
      <c r="K33" s="905">
        <f t="shared" si="18"/>
        <v>0</v>
      </c>
      <c r="L33" s="905">
        <f t="shared" ca="1" si="18"/>
        <v>0</v>
      </c>
      <c r="M33" s="905">
        <f t="shared" si="18"/>
        <v>0</v>
      </c>
      <c r="N33" s="905">
        <f t="shared" ca="1" si="18"/>
        <v>0</v>
      </c>
      <c r="O33" s="905">
        <f t="shared" si="18"/>
        <v>0</v>
      </c>
      <c r="P33" s="905">
        <f t="shared" si="18"/>
        <v>0</v>
      </c>
      <c r="Q33" s="905">
        <f t="shared" ca="1" si="18"/>
        <v>309314.90505960991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codeName="Sheet24">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K8" sqref="K8"/>
    </sheetView>
  </sheetViews>
  <sheetFormatPr defaultColWidth="9.140625" defaultRowHeight="15"/>
  <cols>
    <col min="1" max="1" width="51.42578125" style="439" customWidth="1"/>
    <col min="2" max="8" width="26.28515625" style="439" customWidth="1"/>
    <col min="9" max="9" width="32" style="439" customWidth="1"/>
    <col min="10" max="11" width="26.28515625" style="439" customWidth="1"/>
    <col min="12" max="12" width="23.7109375" style="439" customWidth="1"/>
    <col min="13" max="15" width="26.28515625" style="439" customWidth="1"/>
    <col min="16" max="16" width="42" style="439" customWidth="1"/>
    <col min="17" max="17" width="26.28515625" style="439" customWidth="1"/>
    <col min="18" max="18" width="9.5703125" style="439" bestFit="1" customWidth="1"/>
    <col min="19" max="16384" width="9.140625" style="439"/>
  </cols>
  <sheetData>
    <row r="1" spans="1:17" s="864" customFormat="1" ht="21">
      <c r="A1" s="1120" t="s">
        <v>534</v>
      </c>
      <c r="B1" s="1121" t="s">
        <v>756</v>
      </c>
      <c r="C1" s="1121"/>
      <c r="D1" s="1121"/>
      <c r="E1" s="1121"/>
      <c r="F1" s="1121"/>
      <c r="G1" s="1121"/>
      <c r="H1" s="1121"/>
      <c r="I1" s="1121"/>
      <c r="J1" s="1121"/>
      <c r="K1" s="1121"/>
      <c r="L1" s="1121"/>
      <c r="M1" s="1121"/>
      <c r="N1" s="1121"/>
      <c r="O1" s="1121"/>
      <c r="P1" s="1122"/>
      <c r="Q1" s="897"/>
    </row>
    <row r="2" spans="1:17" s="864" customFormat="1" ht="21">
      <c r="A2" s="1120"/>
      <c r="B2" s="1123" t="s">
        <v>20</v>
      </c>
      <c r="C2" s="1125" t="s">
        <v>189</v>
      </c>
      <c r="D2" s="1127" t="s">
        <v>190</v>
      </c>
      <c r="E2" s="1128"/>
      <c r="F2" s="1128"/>
      <c r="G2" s="1128"/>
      <c r="H2" s="1128"/>
      <c r="I2" s="1128"/>
      <c r="J2" s="1128"/>
      <c r="K2" s="1124"/>
      <c r="L2" s="1127" t="s">
        <v>191</v>
      </c>
      <c r="M2" s="1128"/>
      <c r="N2" s="1128"/>
      <c r="O2" s="1128"/>
      <c r="P2" s="1124"/>
      <c r="Q2" s="897"/>
    </row>
    <row r="3" spans="1:17" s="864" customFormat="1" ht="42">
      <c r="A3" s="1120"/>
      <c r="B3" s="1124"/>
      <c r="C3" s="1126"/>
      <c r="D3" s="898" t="s">
        <v>192</v>
      </c>
      <c r="E3" s="898" t="s">
        <v>193</v>
      </c>
      <c r="F3" s="898" t="s">
        <v>194</v>
      </c>
      <c r="G3" s="898" t="s">
        <v>195</v>
      </c>
      <c r="H3" s="898" t="s">
        <v>113</v>
      </c>
      <c r="I3" s="898" t="s">
        <v>196</v>
      </c>
      <c r="J3" s="898" t="s">
        <v>197</v>
      </c>
      <c r="K3" s="898" t="s">
        <v>198</v>
      </c>
      <c r="L3" s="898" t="s">
        <v>199</v>
      </c>
      <c r="M3" s="898" t="s">
        <v>200</v>
      </c>
      <c r="N3" s="898" t="s">
        <v>201</v>
      </c>
      <c r="O3" s="898" t="s">
        <v>202</v>
      </c>
      <c r="P3" s="898" t="s">
        <v>203</v>
      </c>
      <c r="Q3" s="897" t="s">
        <v>109</v>
      </c>
    </row>
    <row r="4" spans="1:17" ht="124.15" customHeight="1">
      <c r="A4" s="889" t="s">
        <v>148</v>
      </c>
      <c r="B4" s="890" t="s">
        <v>740</v>
      </c>
      <c r="C4" s="891" t="s">
        <v>760</v>
      </c>
      <c r="D4" s="892" t="s">
        <v>741</v>
      </c>
      <c r="E4" s="893" t="s">
        <v>739</v>
      </c>
      <c r="F4" s="893" t="s">
        <v>743</v>
      </c>
      <c r="G4" s="894" t="s">
        <v>762</v>
      </c>
      <c r="H4" s="894" t="s">
        <v>762</v>
      </c>
      <c r="I4" s="894" t="s">
        <v>762</v>
      </c>
      <c r="J4" s="893" t="s">
        <v>742</v>
      </c>
      <c r="K4" s="894" t="s">
        <v>762</v>
      </c>
      <c r="L4" s="894" t="s">
        <v>762</v>
      </c>
      <c r="M4" s="894" t="s">
        <v>762</v>
      </c>
      <c r="N4" s="893" t="s">
        <v>744</v>
      </c>
      <c r="O4" s="895" t="s">
        <v>745</v>
      </c>
      <c r="P4" s="896" t="s">
        <v>746</v>
      </c>
      <c r="Q4" s="899"/>
    </row>
    <row r="5" spans="1:17" ht="124.15" customHeight="1">
      <c r="A5" s="872" t="s">
        <v>149</v>
      </c>
      <c r="B5" s="873" t="s">
        <v>751</v>
      </c>
      <c r="C5" s="879" t="s">
        <v>761</v>
      </c>
      <c r="D5" s="879" t="s">
        <v>752</v>
      </c>
      <c r="E5" s="875" t="s">
        <v>750</v>
      </c>
      <c r="F5" s="875" t="s">
        <v>749</v>
      </c>
      <c r="G5" s="876" t="s">
        <v>762</v>
      </c>
      <c r="H5" s="876" t="s">
        <v>762</v>
      </c>
      <c r="I5" s="876" t="s">
        <v>762</v>
      </c>
      <c r="J5" s="875" t="s">
        <v>748</v>
      </c>
      <c r="K5" s="894" t="s">
        <v>762</v>
      </c>
      <c r="L5" s="876" t="s">
        <v>762</v>
      </c>
      <c r="M5" s="876" t="s">
        <v>762</v>
      </c>
      <c r="N5" s="875" t="s">
        <v>747</v>
      </c>
      <c r="O5" s="877" t="s">
        <v>745</v>
      </c>
      <c r="P5" s="878" t="s">
        <v>746</v>
      </c>
      <c r="Q5" s="900"/>
    </row>
    <row r="6" spans="1:17" ht="124.15" customHeight="1">
      <c r="A6" s="872" t="s">
        <v>187</v>
      </c>
      <c r="B6" s="880" t="s">
        <v>753</v>
      </c>
      <c r="C6" s="874" t="s">
        <v>759</v>
      </c>
      <c r="D6" s="876" t="s">
        <v>759</v>
      </c>
      <c r="E6" s="876" t="s">
        <v>759</v>
      </c>
      <c r="F6" s="876" t="s">
        <v>759</v>
      </c>
      <c r="G6" s="876" t="s">
        <v>759</v>
      </c>
      <c r="H6" s="876" t="s">
        <v>759</v>
      </c>
      <c r="I6" s="876" t="s">
        <v>759</v>
      </c>
      <c r="J6" s="876" t="s">
        <v>759</v>
      </c>
      <c r="K6" s="876" t="s">
        <v>759</v>
      </c>
      <c r="L6" s="876" t="s">
        <v>759</v>
      </c>
      <c r="M6" s="876" t="s">
        <v>759</v>
      </c>
      <c r="N6" s="876" t="s">
        <v>759</v>
      </c>
      <c r="O6" s="881" t="s">
        <v>759</v>
      </c>
      <c r="P6" s="882" t="s">
        <v>759</v>
      </c>
      <c r="Q6" s="901"/>
    </row>
    <row r="7" spans="1:17" ht="124.15" customHeight="1">
      <c r="A7" s="872" t="s">
        <v>105</v>
      </c>
      <c r="B7" s="880" t="s">
        <v>753</v>
      </c>
      <c r="C7" s="879" t="s">
        <v>761</v>
      </c>
      <c r="D7" s="879" t="s">
        <v>752</v>
      </c>
      <c r="E7" s="875" t="s">
        <v>750</v>
      </c>
      <c r="F7" s="875" t="s">
        <v>749</v>
      </c>
      <c r="G7" s="876" t="s">
        <v>762</v>
      </c>
      <c r="H7" s="876" t="s">
        <v>762</v>
      </c>
      <c r="I7" s="876" t="s">
        <v>762</v>
      </c>
      <c r="J7" s="875" t="s">
        <v>748</v>
      </c>
      <c r="K7" s="876" t="s">
        <v>762</v>
      </c>
      <c r="L7" s="876" t="s">
        <v>762</v>
      </c>
      <c r="M7" s="876" t="s">
        <v>762</v>
      </c>
      <c r="N7" s="883" t="s">
        <v>762</v>
      </c>
      <c r="O7" s="874" t="s">
        <v>762</v>
      </c>
      <c r="P7" s="884" t="s">
        <v>762</v>
      </c>
      <c r="Q7" s="900"/>
    </row>
    <row r="8" spans="1:17" ht="124.15" customHeight="1">
      <c r="A8" s="872" t="s">
        <v>596</v>
      </c>
      <c r="B8" s="873" t="s">
        <v>754</v>
      </c>
      <c r="C8" s="879" t="s">
        <v>761</v>
      </c>
      <c r="D8" s="879" t="s">
        <v>752</v>
      </c>
      <c r="E8" s="875" t="s">
        <v>750</v>
      </c>
      <c r="F8" s="875" t="s">
        <v>749</v>
      </c>
      <c r="G8" s="876" t="s">
        <v>762</v>
      </c>
      <c r="H8" s="876" t="s">
        <v>762</v>
      </c>
      <c r="I8" s="876" t="s">
        <v>762</v>
      </c>
      <c r="J8" s="875" t="s">
        <v>748</v>
      </c>
      <c r="K8" s="894" t="s">
        <v>762</v>
      </c>
      <c r="L8" s="876" t="s">
        <v>762</v>
      </c>
      <c r="M8" s="876" t="s">
        <v>762</v>
      </c>
      <c r="N8" s="875" t="s">
        <v>747</v>
      </c>
      <c r="O8" s="877" t="s">
        <v>745</v>
      </c>
      <c r="P8" s="878" t="s">
        <v>746</v>
      </c>
      <c r="Q8" s="900"/>
    </row>
    <row r="9" spans="1:17" s="446" customFormat="1" ht="124.15" customHeight="1">
      <c r="A9" s="885" t="s">
        <v>545</v>
      </c>
      <c r="B9" s="875" t="s">
        <v>764</v>
      </c>
      <c r="C9" s="881" t="s">
        <v>759</v>
      </c>
      <c r="D9" s="875" t="s">
        <v>765</v>
      </c>
      <c r="E9" s="875" t="s">
        <v>766</v>
      </c>
      <c r="F9" s="876" t="s">
        <v>759</v>
      </c>
      <c r="G9" s="875" t="s">
        <v>767</v>
      </c>
      <c r="H9" s="875" t="s">
        <v>768</v>
      </c>
      <c r="I9" s="876" t="s">
        <v>759</v>
      </c>
      <c r="J9" s="876" t="s">
        <v>759</v>
      </c>
      <c r="K9" s="876" t="s">
        <v>759</v>
      </c>
      <c r="L9" s="876" t="s">
        <v>759</v>
      </c>
      <c r="M9" s="875" t="s">
        <v>764</v>
      </c>
      <c r="N9" s="876" t="s">
        <v>759</v>
      </c>
      <c r="O9" s="876" t="s">
        <v>759</v>
      </c>
      <c r="P9" s="886" t="s">
        <v>759</v>
      </c>
      <c r="Q9" s="902"/>
    </row>
    <row r="10" spans="1:17" ht="124.15" customHeight="1">
      <c r="A10" s="872" t="s">
        <v>535</v>
      </c>
      <c r="B10" s="873" t="s">
        <v>772</v>
      </c>
      <c r="C10" s="881" t="s">
        <v>759</v>
      </c>
      <c r="D10" s="881" t="s">
        <v>759</v>
      </c>
      <c r="E10" s="881" t="s">
        <v>759</v>
      </c>
      <c r="F10" s="876" t="s">
        <v>759</v>
      </c>
      <c r="G10" s="873" t="s">
        <v>769</v>
      </c>
      <c r="H10" s="876" t="s">
        <v>759</v>
      </c>
      <c r="I10" s="876" t="s">
        <v>759</v>
      </c>
      <c r="J10" s="876" t="s">
        <v>759</v>
      </c>
      <c r="K10" s="876" t="s">
        <v>759</v>
      </c>
      <c r="L10" s="876" t="s">
        <v>759</v>
      </c>
      <c r="M10" s="873" t="s">
        <v>755</v>
      </c>
      <c r="N10" s="876" t="s">
        <v>759</v>
      </c>
      <c r="O10" s="876" t="s">
        <v>759</v>
      </c>
      <c r="P10" s="886" t="s">
        <v>759</v>
      </c>
      <c r="Q10" s="900"/>
    </row>
    <row r="11" spans="1:17" ht="21">
      <c r="A11" s="872" t="s">
        <v>536</v>
      </c>
      <c r="B11" s="887" t="s">
        <v>763</v>
      </c>
      <c r="C11" s="887" t="s">
        <v>763</v>
      </c>
      <c r="D11" s="887" t="s">
        <v>763</v>
      </c>
      <c r="E11" s="887" t="s">
        <v>763</v>
      </c>
      <c r="F11" s="887" t="s">
        <v>763</v>
      </c>
      <c r="G11" s="887" t="s">
        <v>763</v>
      </c>
      <c r="H11" s="887" t="s">
        <v>763</v>
      </c>
      <c r="I11" s="887" t="s">
        <v>763</v>
      </c>
      <c r="J11" s="887" t="s">
        <v>763</v>
      </c>
      <c r="K11" s="887" t="s">
        <v>763</v>
      </c>
      <c r="L11" s="887" t="s">
        <v>763</v>
      </c>
      <c r="M11" s="887" t="s">
        <v>763</v>
      </c>
      <c r="N11" s="887" t="s">
        <v>763</v>
      </c>
      <c r="O11" s="887" t="s">
        <v>763</v>
      </c>
      <c r="P11" s="909" t="s">
        <v>763</v>
      </c>
      <c r="Q11" s="910"/>
    </row>
    <row r="12" spans="1:17" ht="21">
      <c r="A12" s="872" t="s">
        <v>537</v>
      </c>
      <c r="B12" s="887" t="s">
        <v>763</v>
      </c>
      <c r="C12" s="887" t="s">
        <v>759</v>
      </c>
      <c r="D12" s="887" t="s">
        <v>759</v>
      </c>
      <c r="E12" s="887" t="s">
        <v>759</v>
      </c>
      <c r="F12" s="887" t="s">
        <v>759</v>
      </c>
      <c r="G12" s="887" t="s">
        <v>759</v>
      </c>
      <c r="H12" s="887" t="s">
        <v>759</v>
      </c>
      <c r="I12" s="887" t="s">
        <v>759</v>
      </c>
      <c r="J12" s="887" t="s">
        <v>759</v>
      </c>
      <c r="K12" s="887" t="s">
        <v>759</v>
      </c>
      <c r="L12" s="887" t="s">
        <v>759</v>
      </c>
      <c r="M12" s="887" t="s">
        <v>759</v>
      </c>
      <c r="N12" s="887" t="s">
        <v>759</v>
      </c>
      <c r="O12" s="887" t="s">
        <v>759</v>
      </c>
      <c r="P12" s="888" t="s">
        <v>759</v>
      </c>
      <c r="Q12" s="442"/>
    </row>
    <row r="13" spans="1:17" ht="21">
      <c r="A13" s="872" t="s">
        <v>538</v>
      </c>
      <c r="B13" s="887" t="s">
        <v>763</v>
      </c>
      <c r="C13" s="887" t="s">
        <v>759</v>
      </c>
      <c r="D13" s="887" t="s">
        <v>763</v>
      </c>
      <c r="E13" s="887" t="s">
        <v>763</v>
      </c>
      <c r="F13" s="887" t="s">
        <v>759</v>
      </c>
      <c r="G13" s="887" t="s">
        <v>763</v>
      </c>
      <c r="H13" s="887" t="s">
        <v>763</v>
      </c>
      <c r="I13" s="887" t="s">
        <v>759</v>
      </c>
      <c r="J13" s="887" t="s">
        <v>759</v>
      </c>
      <c r="K13" s="887" t="s">
        <v>759</v>
      </c>
      <c r="L13" s="887" t="s">
        <v>759</v>
      </c>
      <c r="M13" s="887" t="s">
        <v>763</v>
      </c>
      <c r="N13" s="887" t="s">
        <v>759</v>
      </c>
      <c r="O13" s="887" t="s">
        <v>759</v>
      </c>
      <c r="P13" s="888" t="s">
        <v>759</v>
      </c>
      <c r="Q13" s="442"/>
    </row>
    <row r="14" spans="1:17" ht="30">
      <c r="A14" s="903" t="s">
        <v>779</v>
      </c>
      <c r="B14" s="880" t="s">
        <v>753</v>
      </c>
      <c r="C14" s="887" t="s">
        <v>759</v>
      </c>
      <c r="D14" s="880" t="s">
        <v>753</v>
      </c>
      <c r="E14" s="887" t="s">
        <v>759</v>
      </c>
      <c r="F14" s="887" t="s">
        <v>759</v>
      </c>
      <c r="G14" s="887" t="s">
        <v>759</v>
      </c>
      <c r="H14" s="887" t="s">
        <v>759</v>
      </c>
      <c r="I14" s="887" t="s">
        <v>759</v>
      </c>
      <c r="J14" s="887" t="s">
        <v>759</v>
      </c>
      <c r="K14" s="887" t="s">
        <v>759</v>
      </c>
      <c r="L14" s="887" t="s">
        <v>759</v>
      </c>
      <c r="M14" s="887" t="s">
        <v>759</v>
      </c>
      <c r="N14" s="887" t="s">
        <v>759</v>
      </c>
      <c r="O14" s="887" t="s">
        <v>759</v>
      </c>
      <c r="P14" s="909" t="s">
        <v>759</v>
      </c>
      <c r="Q14" s="958"/>
    </row>
    <row r="15" spans="1:17" s="450" customFormat="1" ht="21">
      <c r="A15" s="904" t="s">
        <v>539</v>
      </c>
      <c r="B15" s="905"/>
      <c r="C15" s="905"/>
      <c r="D15" s="905"/>
      <c r="E15" s="905"/>
      <c r="F15" s="905"/>
      <c r="G15" s="905"/>
      <c r="H15" s="905"/>
      <c r="I15" s="905"/>
      <c r="J15" s="905"/>
      <c r="K15" s="905"/>
      <c r="L15" s="905"/>
      <c r="M15" s="906"/>
      <c r="N15" s="905"/>
      <c r="O15" s="905"/>
      <c r="P15" s="907"/>
      <c r="Q15" s="908"/>
    </row>
    <row r="16" spans="1:17">
      <c r="M16" s="863"/>
    </row>
    <row r="17" spans="1:4">
      <c r="B17" s="869">
        <v>1</v>
      </c>
      <c r="C17" s="870">
        <v>2</v>
      </c>
      <c r="D17" s="871">
        <v>3</v>
      </c>
    </row>
    <row r="18" spans="1:4" ht="257.25" customHeight="1">
      <c r="A18" s="867" t="s">
        <v>757</v>
      </c>
      <c r="B18" s="866" t="s">
        <v>758</v>
      </c>
      <c r="C18" s="865" t="s">
        <v>770</v>
      </c>
      <c r="D18" s="868" t="s">
        <v>771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codeName="Sheet30">
    <tabColor theme="6"/>
  </sheetPr>
  <dimension ref="A1:P22"/>
  <sheetViews>
    <sheetView workbookViewId="0">
      <selection sqref="A1:A3"/>
    </sheetView>
  </sheetViews>
  <sheetFormatPr defaultColWidth="9.140625" defaultRowHeight="15"/>
  <cols>
    <col min="1" max="1" width="51" style="815" bestFit="1" customWidth="1"/>
    <col min="2" max="2" width="27" style="815" customWidth="1"/>
    <col min="3" max="3" width="30.42578125" style="815" customWidth="1"/>
    <col min="4" max="4" width="9.140625" style="815"/>
    <col min="5" max="5" width="15" style="815" customWidth="1"/>
    <col min="6" max="6" width="17" style="815" customWidth="1"/>
    <col min="7" max="7" width="18.140625" style="815" customWidth="1"/>
    <col min="8" max="8" width="16.140625" style="815" customWidth="1"/>
    <col min="9" max="15" width="9.140625" style="815"/>
    <col min="16" max="16" width="26.42578125" style="815" customWidth="1"/>
    <col min="17" max="16384" width="9.140625" style="815"/>
  </cols>
  <sheetData>
    <row r="1" spans="1:16" ht="15.75">
      <c r="A1" s="1129" t="s">
        <v>229</v>
      </c>
      <c r="B1" s="1130" t="s">
        <v>337</v>
      </c>
      <c r="C1" s="1130"/>
      <c r="D1" s="1131" t="s">
        <v>338</v>
      </c>
      <c r="E1" s="1131"/>
      <c r="F1" s="1131"/>
      <c r="G1" s="1131"/>
      <c r="H1" s="1131"/>
      <c r="I1" s="1131"/>
      <c r="J1" s="1131"/>
      <c r="K1" s="1131"/>
      <c r="L1" s="1131"/>
      <c r="M1" s="1131"/>
      <c r="N1" s="1131"/>
      <c r="O1" s="1131"/>
      <c r="P1" s="1130" t="s">
        <v>786</v>
      </c>
    </row>
    <row r="2" spans="1:16" ht="60">
      <c r="A2" s="1129"/>
      <c r="B2" s="1130"/>
      <c r="C2" s="1130"/>
      <c r="D2" s="1131" t="s">
        <v>190</v>
      </c>
      <c r="E2" s="1131"/>
      <c r="F2" s="1131"/>
      <c r="G2" s="1131"/>
      <c r="H2" s="1131"/>
      <c r="I2" s="972" t="s">
        <v>787</v>
      </c>
      <c r="J2" s="972" t="s">
        <v>222</v>
      </c>
      <c r="K2" s="972" t="s">
        <v>788</v>
      </c>
      <c r="L2" s="972" t="s">
        <v>778</v>
      </c>
      <c r="M2" s="972" t="s">
        <v>233</v>
      </c>
      <c r="N2" s="972" t="s">
        <v>789</v>
      </c>
      <c r="O2" s="972" t="s">
        <v>120</v>
      </c>
      <c r="P2" s="1130"/>
    </row>
    <row r="3" spans="1:16" ht="30">
      <c r="A3" s="1129"/>
      <c r="B3" s="972" t="s">
        <v>790</v>
      </c>
      <c r="C3" s="972" t="s">
        <v>791</v>
      </c>
      <c r="D3" s="972" t="s">
        <v>192</v>
      </c>
      <c r="E3" s="972" t="s">
        <v>193</v>
      </c>
      <c r="F3" s="972" t="s">
        <v>194</v>
      </c>
      <c r="G3" s="972" t="s">
        <v>196</v>
      </c>
      <c r="H3" s="972" t="s">
        <v>197</v>
      </c>
      <c r="I3" s="972"/>
      <c r="J3" s="972"/>
      <c r="K3" s="972"/>
      <c r="L3" s="972"/>
      <c r="M3" s="972"/>
      <c r="N3" s="972"/>
      <c r="O3" s="972"/>
      <c r="P3" s="1130"/>
    </row>
    <row r="4" spans="1:16">
      <c r="A4" s="973" t="s">
        <v>237</v>
      </c>
      <c r="B4" s="974">
        <f>'SEAP template'!B72</f>
        <v>0</v>
      </c>
      <c r="C4" s="974"/>
      <c r="D4" s="974"/>
      <c r="E4" s="974"/>
      <c r="F4" s="974"/>
      <c r="G4" s="974"/>
      <c r="H4" s="974"/>
      <c r="I4" s="974"/>
      <c r="J4" s="974"/>
      <c r="K4" s="974"/>
      <c r="L4" s="974"/>
      <c r="M4" s="974"/>
      <c r="N4" s="974"/>
      <c r="O4" s="974"/>
      <c r="P4" s="975">
        <f>'SEAP template'!Q72</f>
        <v>0</v>
      </c>
    </row>
    <row r="5" spans="1:16">
      <c r="A5" s="976" t="s">
        <v>238</v>
      </c>
      <c r="B5" s="974">
        <f>'SEAP template'!B73</f>
        <v>0</v>
      </c>
      <c r="C5" s="974"/>
      <c r="D5" s="974"/>
      <c r="E5" s="974"/>
      <c r="F5" s="974"/>
      <c r="G5" s="974"/>
      <c r="H5" s="974"/>
      <c r="I5" s="974"/>
      <c r="J5" s="974"/>
      <c r="K5" s="974"/>
      <c r="L5" s="974"/>
      <c r="M5" s="974"/>
      <c r="N5" s="974"/>
      <c r="O5" s="974"/>
      <c r="P5" s="975">
        <f>'SEAP template'!Q73</f>
        <v>0</v>
      </c>
    </row>
    <row r="6" spans="1:16">
      <c r="A6" s="976" t="s">
        <v>239</v>
      </c>
      <c r="B6" s="974">
        <f>'SEAP template'!B74</f>
        <v>14506.905605286898</v>
      </c>
      <c r="C6" s="974"/>
      <c r="D6" s="974"/>
      <c r="E6" s="974"/>
      <c r="F6" s="974"/>
      <c r="G6" s="974"/>
      <c r="H6" s="974"/>
      <c r="I6" s="974"/>
      <c r="J6" s="974"/>
      <c r="K6" s="974"/>
      <c r="L6" s="974"/>
      <c r="M6" s="974"/>
      <c r="N6" s="974"/>
      <c r="O6" s="974"/>
      <c r="P6" s="975">
        <f>'SEAP template'!Q74</f>
        <v>0</v>
      </c>
    </row>
    <row r="7" spans="1:16">
      <c r="A7" s="976" t="s">
        <v>778</v>
      </c>
      <c r="B7" s="974">
        <f>'SEAP template'!B75</f>
        <v>0</v>
      </c>
      <c r="C7" s="974"/>
      <c r="D7" s="974"/>
      <c r="E7" s="974"/>
      <c r="F7" s="974"/>
      <c r="G7" s="974"/>
      <c r="H7" s="974"/>
      <c r="I7" s="974"/>
      <c r="J7" s="974"/>
      <c r="K7" s="974"/>
      <c r="L7" s="974"/>
      <c r="M7" s="974"/>
      <c r="N7" s="974"/>
      <c r="O7" s="974"/>
      <c r="P7" s="975">
        <f>'SEAP template'!Q75</f>
        <v>0</v>
      </c>
    </row>
    <row r="8" spans="1:16">
      <c r="A8" s="973" t="s">
        <v>240</v>
      </c>
      <c r="B8" s="974">
        <f>'SEAP template'!B76</f>
        <v>25235.999999999996</v>
      </c>
      <c r="C8" s="974">
        <f>'SEAP template'!C76</f>
        <v>64462.5</v>
      </c>
      <c r="D8" s="974">
        <f>'SEAP template'!D76</f>
        <v>75838.23529411765</v>
      </c>
      <c r="E8" s="974">
        <f>'SEAP template'!E76</f>
        <v>0</v>
      </c>
      <c r="F8" s="974">
        <f>'SEAP template'!F76</f>
        <v>0</v>
      </c>
      <c r="G8" s="974">
        <f>'SEAP template'!G76</f>
        <v>0</v>
      </c>
      <c r="H8" s="974">
        <f>'SEAP template'!H76</f>
        <v>0</v>
      </c>
      <c r="I8" s="974">
        <f>'SEAP template'!I76</f>
        <v>0</v>
      </c>
      <c r="J8" s="974">
        <f>'SEAP template'!J76</f>
        <v>29689.411764705881</v>
      </c>
      <c r="K8" s="974">
        <f>'SEAP template'!K76</f>
        <v>0</v>
      </c>
      <c r="L8" s="974">
        <f>'SEAP template'!L76</f>
        <v>0</v>
      </c>
      <c r="M8" s="974">
        <f>'SEAP template'!M76</f>
        <v>0</v>
      </c>
      <c r="N8" s="974">
        <f>'SEAP template'!N76</f>
        <v>0</v>
      </c>
      <c r="O8" s="974">
        <f>'SEAP template'!O76</f>
        <v>0</v>
      </c>
      <c r="P8" s="975">
        <f>'SEAP template'!Q76</f>
        <v>15319.323529411766</v>
      </c>
    </row>
    <row r="9" spans="1:16">
      <c r="A9" s="977" t="s">
        <v>792</v>
      </c>
      <c r="B9" s="974">
        <f>'SEAP template'!B77</f>
        <v>0</v>
      </c>
      <c r="C9" s="974">
        <f>'SEAP template'!C77</f>
        <v>0</v>
      </c>
      <c r="D9" s="974">
        <f>'SEAP template'!D77</f>
        <v>0</v>
      </c>
      <c r="E9" s="974">
        <f>'SEAP template'!E77</f>
        <v>0</v>
      </c>
      <c r="F9" s="974">
        <f>'SEAP template'!F77</f>
        <v>0</v>
      </c>
      <c r="G9" s="974">
        <f>'SEAP template'!G77</f>
        <v>0</v>
      </c>
      <c r="H9" s="974">
        <f>'SEAP template'!H77</f>
        <v>0</v>
      </c>
      <c r="I9" s="974">
        <f>'SEAP template'!I77</f>
        <v>0</v>
      </c>
      <c r="J9" s="974">
        <f>'SEAP template'!J77</f>
        <v>0</v>
      </c>
      <c r="K9" s="974">
        <f>'SEAP template'!K77</f>
        <v>0</v>
      </c>
      <c r="L9" s="974">
        <f>'SEAP template'!L77</f>
        <v>0</v>
      </c>
      <c r="M9" s="974">
        <f>'SEAP template'!M77</f>
        <v>0</v>
      </c>
      <c r="N9" s="974">
        <f>'SEAP template'!N77</f>
        <v>0</v>
      </c>
      <c r="O9" s="974">
        <f>'SEAP template'!O77</f>
        <v>0</v>
      </c>
      <c r="P9" s="975">
        <f>'SEAP template'!Q77</f>
        <v>0</v>
      </c>
    </row>
    <row r="10" spans="1:16">
      <c r="A10" s="976" t="s">
        <v>109</v>
      </c>
      <c r="B10" s="978">
        <f>SUM(B4:B9)</f>
        <v>39742.905605286898</v>
      </c>
      <c r="C10" s="978">
        <f>SUM(C4:C9)</f>
        <v>64462.5</v>
      </c>
      <c r="D10" s="978">
        <f t="shared" ref="D10:H10" si="0">SUM(D8:D9)</f>
        <v>75838.23529411765</v>
      </c>
      <c r="E10" s="978">
        <f t="shared" si="0"/>
        <v>0</v>
      </c>
      <c r="F10" s="978">
        <f t="shared" si="0"/>
        <v>0</v>
      </c>
      <c r="G10" s="978">
        <f t="shared" si="0"/>
        <v>0</v>
      </c>
      <c r="H10" s="978">
        <f t="shared" si="0"/>
        <v>0</v>
      </c>
      <c r="I10" s="978">
        <f>SUM(I8:I9)</f>
        <v>0</v>
      </c>
      <c r="J10" s="978">
        <f>SUM(J8:J9)</f>
        <v>29689.411764705881</v>
      </c>
      <c r="K10" s="978">
        <f t="shared" ref="K10:L10" si="1">SUM(K8:K9)</f>
        <v>0</v>
      </c>
      <c r="L10" s="978">
        <f t="shared" si="1"/>
        <v>0</v>
      </c>
      <c r="M10" s="978">
        <f>SUM(M8:M9)</f>
        <v>0</v>
      </c>
      <c r="N10" s="978">
        <f>SUM(N8:N9)</f>
        <v>0</v>
      </c>
      <c r="O10" s="978">
        <f>SUM(O8:O9)</f>
        <v>0</v>
      </c>
      <c r="P10" s="978">
        <f>SUM(P8:P9)</f>
        <v>15319.323529411766</v>
      </c>
    </row>
    <row r="11" spans="1:16">
      <c r="A11" s="822"/>
      <c r="B11" s="822"/>
      <c r="C11" s="822"/>
      <c r="D11" s="822"/>
      <c r="E11" s="822"/>
      <c r="F11" s="822"/>
      <c r="G11" s="822"/>
      <c r="H11" s="822"/>
      <c r="I11" s="822"/>
      <c r="J11" s="822"/>
      <c r="K11" s="822"/>
      <c r="L11" s="822"/>
      <c r="M11" s="822"/>
      <c r="N11" s="822"/>
      <c r="O11" s="822"/>
      <c r="P11" s="822"/>
    </row>
    <row r="12" spans="1:16">
      <c r="A12" s="451" t="s">
        <v>793</v>
      </c>
      <c r="B12" s="714" t="s">
        <v>794</v>
      </c>
      <c r="C12" s="714">
        <f ca="1">'EF ele_warmte'!B12</f>
        <v>0.18985386689719377</v>
      </c>
      <c r="D12" s="822"/>
      <c r="E12" s="822"/>
      <c r="F12" s="822"/>
      <c r="G12" s="822"/>
      <c r="H12" s="822"/>
      <c r="I12" s="822"/>
      <c r="J12" s="822"/>
      <c r="K12" s="822"/>
      <c r="L12" s="822"/>
      <c r="M12" s="822"/>
      <c r="N12" s="822"/>
      <c r="O12" s="822"/>
      <c r="P12" s="822"/>
    </row>
    <row r="13" spans="1:16">
      <c r="A13" s="822"/>
      <c r="B13" s="822"/>
      <c r="C13" s="822"/>
      <c r="D13" s="822"/>
      <c r="E13" s="822"/>
      <c r="F13" s="822"/>
      <c r="G13" s="822"/>
      <c r="H13" s="822"/>
      <c r="I13" s="822"/>
      <c r="J13" s="822"/>
      <c r="K13" s="822"/>
      <c r="L13" s="822"/>
      <c r="M13" s="822"/>
      <c r="N13" s="822"/>
      <c r="O13" s="822"/>
      <c r="P13" s="822"/>
    </row>
    <row r="14" spans="1:16" ht="15.75">
      <c r="A14" s="1129" t="s">
        <v>241</v>
      </c>
      <c r="B14" s="1130" t="s">
        <v>341</v>
      </c>
      <c r="C14" s="1130"/>
      <c r="D14" s="1131" t="s">
        <v>342</v>
      </c>
      <c r="E14" s="1131"/>
      <c r="F14" s="1131"/>
      <c r="G14" s="1131"/>
      <c r="H14" s="1131"/>
      <c r="I14" s="1131"/>
      <c r="J14" s="1131"/>
      <c r="K14" s="1131"/>
      <c r="L14" s="1131"/>
      <c r="M14" s="1131"/>
      <c r="N14" s="1131"/>
      <c r="O14" s="1131"/>
      <c r="P14" s="1130" t="s">
        <v>795</v>
      </c>
    </row>
    <row r="15" spans="1:16">
      <c r="A15" s="1129"/>
      <c r="B15" s="1130"/>
      <c r="C15" s="1130"/>
      <c r="D15" s="1132" t="s">
        <v>190</v>
      </c>
      <c r="E15" s="1132"/>
      <c r="F15" s="1132"/>
      <c r="G15" s="1132"/>
      <c r="H15" s="1132"/>
      <c r="I15" s="1130" t="s">
        <v>787</v>
      </c>
      <c r="J15" s="1130" t="s">
        <v>222</v>
      </c>
      <c r="K15" s="1130" t="s">
        <v>788</v>
      </c>
      <c r="L15" s="1130" t="s">
        <v>778</v>
      </c>
      <c r="M15" s="1130" t="s">
        <v>233</v>
      </c>
      <c r="N15" s="1130" t="s">
        <v>796</v>
      </c>
      <c r="O15" s="1130" t="s">
        <v>120</v>
      </c>
      <c r="P15" s="1130"/>
    </row>
    <row r="16" spans="1:16" ht="30">
      <c r="A16" s="1129"/>
      <c r="B16" s="972" t="s">
        <v>797</v>
      </c>
      <c r="C16" s="972" t="s">
        <v>798</v>
      </c>
      <c r="D16" s="972" t="s">
        <v>192</v>
      </c>
      <c r="E16" s="972" t="s">
        <v>193</v>
      </c>
      <c r="F16" s="972" t="s">
        <v>194</v>
      </c>
      <c r="G16" s="972" t="s">
        <v>196</v>
      </c>
      <c r="H16" s="972" t="s">
        <v>197</v>
      </c>
      <c r="I16" s="1130"/>
      <c r="J16" s="1130"/>
      <c r="K16" s="1130"/>
      <c r="L16" s="1130"/>
      <c r="M16" s="1130"/>
      <c r="N16" s="1130"/>
      <c r="O16" s="1133"/>
      <c r="P16" s="1130"/>
    </row>
    <row r="17" spans="1:16">
      <c r="A17" s="979" t="s">
        <v>240</v>
      </c>
      <c r="B17" s="980">
        <f>'SEAP template'!B87</f>
        <v>36051.428571428572</v>
      </c>
      <c r="C17" s="980">
        <f>'SEAP template'!C87</f>
        <v>92089.285714285725</v>
      </c>
      <c r="D17" s="975">
        <f>'SEAP template'!D87</f>
        <v>108340.3361344538</v>
      </c>
      <c r="E17" s="975">
        <f>'SEAP template'!E87</f>
        <v>0</v>
      </c>
      <c r="F17" s="975">
        <f>'SEAP template'!F87</f>
        <v>0</v>
      </c>
      <c r="G17" s="975">
        <f>'SEAP template'!G87</f>
        <v>0</v>
      </c>
      <c r="H17" s="975">
        <f>'SEAP template'!H87</f>
        <v>0</v>
      </c>
      <c r="I17" s="975">
        <f>'SEAP template'!I87</f>
        <v>0</v>
      </c>
      <c r="J17" s="975">
        <f>'SEAP template'!J87</f>
        <v>42413.445378151264</v>
      </c>
      <c r="K17" s="975">
        <f>'SEAP template'!K87</f>
        <v>0</v>
      </c>
      <c r="L17" s="975">
        <f>'SEAP template'!L87</f>
        <v>0</v>
      </c>
      <c r="M17" s="975">
        <f>'SEAP template'!M87</f>
        <v>0</v>
      </c>
      <c r="N17" s="975">
        <f>'SEAP template'!N87</f>
        <v>0</v>
      </c>
      <c r="O17" s="975">
        <f>'SEAP template'!O87</f>
        <v>0</v>
      </c>
      <c r="P17" s="975">
        <f>'SEAP template'!Q87</f>
        <v>21884.747899159669</v>
      </c>
    </row>
    <row r="18" spans="1:16">
      <c r="A18" s="981" t="s">
        <v>246</v>
      </c>
      <c r="B18" s="980">
        <f>'SEAP template'!B88</f>
        <v>0</v>
      </c>
      <c r="C18" s="980">
        <f>'SEAP template'!C88</f>
        <v>0</v>
      </c>
      <c r="D18" s="975">
        <f>'SEAP template'!D88</f>
        <v>0</v>
      </c>
      <c r="E18" s="975">
        <f>'SEAP template'!E88</f>
        <v>0</v>
      </c>
      <c r="F18" s="975">
        <f>'SEAP template'!F88</f>
        <v>0</v>
      </c>
      <c r="G18" s="975">
        <f>'SEAP template'!G88</f>
        <v>0</v>
      </c>
      <c r="H18" s="975">
        <f>'SEAP template'!H88</f>
        <v>0</v>
      </c>
      <c r="I18" s="975">
        <f>'SEAP template'!I88</f>
        <v>0</v>
      </c>
      <c r="J18" s="975">
        <f>'SEAP template'!J88</f>
        <v>0</v>
      </c>
      <c r="K18" s="975">
        <f>'SEAP template'!K88</f>
        <v>0</v>
      </c>
      <c r="L18" s="975">
        <f>'SEAP template'!L88</f>
        <v>0</v>
      </c>
      <c r="M18" s="975">
        <f>'SEAP template'!M88</f>
        <v>0</v>
      </c>
      <c r="N18" s="975">
        <f>'SEAP template'!N88</f>
        <v>0</v>
      </c>
      <c r="O18" s="975">
        <f>'SEAP template'!O88</f>
        <v>0</v>
      </c>
      <c r="P18" s="975">
        <f>'SEAP template'!Q88</f>
        <v>0</v>
      </c>
    </row>
    <row r="19" spans="1:16">
      <c r="A19" s="977" t="s">
        <v>799</v>
      </c>
      <c r="B19" s="980">
        <f>'SEAP template'!B89</f>
        <v>0</v>
      </c>
      <c r="C19" s="980">
        <f>'SEAP template'!C89</f>
        <v>0</v>
      </c>
      <c r="D19" s="975">
        <f>'SEAP template'!D89</f>
        <v>0</v>
      </c>
      <c r="E19" s="975">
        <f>'SEAP template'!E89</f>
        <v>0</v>
      </c>
      <c r="F19" s="975">
        <f>'SEAP template'!F89</f>
        <v>0</v>
      </c>
      <c r="G19" s="975">
        <f>'SEAP template'!G89</f>
        <v>0</v>
      </c>
      <c r="H19" s="975">
        <f>'SEAP template'!H89</f>
        <v>0</v>
      </c>
      <c r="I19" s="975">
        <f>'SEAP template'!I89</f>
        <v>0</v>
      </c>
      <c r="J19" s="975">
        <f>'SEAP template'!J89</f>
        <v>0</v>
      </c>
      <c r="K19" s="975">
        <f>'SEAP template'!K89</f>
        <v>0</v>
      </c>
      <c r="L19" s="975">
        <f>'SEAP template'!L89</f>
        <v>0</v>
      </c>
      <c r="M19" s="975">
        <f>'SEAP template'!M89</f>
        <v>0</v>
      </c>
      <c r="N19" s="975">
        <f>'SEAP template'!N89</f>
        <v>0</v>
      </c>
      <c r="O19" s="975">
        <f>'SEAP template'!O89</f>
        <v>0</v>
      </c>
      <c r="P19" s="975">
        <f>'SEAP template'!Q89</f>
        <v>0</v>
      </c>
    </row>
    <row r="20" spans="1:16">
      <c r="A20" s="982" t="s">
        <v>109</v>
      </c>
      <c r="B20" s="978">
        <f>SUM(B17:B19)</f>
        <v>36051.428571428572</v>
      </c>
      <c r="C20" s="978">
        <f>SUM(C17:C19)</f>
        <v>92089.285714285725</v>
      </c>
      <c r="D20" s="978">
        <f t="shared" ref="D20:H20" si="2">SUM(D17:D19)</f>
        <v>108340.3361344538</v>
      </c>
      <c r="E20" s="978">
        <f t="shared" si="2"/>
        <v>0</v>
      </c>
      <c r="F20" s="978">
        <f t="shared" si="2"/>
        <v>0</v>
      </c>
      <c r="G20" s="978">
        <f t="shared" si="2"/>
        <v>0</v>
      </c>
      <c r="H20" s="978">
        <f t="shared" si="2"/>
        <v>0</v>
      </c>
      <c r="I20" s="978">
        <f>SUM(I17:I19)</f>
        <v>0</v>
      </c>
      <c r="J20" s="978">
        <f>SUM(J17:J19)</f>
        <v>42413.445378151264</v>
      </c>
      <c r="K20" s="978">
        <f t="shared" ref="K20:L20" si="3">SUM(K17:K19)</f>
        <v>0</v>
      </c>
      <c r="L20" s="978">
        <f t="shared" si="3"/>
        <v>0</v>
      </c>
      <c r="M20" s="978">
        <f>SUM(M17:M19)</f>
        <v>0</v>
      </c>
      <c r="N20" s="978">
        <f>SUM(N17:N19)</f>
        <v>0</v>
      </c>
      <c r="O20" s="978">
        <f>SUM(O17:O19)</f>
        <v>0</v>
      </c>
      <c r="P20" s="978">
        <f>SUM(P17:P19)</f>
        <v>21884.747899159669</v>
      </c>
    </row>
    <row r="22" spans="1:16">
      <c r="A22" s="451" t="s">
        <v>800</v>
      </c>
      <c r="B22" s="714" t="s">
        <v>794</v>
      </c>
      <c r="C22" s="714">
        <f ca="1">'EF ele_warmte'!B22</f>
        <v>0.17078684180239098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codeName="Sheet31">
    <tabColor theme="6"/>
  </sheetPr>
  <dimension ref="A1:P22"/>
  <sheetViews>
    <sheetView topLeftCell="A5" workbookViewId="0">
      <selection activeCell="B6" sqref="B6"/>
    </sheetView>
  </sheetViews>
  <sheetFormatPr defaultColWidth="9.140625" defaultRowHeight="15"/>
  <cols>
    <col min="1" max="1" width="49.5703125" style="815" customWidth="1"/>
    <col min="2" max="2" width="23.5703125" style="815" customWidth="1"/>
    <col min="3" max="3" width="25.28515625" style="815" customWidth="1"/>
    <col min="4" max="10" width="18.42578125" style="815" bestFit="1" customWidth="1"/>
    <col min="11" max="11" width="24.28515625" style="815" bestFit="1" customWidth="1"/>
    <col min="12" max="12" width="22.42578125" style="815" bestFit="1" customWidth="1"/>
    <col min="13" max="13" width="18.42578125" style="815" bestFit="1" customWidth="1"/>
    <col min="14" max="14" width="28.42578125" style="815" bestFit="1" customWidth="1"/>
    <col min="15" max="15" width="18.42578125" style="815" bestFit="1" customWidth="1"/>
    <col min="16" max="16" width="16.7109375" style="815" customWidth="1"/>
    <col min="17" max="16384" width="9.140625" style="815"/>
  </cols>
  <sheetData>
    <row r="1" spans="1:16" ht="15.75">
      <c r="A1" s="1129" t="s">
        <v>229</v>
      </c>
      <c r="B1" s="1130" t="s">
        <v>337</v>
      </c>
      <c r="C1" s="1130"/>
      <c r="D1" s="1131" t="s">
        <v>338</v>
      </c>
      <c r="E1" s="1131"/>
      <c r="F1" s="1131"/>
      <c r="G1" s="1131"/>
      <c r="H1" s="1131"/>
      <c r="I1" s="1131"/>
      <c r="J1" s="1131"/>
      <c r="K1" s="1131"/>
      <c r="L1" s="1131"/>
      <c r="M1" s="1131"/>
      <c r="N1" s="1131"/>
      <c r="O1" s="1131"/>
      <c r="P1" s="1130" t="s">
        <v>786</v>
      </c>
    </row>
    <row r="2" spans="1:16" ht="15.75">
      <c r="A2" s="1129"/>
      <c r="B2" s="1130"/>
      <c r="C2" s="1130"/>
      <c r="D2" s="1131" t="s">
        <v>190</v>
      </c>
      <c r="E2" s="1131"/>
      <c r="F2" s="1131"/>
      <c r="G2" s="1131"/>
      <c r="H2" s="1131"/>
      <c r="I2" s="972" t="s">
        <v>787</v>
      </c>
      <c r="J2" s="972" t="s">
        <v>222</v>
      </c>
      <c r="K2" s="972" t="s">
        <v>788</v>
      </c>
      <c r="L2" s="972" t="s">
        <v>778</v>
      </c>
      <c r="M2" s="972" t="s">
        <v>233</v>
      </c>
      <c r="N2" s="972" t="s">
        <v>789</v>
      </c>
      <c r="O2" s="972" t="s">
        <v>120</v>
      </c>
      <c r="P2" s="1130"/>
    </row>
    <row r="3" spans="1:16" ht="30">
      <c r="A3" s="1129"/>
      <c r="B3" s="972" t="s">
        <v>790</v>
      </c>
      <c r="C3" s="972" t="s">
        <v>791</v>
      </c>
      <c r="D3" s="972" t="s">
        <v>192</v>
      </c>
      <c r="E3" s="972" t="s">
        <v>193</v>
      </c>
      <c r="F3" s="972" t="s">
        <v>194</v>
      </c>
      <c r="G3" s="972" t="s">
        <v>196</v>
      </c>
      <c r="H3" s="972" t="s">
        <v>197</v>
      </c>
      <c r="I3" s="972"/>
      <c r="J3" s="972"/>
      <c r="K3" s="972"/>
      <c r="L3" s="972"/>
      <c r="M3" s="972"/>
      <c r="N3" s="972"/>
      <c r="O3" s="972"/>
      <c r="P3" s="1130"/>
    </row>
    <row r="4" spans="1:16" ht="135">
      <c r="A4" s="983" t="s">
        <v>237</v>
      </c>
      <c r="B4" s="984" t="s">
        <v>866</v>
      </c>
      <c r="C4" s="985" t="s">
        <v>759</v>
      </c>
      <c r="D4" s="985" t="s">
        <v>759</v>
      </c>
      <c r="E4" s="985" t="s">
        <v>759</v>
      </c>
      <c r="F4" s="985" t="s">
        <v>759</v>
      </c>
      <c r="G4" s="985" t="s">
        <v>759</v>
      </c>
      <c r="H4" s="985" t="s">
        <v>759</v>
      </c>
      <c r="I4" s="985" t="s">
        <v>759</v>
      </c>
      <c r="J4" s="985" t="s">
        <v>759</v>
      </c>
      <c r="K4" s="985" t="s">
        <v>759</v>
      </c>
      <c r="L4" s="985" t="s">
        <v>759</v>
      </c>
      <c r="M4" s="985" t="s">
        <v>759</v>
      </c>
      <c r="N4" s="985" t="s">
        <v>759</v>
      </c>
      <c r="O4" s="985" t="s">
        <v>759</v>
      </c>
      <c r="P4" s="986" t="s">
        <v>801</v>
      </c>
    </row>
    <row r="5" spans="1:16" ht="135">
      <c r="A5" s="987" t="s">
        <v>238</v>
      </c>
      <c r="B5" s="984" t="s">
        <v>866</v>
      </c>
      <c r="C5" s="985" t="s">
        <v>759</v>
      </c>
      <c r="D5" s="985" t="s">
        <v>759</v>
      </c>
      <c r="E5" s="985" t="s">
        <v>759</v>
      </c>
      <c r="F5" s="985" t="s">
        <v>759</v>
      </c>
      <c r="G5" s="985" t="s">
        <v>759</v>
      </c>
      <c r="H5" s="985" t="s">
        <v>759</v>
      </c>
      <c r="I5" s="985" t="s">
        <v>759</v>
      </c>
      <c r="J5" s="985" t="s">
        <v>759</v>
      </c>
      <c r="K5" s="985" t="s">
        <v>759</v>
      </c>
      <c r="L5" s="985" t="s">
        <v>759</v>
      </c>
      <c r="M5" s="985" t="s">
        <v>759</v>
      </c>
      <c r="N5" s="985" t="s">
        <v>759</v>
      </c>
      <c r="O5" s="985" t="s">
        <v>759</v>
      </c>
      <c r="P5" s="986" t="s">
        <v>801</v>
      </c>
    </row>
    <row r="6" spans="1:16" ht="135">
      <c r="A6" s="987" t="s">
        <v>239</v>
      </c>
      <c r="B6" s="984" t="s">
        <v>866</v>
      </c>
      <c r="C6" s="985" t="s">
        <v>759</v>
      </c>
      <c r="D6" s="985" t="s">
        <v>759</v>
      </c>
      <c r="E6" s="985" t="s">
        <v>759</v>
      </c>
      <c r="F6" s="985" t="s">
        <v>759</v>
      </c>
      <c r="G6" s="985" t="s">
        <v>759</v>
      </c>
      <c r="H6" s="985" t="s">
        <v>759</v>
      </c>
      <c r="I6" s="985" t="s">
        <v>759</v>
      </c>
      <c r="J6" s="985" t="s">
        <v>759</v>
      </c>
      <c r="K6" s="985" t="s">
        <v>759</v>
      </c>
      <c r="L6" s="985" t="s">
        <v>759</v>
      </c>
      <c r="M6" s="985" t="s">
        <v>759</v>
      </c>
      <c r="N6" s="985" t="s">
        <v>759</v>
      </c>
      <c r="O6" s="985" t="s">
        <v>759</v>
      </c>
      <c r="P6" s="986" t="s">
        <v>801</v>
      </c>
    </row>
    <row r="7" spans="1:16" ht="135">
      <c r="A7" s="987" t="s">
        <v>778</v>
      </c>
      <c r="B7" s="985" t="s">
        <v>759</v>
      </c>
      <c r="C7" s="985" t="s">
        <v>759</v>
      </c>
      <c r="D7" s="985" t="s">
        <v>759</v>
      </c>
      <c r="E7" s="985" t="s">
        <v>759</v>
      </c>
      <c r="F7" s="985" t="s">
        <v>759</v>
      </c>
      <c r="G7" s="985" t="s">
        <v>759</v>
      </c>
      <c r="H7" s="985" t="s">
        <v>759</v>
      </c>
      <c r="I7" s="985" t="s">
        <v>759</v>
      </c>
      <c r="J7" s="985" t="s">
        <v>759</v>
      </c>
      <c r="K7" s="985" t="s">
        <v>759</v>
      </c>
      <c r="L7" s="985" t="s">
        <v>759</v>
      </c>
      <c r="M7" s="985" t="s">
        <v>759</v>
      </c>
      <c r="N7" s="985" t="s">
        <v>759</v>
      </c>
      <c r="O7" s="985" t="s">
        <v>759</v>
      </c>
      <c r="P7" s="986" t="s">
        <v>801</v>
      </c>
    </row>
    <row r="8" spans="1:16" ht="210">
      <c r="A8" s="983" t="s">
        <v>240</v>
      </c>
      <c r="B8" s="984" t="s">
        <v>802</v>
      </c>
      <c r="C8" s="984" t="s">
        <v>802</v>
      </c>
      <c r="D8" s="984" t="s">
        <v>802</v>
      </c>
      <c r="E8" s="984" t="s">
        <v>802</v>
      </c>
      <c r="F8" s="984" t="s">
        <v>802</v>
      </c>
      <c r="G8" s="984" t="s">
        <v>802</v>
      </c>
      <c r="H8" s="984" t="s">
        <v>802</v>
      </c>
      <c r="I8" s="984" t="s">
        <v>802</v>
      </c>
      <c r="J8" s="984" t="s">
        <v>802</v>
      </c>
      <c r="K8" s="985" t="s">
        <v>759</v>
      </c>
      <c r="L8" s="985" t="s">
        <v>759</v>
      </c>
      <c r="M8" s="985" t="s">
        <v>759</v>
      </c>
      <c r="N8" s="984" t="s">
        <v>803</v>
      </c>
      <c r="O8" s="984" t="s">
        <v>803</v>
      </c>
      <c r="P8" s="988"/>
    </row>
    <row r="9" spans="1:16" ht="210">
      <c r="A9" s="989" t="s">
        <v>792</v>
      </c>
      <c r="B9" s="984" t="s">
        <v>803</v>
      </c>
      <c r="C9" s="984" t="s">
        <v>803</v>
      </c>
      <c r="D9" s="984" t="s">
        <v>803</v>
      </c>
      <c r="E9" s="984" t="s">
        <v>803</v>
      </c>
      <c r="F9" s="984" t="s">
        <v>803</v>
      </c>
      <c r="G9" s="984" t="s">
        <v>803</v>
      </c>
      <c r="H9" s="984" t="s">
        <v>803</v>
      </c>
      <c r="I9" s="984" t="s">
        <v>803</v>
      </c>
      <c r="J9" s="984" t="s">
        <v>803</v>
      </c>
      <c r="K9" s="985" t="s">
        <v>759</v>
      </c>
      <c r="L9" s="984" t="s">
        <v>803</v>
      </c>
      <c r="M9" s="984" t="s">
        <v>803</v>
      </c>
      <c r="N9" s="984" t="s">
        <v>803</v>
      </c>
      <c r="O9" s="984" t="s">
        <v>803</v>
      </c>
      <c r="P9" s="988"/>
    </row>
    <row r="10" spans="1:16">
      <c r="A10" s="987" t="s">
        <v>109</v>
      </c>
      <c r="B10" s="990"/>
      <c r="C10" s="990"/>
      <c r="D10" s="990"/>
      <c r="E10" s="990"/>
      <c r="F10" s="990"/>
      <c r="G10" s="990"/>
      <c r="H10" s="990"/>
      <c r="I10" s="990"/>
      <c r="J10" s="990"/>
      <c r="K10" s="990"/>
      <c r="L10" s="990"/>
      <c r="M10" s="990"/>
      <c r="N10" s="990"/>
      <c r="O10" s="990"/>
      <c r="P10" s="990"/>
    </row>
    <row r="11" spans="1:16">
      <c r="A11" s="822"/>
      <c r="B11" s="822"/>
      <c r="C11" s="822"/>
      <c r="D11" s="822"/>
      <c r="E11" s="822"/>
      <c r="F11" s="822"/>
      <c r="G11" s="822"/>
      <c r="H11" s="822"/>
      <c r="I11" s="822"/>
      <c r="J11" s="822"/>
      <c r="K11" s="822"/>
      <c r="L11" s="822"/>
      <c r="M11" s="822"/>
      <c r="N11" s="822"/>
      <c r="O11" s="822"/>
      <c r="P11" s="822"/>
    </row>
    <row r="12" spans="1:16" ht="150">
      <c r="A12" s="451" t="s">
        <v>793</v>
      </c>
      <c r="B12" s="714" t="s">
        <v>794</v>
      </c>
      <c r="C12" s="991" t="s">
        <v>804</v>
      </c>
      <c r="D12" s="822"/>
      <c r="E12" s="822"/>
      <c r="F12" s="822"/>
      <c r="G12" s="822"/>
      <c r="H12" s="822"/>
      <c r="I12" s="822"/>
      <c r="J12" s="822"/>
      <c r="K12" s="822"/>
      <c r="L12" s="822"/>
      <c r="M12" s="822"/>
      <c r="N12" s="822"/>
      <c r="O12" s="822"/>
      <c r="P12" s="822"/>
    </row>
    <row r="13" spans="1:16">
      <c r="A13" s="822"/>
      <c r="B13" s="822"/>
      <c r="C13" s="822"/>
      <c r="D13" s="822"/>
      <c r="E13" s="822"/>
      <c r="F13" s="822"/>
      <c r="G13" s="822"/>
      <c r="H13" s="822"/>
      <c r="I13" s="822"/>
      <c r="J13" s="822"/>
      <c r="K13" s="822"/>
      <c r="L13" s="822"/>
      <c r="M13" s="822"/>
      <c r="N13" s="822"/>
      <c r="O13" s="822"/>
      <c r="P13" s="822"/>
    </row>
    <row r="14" spans="1:16" ht="15.75">
      <c r="A14" s="1129" t="s">
        <v>241</v>
      </c>
      <c r="B14" s="1130" t="s">
        <v>341</v>
      </c>
      <c r="C14" s="1130"/>
      <c r="D14" s="1131" t="s">
        <v>342</v>
      </c>
      <c r="E14" s="1131"/>
      <c r="F14" s="1131"/>
      <c r="G14" s="1131"/>
      <c r="H14" s="1131"/>
      <c r="I14" s="1131"/>
      <c r="J14" s="1131"/>
      <c r="K14" s="1131"/>
      <c r="L14" s="1131"/>
      <c r="M14" s="1131"/>
      <c r="N14" s="1131"/>
      <c r="O14" s="1131"/>
      <c r="P14" s="1130" t="s">
        <v>795</v>
      </c>
    </row>
    <row r="15" spans="1:16">
      <c r="A15" s="1129"/>
      <c r="B15" s="1130"/>
      <c r="C15" s="1130"/>
      <c r="D15" s="1132" t="s">
        <v>190</v>
      </c>
      <c r="E15" s="1132"/>
      <c r="F15" s="1132"/>
      <c r="G15" s="1132"/>
      <c r="H15" s="1132"/>
      <c r="I15" s="1130" t="s">
        <v>787</v>
      </c>
      <c r="J15" s="1130" t="s">
        <v>222</v>
      </c>
      <c r="K15" s="1130" t="s">
        <v>788</v>
      </c>
      <c r="L15" s="1130" t="s">
        <v>778</v>
      </c>
      <c r="M15" s="1130" t="s">
        <v>233</v>
      </c>
      <c r="N15" s="1130" t="s">
        <v>796</v>
      </c>
      <c r="O15" s="1130" t="s">
        <v>120</v>
      </c>
      <c r="P15" s="1130"/>
    </row>
    <row r="16" spans="1:16" ht="30">
      <c r="A16" s="1129"/>
      <c r="B16" s="972" t="s">
        <v>797</v>
      </c>
      <c r="C16" s="972" t="s">
        <v>798</v>
      </c>
      <c r="D16" s="972" t="s">
        <v>192</v>
      </c>
      <c r="E16" s="972" t="s">
        <v>193</v>
      </c>
      <c r="F16" s="972" t="s">
        <v>194</v>
      </c>
      <c r="G16" s="972" t="s">
        <v>196</v>
      </c>
      <c r="H16" s="972" t="s">
        <v>197</v>
      </c>
      <c r="I16" s="1130"/>
      <c r="J16" s="1130"/>
      <c r="K16" s="1130"/>
      <c r="L16" s="1130"/>
      <c r="M16" s="1130"/>
      <c r="N16" s="1130"/>
      <c r="O16" s="1133"/>
      <c r="P16" s="1130"/>
    </row>
    <row r="17" spans="1:16" ht="210">
      <c r="A17" s="979" t="s">
        <v>240</v>
      </c>
      <c r="B17" s="984" t="s">
        <v>803</v>
      </c>
      <c r="C17" s="984" t="s">
        <v>803</v>
      </c>
      <c r="D17" s="984" t="s">
        <v>803</v>
      </c>
      <c r="E17" s="984" t="s">
        <v>803</v>
      </c>
      <c r="F17" s="984" t="s">
        <v>803</v>
      </c>
      <c r="G17" s="984" t="s">
        <v>803</v>
      </c>
      <c r="H17" s="984" t="s">
        <v>803</v>
      </c>
      <c r="I17" s="984" t="s">
        <v>803</v>
      </c>
      <c r="J17" s="984" t="s">
        <v>803</v>
      </c>
      <c r="K17" s="985" t="s">
        <v>759</v>
      </c>
      <c r="L17" s="985" t="s">
        <v>759</v>
      </c>
      <c r="M17" s="985" t="s">
        <v>759</v>
      </c>
      <c r="N17" s="984" t="s">
        <v>803</v>
      </c>
      <c r="O17" s="984" t="s">
        <v>803</v>
      </c>
      <c r="P17" s="992"/>
    </row>
    <row r="18" spans="1:16" ht="45">
      <c r="A18" s="981" t="s">
        <v>246</v>
      </c>
      <c r="B18" s="986" t="s">
        <v>763</v>
      </c>
      <c r="C18" s="986" t="s">
        <v>763</v>
      </c>
      <c r="D18" s="986" t="s">
        <v>763</v>
      </c>
      <c r="E18" s="986" t="s">
        <v>763</v>
      </c>
      <c r="F18" s="986" t="s">
        <v>763</v>
      </c>
      <c r="G18" s="986" t="s">
        <v>763</v>
      </c>
      <c r="H18" s="986" t="s">
        <v>763</v>
      </c>
      <c r="I18" s="986" t="s">
        <v>763</v>
      </c>
      <c r="J18" s="986" t="s">
        <v>763</v>
      </c>
      <c r="K18" s="986" t="s">
        <v>763</v>
      </c>
      <c r="L18" s="986" t="s">
        <v>763</v>
      </c>
      <c r="M18" s="986" t="s">
        <v>763</v>
      </c>
      <c r="N18" s="986" t="s">
        <v>763</v>
      </c>
      <c r="O18" s="986" t="s">
        <v>763</v>
      </c>
      <c r="P18" s="986" t="s">
        <v>763</v>
      </c>
    </row>
    <row r="19" spans="1:16" ht="45">
      <c r="A19" s="977" t="s">
        <v>799</v>
      </c>
      <c r="B19" s="986" t="s">
        <v>763</v>
      </c>
      <c r="C19" s="986" t="s">
        <v>763</v>
      </c>
      <c r="D19" s="986" t="s">
        <v>763</v>
      </c>
      <c r="E19" s="986" t="s">
        <v>763</v>
      </c>
      <c r="F19" s="986" t="s">
        <v>763</v>
      </c>
      <c r="G19" s="986" t="s">
        <v>763</v>
      </c>
      <c r="H19" s="986" t="s">
        <v>763</v>
      </c>
      <c r="I19" s="986" t="s">
        <v>763</v>
      </c>
      <c r="J19" s="986" t="s">
        <v>763</v>
      </c>
      <c r="K19" s="986" t="s">
        <v>763</v>
      </c>
      <c r="L19" s="986" t="s">
        <v>763</v>
      </c>
      <c r="M19" s="986" t="s">
        <v>763</v>
      </c>
      <c r="N19" s="986" t="s">
        <v>763</v>
      </c>
      <c r="O19" s="986" t="s">
        <v>763</v>
      </c>
      <c r="P19" s="986" t="s">
        <v>763</v>
      </c>
    </row>
    <row r="20" spans="1:16">
      <c r="A20" s="982" t="s">
        <v>109</v>
      </c>
      <c r="B20" s="978"/>
      <c r="C20" s="978"/>
      <c r="D20" s="978"/>
      <c r="E20" s="978"/>
      <c r="F20" s="978"/>
      <c r="G20" s="978"/>
      <c r="H20" s="978"/>
      <c r="I20" s="978"/>
      <c r="J20" s="978"/>
      <c r="K20" s="978"/>
      <c r="L20" s="978"/>
      <c r="M20" s="978"/>
      <c r="N20" s="978"/>
      <c r="O20" s="978"/>
      <c r="P20" s="978"/>
    </row>
    <row r="22" spans="1:16" ht="90">
      <c r="A22" s="451" t="s">
        <v>800</v>
      </c>
      <c r="B22" s="714" t="s">
        <v>794</v>
      </c>
      <c r="C22" s="991" t="s">
        <v>805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election activeCell="A13" sqref="A13:XFD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562</v>
      </c>
      <c r="B6" s="75" t="s">
        <v>563</v>
      </c>
      <c r="C6" s="424" t="s">
        <v>546</v>
      </c>
    </row>
    <row r="7" spans="1:3">
      <c r="A7" s="124"/>
      <c r="B7" s="128"/>
      <c r="C7" s="122"/>
    </row>
    <row r="8" spans="1:3">
      <c r="A8" s="113" t="s">
        <v>565</v>
      </c>
      <c r="B8" s="75" t="s">
        <v>564</v>
      </c>
      <c r="C8" s="424" t="s">
        <v>373</v>
      </c>
    </row>
    <row r="9" spans="1:3">
      <c r="A9" s="124"/>
      <c r="B9" s="128"/>
      <c r="C9" s="122"/>
    </row>
    <row r="10" spans="1:3">
      <c r="A10" s="113" t="s">
        <v>315</v>
      </c>
      <c r="B10" s="75" t="s">
        <v>371</v>
      </c>
      <c r="C10" s="114" t="s">
        <v>373</v>
      </c>
    </row>
    <row r="11" spans="1:3">
      <c r="A11" s="124"/>
      <c r="B11" s="128"/>
      <c r="C11" s="122"/>
    </row>
    <row r="12" spans="1:3" ht="30">
      <c r="A12" s="113" t="s">
        <v>393</v>
      </c>
      <c r="B12" s="75" t="s">
        <v>505</v>
      </c>
      <c r="C12" s="304" t="s">
        <v>576</v>
      </c>
    </row>
    <row r="13" spans="1:3" s="11" customFormat="1">
      <c r="A13" s="139"/>
      <c r="B13" s="157"/>
      <c r="C13" s="158"/>
    </row>
    <row r="14" spans="1:3" ht="21">
      <c r="A14" s="125" t="s">
        <v>455</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39" customWidth="1"/>
    <col min="2" max="2" width="15" style="439" customWidth="1"/>
    <col min="3" max="3" width="25.140625" style="439" customWidth="1"/>
    <col min="4" max="4" width="15" style="439" customWidth="1"/>
    <col min="5" max="5" width="40.5703125" style="439" customWidth="1"/>
    <col min="6" max="6" width="14.85546875" style="439" customWidth="1"/>
    <col min="7" max="7" width="8.5703125" style="439" bestFit="1" customWidth="1"/>
    <col min="8" max="8" width="10.85546875" style="439" bestFit="1"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35.7109375" style="439" customWidth="1"/>
    <col min="16" max="16" width="43.5703125" style="439" customWidth="1"/>
    <col min="17" max="17" width="9.140625" style="439"/>
    <col min="18" max="18" width="20.42578125" style="439" customWidth="1"/>
    <col min="19" max="16384" width="9.140625" style="439"/>
  </cols>
  <sheetData>
    <row r="1" spans="1:16" ht="15.75" customHeight="1" outlineLevel="1" thickTop="1" thickBot="1">
      <c r="A1" s="1134" t="s">
        <v>372</v>
      </c>
      <c r="B1" s="1135" t="s">
        <v>188</v>
      </c>
      <c r="C1" s="1136"/>
      <c r="D1" s="1136"/>
      <c r="E1" s="1136"/>
      <c r="F1" s="1136"/>
      <c r="G1" s="1136"/>
      <c r="H1" s="1136"/>
      <c r="I1" s="1136"/>
      <c r="J1" s="1136"/>
      <c r="K1" s="1136"/>
      <c r="L1" s="1136"/>
      <c r="M1" s="1136"/>
      <c r="N1" s="1136"/>
      <c r="O1" s="1136"/>
      <c r="P1" s="1136"/>
    </row>
    <row r="2" spans="1:16" ht="15" customHeight="1" outlineLevel="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outlineLevel="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outlineLevel="1">
      <c r="A4" s="622" t="s">
        <v>571</v>
      </c>
      <c r="B4" s="454"/>
      <c r="C4" s="454"/>
      <c r="D4" s="454"/>
      <c r="E4" s="454"/>
      <c r="F4" s="454"/>
      <c r="G4" s="486"/>
      <c r="H4" s="486"/>
      <c r="I4" s="454"/>
      <c r="J4" s="454"/>
      <c r="K4" s="454"/>
      <c r="L4" s="454"/>
      <c r="M4" s="454"/>
      <c r="N4" s="454"/>
      <c r="O4" s="454"/>
      <c r="P4" s="454"/>
    </row>
    <row r="5" spans="1:16" outlineLevel="1">
      <c r="A5" s="622" t="s">
        <v>572</v>
      </c>
      <c r="B5" s="454"/>
      <c r="C5" s="454"/>
      <c r="D5" s="454"/>
      <c r="E5" s="454"/>
      <c r="F5" s="454"/>
      <c r="G5" s="486"/>
      <c r="H5" s="486"/>
      <c r="I5" s="454"/>
      <c r="J5" s="454"/>
      <c r="K5" s="454"/>
      <c r="L5" s="454"/>
      <c r="M5" s="454"/>
      <c r="N5" s="454"/>
      <c r="O5" s="454"/>
      <c r="P5" s="454"/>
    </row>
    <row r="6" spans="1:16" outlineLevel="1">
      <c r="A6" s="622" t="s">
        <v>573</v>
      </c>
      <c r="B6" s="454"/>
      <c r="C6" s="454"/>
      <c r="D6" s="454"/>
      <c r="E6" s="454"/>
      <c r="F6" s="454"/>
      <c r="G6" s="486"/>
      <c r="H6" s="486"/>
      <c r="I6" s="454"/>
      <c r="J6" s="454"/>
      <c r="K6" s="454"/>
      <c r="L6" s="454"/>
      <c r="M6" s="454"/>
      <c r="N6" s="454"/>
      <c r="O6" s="454"/>
      <c r="P6" s="454"/>
    </row>
    <row r="7" spans="1:16" outlineLevel="1">
      <c r="A7" s="456"/>
      <c r="B7" s="454"/>
      <c r="C7" s="454"/>
      <c r="D7" s="454"/>
      <c r="E7" s="454"/>
      <c r="F7" s="454"/>
      <c r="G7" s="486"/>
      <c r="H7" s="486"/>
      <c r="I7" s="454"/>
      <c r="J7" s="454"/>
      <c r="K7" s="454"/>
      <c r="L7" s="454"/>
      <c r="M7" s="454"/>
      <c r="N7" s="454"/>
      <c r="O7" s="454"/>
      <c r="P7" s="454"/>
    </row>
    <row r="8" spans="1:16" outlineLevel="1">
      <c r="A8" s="623" t="s">
        <v>574</v>
      </c>
      <c r="B8" s="454"/>
      <c r="C8" s="454"/>
      <c r="D8" s="454"/>
      <c r="E8" s="454"/>
      <c r="F8" s="454"/>
      <c r="G8" s="486"/>
      <c r="H8" s="486"/>
      <c r="I8" s="454"/>
      <c r="J8" s="454"/>
      <c r="K8" s="454"/>
      <c r="L8" s="454"/>
      <c r="M8" s="454"/>
      <c r="N8" s="454"/>
      <c r="O8" s="454"/>
      <c r="P8" s="454"/>
    </row>
    <row r="9" spans="1:16" outlineLevel="1">
      <c r="A9" s="456"/>
      <c r="B9" s="454"/>
      <c r="C9" s="454"/>
      <c r="D9" s="454"/>
      <c r="E9" s="454"/>
      <c r="F9" s="454"/>
      <c r="G9" s="486"/>
      <c r="H9" s="486"/>
      <c r="I9" s="454"/>
      <c r="J9" s="454"/>
      <c r="K9" s="454"/>
      <c r="L9" s="454"/>
      <c r="M9" s="454"/>
      <c r="N9" s="454"/>
      <c r="O9" s="454"/>
      <c r="P9" s="454"/>
    </row>
    <row r="10" spans="1:16" outlineLevel="1">
      <c r="A10" s="456" t="s">
        <v>575</v>
      </c>
      <c r="B10" s="454"/>
      <c r="C10" s="454"/>
      <c r="D10" s="454"/>
      <c r="E10" s="454"/>
      <c r="F10" s="454"/>
      <c r="G10" s="486"/>
      <c r="H10" s="486"/>
      <c r="I10" s="454"/>
      <c r="J10" s="454"/>
      <c r="K10" s="454"/>
      <c r="L10" s="454"/>
      <c r="M10" s="454"/>
      <c r="N10" s="454"/>
      <c r="O10" s="454"/>
      <c r="P10" s="454"/>
    </row>
    <row r="11" spans="1:16" outlineLevel="1">
      <c r="A11" s="456"/>
      <c r="B11" s="454"/>
      <c r="C11" s="454"/>
      <c r="D11" s="454"/>
      <c r="E11" s="454"/>
      <c r="F11" s="454"/>
      <c r="G11" s="486"/>
      <c r="H11" s="486"/>
      <c r="I11" s="454"/>
      <c r="J11" s="454"/>
      <c r="K11" s="454"/>
      <c r="L11" s="454"/>
      <c r="M11" s="454"/>
      <c r="N11" s="454"/>
      <c r="O11" s="454"/>
      <c r="P11" s="454"/>
    </row>
    <row r="12" spans="1:16" ht="15.75" outlineLevel="1" thickBot="1">
      <c r="B12" s="454"/>
      <c r="C12" s="454"/>
      <c r="D12" s="454"/>
      <c r="E12" s="454"/>
      <c r="F12" s="454"/>
      <c r="G12" s="486"/>
      <c r="H12" s="486"/>
      <c r="I12" s="454"/>
      <c r="J12" s="454"/>
      <c r="K12" s="454"/>
      <c r="L12" s="454"/>
      <c r="M12" s="454"/>
      <c r="N12" s="454"/>
      <c r="O12" s="454"/>
      <c r="P12" s="454"/>
    </row>
    <row r="13" spans="1:16" ht="25.5" customHeight="1" outlineLevel="1" thickBot="1">
      <c r="A13" s="457" t="s">
        <v>560</v>
      </c>
      <c r="B13" s="441"/>
      <c r="C13" s="458"/>
      <c r="D13" s="458"/>
      <c r="E13" s="458"/>
      <c r="F13" s="458"/>
      <c r="G13" s="458"/>
      <c r="H13" s="458"/>
      <c r="I13" s="458"/>
      <c r="J13" s="458"/>
      <c r="K13" s="458"/>
      <c r="L13" s="458"/>
      <c r="M13" s="458"/>
      <c r="N13" s="458"/>
      <c r="O13" s="715" t="s">
        <v>592</v>
      </c>
      <c r="P13" s="715" t="s">
        <v>591</v>
      </c>
    </row>
    <row r="14" spans="1:16" outlineLevel="1"/>
    <row r="15" spans="1:16" s="450" customFormat="1" outlineLevel="1">
      <c r="A15" s="459" t="s">
        <v>293</v>
      </c>
      <c r="B15" s="460">
        <f>SUM(B4:B12)</f>
        <v>0</v>
      </c>
      <c r="C15" s="460">
        <f t="shared" ref="C15:P15" si="0">SUM(C4:C13)</f>
        <v>0</v>
      </c>
      <c r="D15" s="460">
        <f t="shared" si="0"/>
        <v>0</v>
      </c>
      <c r="E15" s="460">
        <f t="shared" si="0"/>
        <v>0</v>
      </c>
      <c r="F15" s="460">
        <f t="shared" si="0"/>
        <v>0</v>
      </c>
      <c r="G15" s="460"/>
      <c r="H15" s="460"/>
      <c r="I15" s="460">
        <f t="shared" si="0"/>
        <v>0</v>
      </c>
      <c r="J15" s="460">
        <f t="shared" si="0"/>
        <v>0</v>
      </c>
      <c r="K15" s="460">
        <f t="shared" si="0"/>
        <v>0</v>
      </c>
      <c r="L15" s="460">
        <f t="shared" si="0"/>
        <v>0</v>
      </c>
      <c r="M15" s="460">
        <f>SUM(M4:M13)</f>
        <v>0</v>
      </c>
      <c r="N15" s="460">
        <f t="shared" si="0"/>
        <v>0</v>
      </c>
      <c r="O15" s="460">
        <f>SUM(O4:O13)</f>
        <v>0</v>
      </c>
      <c r="P15" s="460">
        <f t="shared" si="0"/>
        <v>0</v>
      </c>
    </row>
    <row r="16" spans="1:16" outlineLevel="1">
      <c r="B16" s="463"/>
      <c r="C16" s="463"/>
      <c r="D16" s="463"/>
      <c r="E16" s="463"/>
      <c r="F16" s="463"/>
      <c r="G16" s="463"/>
      <c r="H16" s="463"/>
      <c r="I16" s="463"/>
      <c r="J16" s="463"/>
      <c r="K16" s="463"/>
      <c r="L16" s="463"/>
      <c r="M16" s="463"/>
      <c r="N16" s="463"/>
      <c r="O16" s="463"/>
      <c r="P16" s="463"/>
    </row>
    <row r="17" spans="1:16" outlineLevel="1">
      <c r="A17" s="464" t="s">
        <v>569</v>
      </c>
      <c r="B17" s="488">
        <f ca="1">'EF ele_warmte'!B12</f>
        <v>0.18985386689719377</v>
      </c>
      <c r="C17" s="488">
        <f ca="1">'EF ele_warmte'!B22</f>
        <v>0.17078684180239098</v>
      </c>
      <c r="D17" s="488">
        <f>EF_CO2_aardgas</f>
        <v>0.20200000000000001</v>
      </c>
      <c r="E17" s="488">
        <f>EF_VLgas_CO2</f>
        <v>0.22700000000000001</v>
      </c>
      <c r="F17" s="488">
        <f>EF_stookolie_CO2</f>
        <v>0.26700000000000002</v>
      </c>
      <c r="G17" s="488"/>
      <c r="H17" s="488"/>
      <c r="I17" s="488">
        <f>EF_bruinkool_CO2</f>
        <v>0.35099999999999998</v>
      </c>
      <c r="J17" s="488">
        <f>EF_steenkool_CO2</f>
        <v>0.35399999999999998</v>
      </c>
      <c r="K17" s="488">
        <f>EF_anderfossiel_CO2</f>
        <v>0.26400000000000001</v>
      </c>
      <c r="L17" s="488">
        <f>'EF brandstof'!J4</f>
        <v>0</v>
      </c>
      <c r="M17" s="488">
        <f>'EF brandstof'!K4</f>
        <v>0</v>
      </c>
      <c r="N17" s="488">
        <f>'EF brandstof'!L4</f>
        <v>0</v>
      </c>
      <c r="O17" s="488">
        <v>0</v>
      </c>
      <c r="P17" s="488">
        <v>0</v>
      </c>
    </row>
    <row r="18" spans="1:16" outlineLevel="1">
      <c r="B18" s="463"/>
      <c r="C18" s="463"/>
      <c r="D18" s="463"/>
      <c r="E18" s="463"/>
      <c r="F18" s="463"/>
      <c r="G18" s="463"/>
      <c r="H18" s="463"/>
      <c r="I18" s="463"/>
      <c r="J18" s="463"/>
      <c r="K18" s="463"/>
      <c r="L18" s="463"/>
      <c r="M18" s="463"/>
      <c r="N18" s="463"/>
      <c r="O18" s="463"/>
      <c r="P18" s="463"/>
    </row>
    <row r="19" spans="1:16" outlineLevel="1">
      <c r="A19" s="459" t="s">
        <v>206</v>
      </c>
      <c r="B19" s="465">
        <f ca="1">B15*B17</f>
        <v>0</v>
      </c>
      <c r="C19" s="465">
        <f ca="1">C15*C17</f>
        <v>0</v>
      </c>
      <c r="D19" s="465">
        <f>D15*D17</f>
        <v>0</v>
      </c>
      <c r="E19" s="465">
        <f>E15*E17</f>
        <v>0</v>
      </c>
      <c r="F19" s="465">
        <f>F15*F17</f>
        <v>0</v>
      </c>
      <c r="G19" s="465"/>
      <c r="H19" s="465"/>
      <c r="I19" s="465">
        <f t="shared" ref="I19:P19" si="1">I15*I17</f>
        <v>0</v>
      </c>
      <c r="J19" s="465">
        <f t="shared" si="1"/>
        <v>0</v>
      </c>
      <c r="K19" s="465">
        <f t="shared" si="1"/>
        <v>0</v>
      </c>
      <c r="L19" s="465">
        <f t="shared" si="1"/>
        <v>0</v>
      </c>
      <c r="M19" s="465">
        <f t="shared" si="1"/>
        <v>0</v>
      </c>
      <c r="N19" s="465">
        <f t="shared" si="1"/>
        <v>0</v>
      </c>
      <c r="O19" s="465">
        <f t="shared" si="1"/>
        <v>0</v>
      </c>
      <c r="P19" s="465">
        <f t="shared" si="1"/>
        <v>0</v>
      </c>
    </row>
    <row r="22" spans="1:16" s="441" customFormat="1" ht="15" customHeight="1" outlineLevel="1">
      <c r="A22" s="466" t="s">
        <v>468</v>
      </c>
      <c r="B22" s="467"/>
      <c r="C22" s="468"/>
      <c r="D22" s="469"/>
      <c r="E22" s="470"/>
    </row>
    <row r="23" spans="1:16" s="48" customFormat="1" ht="15" customHeight="1" outlineLevel="1">
      <c r="A23" s="471"/>
      <c r="B23" s="472"/>
      <c r="C23" s="473" t="s">
        <v>363</v>
      </c>
      <c r="D23" s="473" t="s">
        <v>175</v>
      </c>
      <c r="E23" s="474"/>
    </row>
    <row r="24" spans="1:16" s="441" customFormat="1" ht="15" customHeight="1" outlineLevel="1">
      <c r="A24" s="475" t="s">
        <v>254</v>
      </c>
      <c r="B24" s="47">
        <f>EigenZB</f>
        <v>2</v>
      </c>
      <c r="C24" s="476"/>
      <c r="D24" s="820" t="s">
        <v>612</v>
      </c>
      <c r="E24" s="442"/>
    </row>
    <row r="25" spans="1:16" s="441" customFormat="1" outlineLevel="1">
      <c r="A25" s="475" t="s">
        <v>435</v>
      </c>
      <c r="B25" s="48">
        <v>4.2</v>
      </c>
      <c r="C25" s="476"/>
      <c r="D25" s="477" t="s">
        <v>492</v>
      </c>
      <c r="E25" s="453"/>
    </row>
    <row r="26" spans="1:16" s="441" customFormat="1" outlineLevel="1">
      <c r="A26" s="719" t="s">
        <v>436</v>
      </c>
      <c r="B26" s="720">
        <f>1.34/3.6</f>
        <v>0.37222222222222223</v>
      </c>
      <c r="C26" s="476" t="s">
        <v>208</v>
      </c>
      <c r="D26" s="477" t="s">
        <v>492</v>
      </c>
      <c r="E26" s="453"/>
    </row>
    <row r="27" spans="1:16" s="441" customFormat="1" outlineLevel="1">
      <c r="A27" s="478" t="s">
        <v>583</v>
      </c>
      <c r="B27" s="722">
        <f>B24*B25*B26</f>
        <v>3.1266666666666669</v>
      </c>
      <c r="C27" s="479" t="s">
        <v>584</v>
      </c>
      <c r="D27" s="480"/>
      <c r="E27" s="481"/>
    </row>
    <row r="28" spans="1:16" s="441" customFormat="1" outlineLevel="1">
      <c r="A28" s="48"/>
      <c r="B28" s="48"/>
      <c r="C28" s="482"/>
      <c r="D28" s="476"/>
    </row>
    <row r="29" spans="1:16" s="441" customFormat="1" outlineLevel="1">
      <c r="A29" s="483" t="s">
        <v>469</v>
      </c>
      <c r="B29" s="467"/>
      <c r="C29" s="468"/>
      <c r="D29" s="469"/>
      <c r="E29" s="470"/>
    </row>
    <row r="30" spans="1:16" s="48" customFormat="1" outlineLevel="1">
      <c r="A30" s="484"/>
      <c r="B30" s="472"/>
      <c r="C30" s="473" t="s">
        <v>363</v>
      </c>
      <c r="D30" s="473" t="s">
        <v>175</v>
      </c>
      <c r="E30" s="474"/>
    </row>
    <row r="31" spans="1:16" s="441" customFormat="1" outlineLevel="1">
      <c r="A31" s="475" t="s">
        <v>434</v>
      </c>
      <c r="B31" s="47">
        <f>EigenWP</f>
        <v>0</v>
      </c>
      <c r="C31" s="476"/>
      <c r="D31" s="820" t="s">
        <v>612</v>
      </c>
      <c r="E31" s="442"/>
    </row>
    <row r="32" spans="1:16" s="441" customFormat="1" outlineLevel="1">
      <c r="A32" s="475" t="s">
        <v>432</v>
      </c>
      <c r="B32" s="48">
        <v>13</v>
      </c>
      <c r="C32" s="482" t="s">
        <v>251</v>
      </c>
      <c r="D32" s="477" t="s">
        <v>492</v>
      </c>
      <c r="E32" s="442"/>
    </row>
    <row r="33" spans="1:5" s="441" customFormat="1" outlineLevel="1">
      <c r="A33" s="475" t="s">
        <v>433</v>
      </c>
      <c r="B33" s="48">
        <v>2000</v>
      </c>
      <c r="C33" s="482" t="s">
        <v>253</v>
      </c>
      <c r="D33" s="477" t="s">
        <v>492</v>
      </c>
      <c r="E33" s="442"/>
    </row>
    <row r="34" spans="1:5" s="441" customFormat="1" outlineLevel="1">
      <c r="A34" s="719" t="s">
        <v>368</v>
      </c>
      <c r="B34" s="48">
        <v>3.75</v>
      </c>
      <c r="C34" s="482"/>
      <c r="D34" s="477" t="s">
        <v>492</v>
      </c>
      <c r="E34" s="442"/>
    </row>
    <row r="35" spans="1:5" s="441" customFormat="1" outlineLevel="1">
      <c r="A35" s="478" t="s">
        <v>583</v>
      </c>
      <c r="B35" s="721">
        <f>B31*B32*B33/1000-B31*B32*B33/1000/B34</f>
        <v>0</v>
      </c>
      <c r="C35" s="485" t="s">
        <v>584</v>
      </c>
      <c r="D35" s="480"/>
      <c r="E35" s="44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39" customWidth="1"/>
    <col min="2" max="2" width="15" style="439" customWidth="1"/>
    <col min="3" max="3" width="25.140625" style="439" customWidth="1"/>
    <col min="4" max="4" width="15" style="439" customWidth="1"/>
    <col min="5" max="5" width="40.5703125" style="439" customWidth="1"/>
    <col min="6" max="6" width="14.85546875" style="439" customWidth="1"/>
    <col min="7" max="7" width="6.5703125" style="439" bestFit="1" customWidth="1"/>
    <col min="8" max="8" width="8.140625" style="439" bestFit="1"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26.42578125" style="439" bestFit="1" customWidth="1"/>
    <col min="16" max="16" width="43.5703125" style="439" customWidth="1"/>
    <col min="17" max="17" width="9.140625" style="439"/>
    <col min="18" max="18" width="20.42578125" style="439" customWidth="1"/>
    <col min="19" max="16384" width="9.140625" style="439"/>
  </cols>
  <sheetData>
    <row r="1" spans="1:16" ht="15.75" customHeight="1" outlineLevel="1" thickTop="1" thickBot="1">
      <c r="A1" s="1134" t="s">
        <v>372</v>
      </c>
      <c r="B1" s="1135" t="s">
        <v>188</v>
      </c>
      <c r="C1" s="1136"/>
      <c r="D1" s="1136"/>
      <c r="E1" s="1136"/>
      <c r="F1" s="1136"/>
      <c r="G1" s="1136"/>
      <c r="H1" s="1136"/>
      <c r="I1" s="1136"/>
      <c r="J1" s="1136"/>
      <c r="K1" s="1136"/>
      <c r="L1" s="1136"/>
      <c r="M1" s="1136"/>
      <c r="N1" s="1136"/>
      <c r="O1" s="1136"/>
      <c r="P1" s="1136"/>
    </row>
    <row r="2" spans="1:16" ht="15" customHeight="1" outlineLevel="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outlineLevel="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outlineLevel="1">
      <c r="A4" s="456"/>
      <c r="B4" s="454"/>
      <c r="C4" s="486"/>
      <c r="D4" s="486"/>
      <c r="E4" s="486"/>
      <c r="F4" s="486"/>
      <c r="G4" s="486"/>
      <c r="H4" s="486"/>
      <c r="I4" s="486"/>
      <c r="J4" s="486"/>
      <c r="K4" s="486"/>
      <c r="L4" s="486"/>
      <c r="M4" s="486"/>
      <c r="N4" s="486"/>
      <c r="O4" s="486"/>
      <c r="P4" s="486"/>
    </row>
    <row r="5" spans="1:16" outlineLevel="1">
      <c r="A5" s="456"/>
      <c r="B5" s="454"/>
      <c r="C5" s="486"/>
      <c r="D5" s="486"/>
      <c r="E5" s="486"/>
      <c r="F5" s="486"/>
      <c r="G5" s="486"/>
      <c r="H5" s="486"/>
      <c r="I5" s="486"/>
      <c r="J5" s="486"/>
      <c r="K5" s="486"/>
      <c r="L5" s="486"/>
      <c r="M5" s="486"/>
      <c r="N5" s="486"/>
      <c r="O5" s="486"/>
      <c r="P5" s="486"/>
    </row>
    <row r="6" spans="1:16" outlineLevel="1">
      <c r="A6" s="456"/>
      <c r="B6" s="454"/>
      <c r="C6" s="486"/>
      <c r="D6" s="486"/>
      <c r="E6" s="486"/>
      <c r="F6" s="486"/>
      <c r="G6" s="486"/>
      <c r="H6" s="486"/>
      <c r="I6" s="486"/>
      <c r="J6" s="486"/>
      <c r="K6" s="486"/>
      <c r="L6" s="486"/>
      <c r="M6" s="486"/>
      <c r="N6" s="486"/>
      <c r="O6" s="486"/>
      <c r="P6" s="486"/>
    </row>
    <row r="7" spans="1:16" outlineLevel="1">
      <c r="A7" s="456"/>
      <c r="B7" s="454"/>
      <c r="C7" s="486"/>
      <c r="D7" s="486"/>
      <c r="E7" s="486"/>
      <c r="F7" s="486"/>
      <c r="G7" s="486"/>
      <c r="H7" s="486"/>
      <c r="I7" s="486"/>
      <c r="J7" s="486"/>
      <c r="K7" s="486"/>
      <c r="L7" s="486"/>
      <c r="M7" s="486"/>
      <c r="N7" s="486"/>
      <c r="O7" s="486"/>
      <c r="P7" s="486"/>
    </row>
    <row r="8" spans="1:16" outlineLevel="1">
      <c r="A8" s="623"/>
      <c r="B8" s="454"/>
      <c r="C8" s="486"/>
      <c r="D8" s="486"/>
      <c r="E8" s="486"/>
      <c r="F8" s="486"/>
      <c r="G8" s="486"/>
      <c r="H8" s="486"/>
      <c r="I8" s="486"/>
      <c r="J8" s="486"/>
      <c r="K8" s="486"/>
      <c r="L8" s="486"/>
      <c r="M8" s="486"/>
      <c r="N8" s="486"/>
      <c r="O8" s="486"/>
      <c r="P8" s="486"/>
    </row>
    <row r="9" spans="1:16" outlineLevel="1">
      <c r="A9" s="456"/>
      <c r="B9" s="454"/>
      <c r="C9" s="486"/>
      <c r="D9" s="486"/>
      <c r="E9" s="486"/>
      <c r="F9" s="486"/>
      <c r="G9" s="486"/>
      <c r="H9" s="486"/>
      <c r="I9" s="486"/>
      <c r="J9" s="486"/>
      <c r="K9" s="486"/>
      <c r="L9" s="486"/>
      <c r="M9" s="486"/>
      <c r="N9" s="486"/>
      <c r="O9" s="486"/>
      <c r="P9" s="486"/>
    </row>
    <row r="10" spans="1:16" outlineLevel="1">
      <c r="A10" s="456"/>
      <c r="B10" s="454"/>
      <c r="C10" s="486"/>
      <c r="D10" s="486"/>
      <c r="E10" s="486"/>
      <c r="F10" s="486"/>
      <c r="G10" s="486"/>
      <c r="H10" s="486"/>
      <c r="I10" s="486"/>
      <c r="J10" s="486"/>
      <c r="K10" s="486"/>
      <c r="L10" s="486"/>
      <c r="M10" s="486"/>
      <c r="N10" s="486"/>
      <c r="O10" s="486"/>
      <c r="P10" s="486"/>
    </row>
    <row r="11" spans="1:16" outlineLevel="1">
      <c r="A11" s="456"/>
      <c r="B11" s="454"/>
      <c r="C11" s="486"/>
      <c r="D11" s="486"/>
      <c r="E11" s="486"/>
      <c r="F11" s="486"/>
      <c r="G11" s="486"/>
      <c r="H11" s="486"/>
      <c r="I11" s="486"/>
      <c r="J11" s="486"/>
      <c r="K11" s="486"/>
      <c r="L11" s="486"/>
      <c r="M11" s="486"/>
      <c r="N11" s="486"/>
      <c r="O11" s="486"/>
      <c r="P11" s="486"/>
    </row>
    <row r="12" spans="1:16" ht="15.75" outlineLevel="1" thickBot="1">
      <c r="A12" s="456"/>
      <c r="B12" s="454"/>
      <c r="C12" s="486"/>
      <c r="D12" s="486"/>
      <c r="E12" s="486"/>
      <c r="F12" s="486"/>
      <c r="G12" s="486"/>
      <c r="H12" s="486"/>
      <c r="I12" s="486"/>
      <c r="J12" s="486"/>
      <c r="K12" s="486"/>
      <c r="L12" s="486"/>
      <c r="M12" s="486"/>
      <c r="N12" s="486"/>
      <c r="O12" s="486"/>
      <c r="P12" s="486"/>
    </row>
    <row r="13" spans="1:16" ht="25.5" customHeight="1" outlineLevel="1" thickBot="1">
      <c r="A13" s="457" t="s">
        <v>560</v>
      </c>
      <c r="B13" s="441"/>
      <c r="C13" s="458"/>
      <c r="D13" s="458"/>
      <c r="E13" s="458"/>
      <c r="F13" s="458"/>
      <c r="G13" s="458"/>
      <c r="H13" s="458"/>
      <c r="I13" s="458"/>
      <c r="J13" s="458"/>
      <c r="K13" s="458"/>
      <c r="L13" s="458"/>
      <c r="M13" s="458"/>
      <c r="N13" s="458"/>
      <c r="O13" s="1141"/>
      <c r="P13" s="1141"/>
    </row>
    <row r="14" spans="1:16" outlineLevel="1">
      <c r="A14" s="456"/>
      <c r="B14" s="52"/>
      <c r="C14" s="486"/>
      <c r="D14" s="486"/>
      <c r="E14" s="486"/>
      <c r="F14" s="486"/>
      <c r="G14" s="486"/>
      <c r="H14" s="486"/>
      <c r="I14" s="486"/>
      <c r="J14" s="486"/>
      <c r="K14" s="486"/>
      <c r="L14" s="486"/>
      <c r="M14" s="486"/>
      <c r="N14" s="486"/>
      <c r="O14" s="486"/>
      <c r="P14" s="486"/>
    </row>
    <row r="15" spans="1:16" s="450" customFormat="1" outlineLevel="1">
      <c r="A15" s="459" t="s">
        <v>294</v>
      </c>
      <c r="B15" s="460">
        <f>SUM(B4:B12)</f>
        <v>0</v>
      </c>
      <c r="C15" s="461"/>
      <c r="D15" s="461"/>
      <c r="E15" s="461"/>
      <c r="F15" s="461"/>
      <c r="G15" s="461"/>
      <c r="H15" s="461"/>
      <c r="I15" s="461"/>
      <c r="J15" s="461"/>
      <c r="K15" s="461"/>
      <c r="L15" s="461"/>
      <c r="M15" s="461"/>
      <c r="N15" s="461"/>
      <c r="O15" s="462"/>
      <c r="P15" s="462"/>
    </row>
    <row r="16" spans="1:16" outlineLevel="1">
      <c r="B16" s="463"/>
      <c r="C16" s="463"/>
      <c r="D16" s="463"/>
      <c r="E16" s="463"/>
      <c r="F16" s="463"/>
      <c r="G16" s="463"/>
      <c r="H16" s="463"/>
      <c r="I16" s="463"/>
      <c r="J16" s="463"/>
      <c r="K16" s="463"/>
      <c r="L16" s="463"/>
      <c r="M16" s="463"/>
      <c r="N16" s="463"/>
      <c r="O16" s="463"/>
      <c r="P16" s="463"/>
    </row>
    <row r="17" spans="1:16" outlineLevel="1">
      <c r="A17" s="464" t="s">
        <v>569</v>
      </c>
      <c r="B17" s="488">
        <f ca="1">'EF ele_warmte'!B12</f>
        <v>0.18985386689719377</v>
      </c>
      <c r="C17" s="488">
        <f ca="1">'EF ele_warmte'!B22</f>
        <v>0.17078684180239098</v>
      </c>
      <c r="D17" s="488">
        <f>EF_CO2_aardgas</f>
        <v>0.20200000000000001</v>
      </c>
      <c r="E17" s="488">
        <f>EF_VLgas_CO2</f>
        <v>0.22700000000000001</v>
      </c>
      <c r="F17" s="488">
        <f>EF_stookolie_CO2</f>
        <v>0.26700000000000002</v>
      </c>
      <c r="G17" s="488"/>
      <c r="H17" s="488"/>
      <c r="I17" s="488">
        <f>EF_bruinkool_CO2</f>
        <v>0.35099999999999998</v>
      </c>
      <c r="J17" s="488">
        <f>EF_steenkool_CO2</f>
        <v>0.35399999999999998</v>
      </c>
      <c r="K17" s="488">
        <f>EF_anderfossiel_CO2</f>
        <v>0.26400000000000001</v>
      </c>
      <c r="L17" s="488">
        <f>'EF brandstof'!J4</f>
        <v>0</v>
      </c>
      <c r="M17" s="488">
        <f>'EF brandstof'!K4</f>
        <v>0</v>
      </c>
      <c r="N17" s="488">
        <f>'EF brandstof'!L4</f>
        <v>0</v>
      </c>
      <c r="O17" s="488">
        <v>0</v>
      </c>
      <c r="P17" s="488">
        <v>0</v>
      </c>
    </row>
    <row r="18" spans="1:16" outlineLevel="1">
      <c r="B18" s="463"/>
      <c r="C18" s="463"/>
      <c r="D18" s="463"/>
      <c r="E18" s="463"/>
      <c r="F18" s="463"/>
      <c r="G18" s="463"/>
      <c r="H18" s="463"/>
      <c r="I18" s="463"/>
      <c r="J18" s="463"/>
      <c r="K18" s="463"/>
      <c r="L18" s="463"/>
      <c r="M18" s="463"/>
      <c r="N18" s="463"/>
      <c r="O18" s="463"/>
      <c r="P18" s="463"/>
    </row>
    <row r="19" spans="1:16" outlineLevel="1">
      <c r="A19" s="459" t="s">
        <v>206</v>
      </c>
      <c r="B19" s="465">
        <f ca="1">B15*B17</f>
        <v>0</v>
      </c>
      <c r="C19" s="465"/>
      <c r="D19" s="465"/>
      <c r="E19" s="465"/>
      <c r="F19" s="465"/>
      <c r="G19" s="465"/>
      <c r="H19" s="465"/>
      <c r="I19" s="465"/>
      <c r="J19" s="465"/>
      <c r="K19" s="465"/>
      <c r="L19" s="465"/>
      <c r="M19" s="465"/>
      <c r="N19" s="465"/>
      <c r="O19" s="465"/>
      <c r="P19" s="46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39" customWidth="1"/>
    <col min="2" max="2" width="14.140625" style="439" customWidth="1"/>
    <col min="3" max="3" width="16.42578125" style="439" customWidth="1"/>
    <col min="4" max="4" width="15" style="439" customWidth="1"/>
    <col min="5" max="5" width="13.85546875" style="439" customWidth="1"/>
    <col min="6" max="6" width="14.85546875" style="439" customWidth="1"/>
    <col min="7" max="7" width="14.7109375" style="439" customWidth="1"/>
    <col min="8" max="8" width="14.28515625" style="439" customWidth="1"/>
    <col min="9" max="9" width="15.7109375" style="439" customWidth="1"/>
    <col min="10" max="10" width="15.42578125" style="439" customWidth="1"/>
    <col min="11" max="11" width="17.42578125" style="439" customWidth="1"/>
    <col min="12" max="12" width="14.5703125" style="439" customWidth="1"/>
    <col min="13" max="13" width="15.5703125" style="439" customWidth="1"/>
    <col min="14" max="14" width="17.85546875" style="439" customWidth="1"/>
    <col min="15" max="15" width="16.140625" style="439" customWidth="1"/>
    <col min="16" max="16" width="17.5703125" style="439" customWidth="1"/>
    <col min="17" max="17" width="9.140625" style="439"/>
    <col min="18" max="18" width="20.42578125" style="439" customWidth="1"/>
    <col min="19" max="16384" width="9.140625" style="439"/>
  </cols>
  <sheetData>
    <row r="1" spans="1:16" ht="15.75" customHeight="1" thickTop="1" thickBot="1">
      <c r="A1" s="1134" t="s">
        <v>315</v>
      </c>
      <c r="B1" s="1135" t="s">
        <v>188</v>
      </c>
      <c r="C1" s="1136"/>
      <c r="D1" s="1136"/>
      <c r="E1" s="1136"/>
      <c r="F1" s="1136"/>
      <c r="G1" s="1136"/>
      <c r="H1" s="1136"/>
      <c r="I1" s="1136"/>
      <c r="J1" s="1136"/>
      <c r="K1" s="1136"/>
      <c r="L1" s="1136"/>
      <c r="M1" s="1136"/>
      <c r="N1" s="1136"/>
      <c r="O1" s="1136"/>
      <c r="P1" s="1136"/>
    </row>
    <row r="2" spans="1:16" ht="15" customHeight="1" thickTop="1">
      <c r="A2" s="1134"/>
      <c r="B2" s="1137" t="s">
        <v>20</v>
      </c>
      <c r="C2" s="1137" t="s">
        <v>189</v>
      </c>
      <c r="D2" s="1138" t="s">
        <v>190</v>
      </c>
      <c r="E2" s="1139"/>
      <c r="F2" s="1139"/>
      <c r="G2" s="1139"/>
      <c r="H2" s="1139"/>
      <c r="I2" s="1139"/>
      <c r="J2" s="1139"/>
      <c r="K2" s="1140"/>
      <c r="L2" s="1138" t="s">
        <v>191</v>
      </c>
      <c r="M2" s="1139"/>
      <c r="N2" s="1139"/>
      <c r="O2" s="1139"/>
      <c r="P2" s="1140"/>
    </row>
    <row r="3" spans="1:16" ht="56.25" customHeight="1">
      <c r="A3" s="1134"/>
      <c r="B3" s="1117"/>
      <c r="C3" s="1117"/>
      <c r="D3" s="438" t="s">
        <v>192</v>
      </c>
      <c r="E3" s="438" t="s">
        <v>193</v>
      </c>
      <c r="F3" s="438" t="s">
        <v>194</v>
      </c>
      <c r="G3" s="438" t="s">
        <v>195</v>
      </c>
      <c r="H3" s="438" t="s">
        <v>113</v>
      </c>
      <c r="I3" s="438" t="s">
        <v>196</v>
      </c>
      <c r="J3" s="438" t="s">
        <v>197</v>
      </c>
      <c r="K3" s="438" t="s">
        <v>198</v>
      </c>
      <c r="L3" s="438" t="s">
        <v>199</v>
      </c>
      <c r="M3" s="438" t="s">
        <v>200</v>
      </c>
      <c r="N3" s="438" t="s">
        <v>201</v>
      </c>
      <c r="O3" s="438" t="s">
        <v>202</v>
      </c>
      <c r="P3" s="438" t="s">
        <v>203</v>
      </c>
    </row>
    <row r="4" spans="1:16">
      <c r="B4" s="454"/>
      <c r="C4" s="486"/>
      <c r="D4" s="455"/>
      <c r="E4" s="455"/>
      <c r="F4" s="486"/>
      <c r="G4" s="455"/>
      <c r="H4" s="455"/>
      <c r="I4" s="486"/>
      <c r="J4" s="486"/>
      <c r="K4" s="486"/>
      <c r="L4" s="486"/>
      <c r="M4" s="486"/>
      <c r="N4" s="486"/>
      <c r="O4" s="486"/>
      <c r="P4" s="486"/>
    </row>
    <row r="5" spans="1:16">
      <c r="B5" s="454"/>
      <c r="C5" s="52"/>
      <c r="D5" s="454"/>
      <c r="E5" s="454"/>
      <c r="F5" s="52"/>
      <c r="G5" s="454"/>
      <c r="H5" s="454"/>
      <c r="I5" s="52"/>
      <c r="J5" s="52"/>
      <c r="K5" s="52"/>
      <c r="L5" s="52"/>
      <c r="M5" s="52"/>
      <c r="N5" s="52"/>
      <c r="O5" s="52"/>
      <c r="P5" s="52"/>
    </row>
    <row r="6" spans="1:16">
      <c r="B6" s="454"/>
      <c r="C6" s="52"/>
      <c r="D6" s="454"/>
      <c r="E6" s="454"/>
      <c r="F6" s="52"/>
      <c r="G6" s="454"/>
      <c r="H6" s="454"/>
      <c r="I6" s="52"/>
      <c r="J6" s="52"/>
      <c r="K6" s="52"/>
      <c r="L6" s="52"/>
      <c r="M6" s="52"/>
      <c r="N6" s="52"/>
      <c r="O6" s="52"/>
      <c r="P6" s="52"/>
    </row>
    <row r="7" spans="1:16">
      <c r="B7" s="454"/>
      <c r="C7" s="52"/>
      <c r="D7" s="454"/>
      <c r="E7" s="454"/>
      <c r="F7" s="52"/>
      <c r="G7" s="454"/>
      <c r="H7" s="454"/>
      <c r="I7" s="52"/>
      <c r="J7" s="52"/>
      <c r="K7" s="52"/>
      <c r="L7" s="52"/>
      <c r="M7" s="52"/>
      <c r="N7" s="52"/>
      <c r="O7" s="52"/>
      <c r="P7" s="52"/>
    </row>
    <row r="8" spans="1:16">
      <c r="A8" s="450"/>
      <c r="B8" s="454"/>
      <c r="C8" s="52"/>
      <c r="D8" s="454"/>
      <c r="E8" s="454"/>
      <c r="F8" s="52"/>
      <c r="G8" s="454"/>
      <c r="H8" s="454"/>
      <c r="I8" s="52"/>
      <c r="J8" s="52"/>
      <c r="K8" s="52"/>
      <c r="L8" s="52"/>
      <c r="M8" s="52"/>
      <c r="N8" s="52"/>
      <c r="O8" s="52"/>
      <c r="P8" s="52"/>
    </row>
    <row r="9" spans="1:16">
      <c r="B9" s="454"/>
      <c r="C9" s="52"/>
      <c r="D9" s="454"/>
      <c r="E9" s="454"/>
      <c r="F9" s="52"/>
      <c r="G9" s="454"/>
      <c r="H9" s="454"/>
      <c r="I9" s="52"/>
      <c r="J9" s="52"/>
      <c r="K9" s="52"/>
      <c r="L9" s="52"/>
      <c r="M9" s="52"/>
      <c r="N9" s="52"/>
      <c r="O9" s="52"/>
      <c r="P9" s="52"/>
    </row>
    <row r="10" spans="1:16">
      <c r="B10" s="454"/>
      <c r="C10" s="52"/>
      <c r="D10" s="454"/>
      <c r="E10" s="454"/>
      <c r="F10" s="52"/>
      <c r="G10" s="454"/>
      <c r="H10" s="454"/>
      <c r="I10" s="52"/>
      <c r="J10" s="52"/>
      <c r="K10" s="52"/>
      <c r="L10" s="52"/>
      <c r="M10" s="52"/>
      <c r="N10" s="52"/>
      <c r="O10" s="52"/>
      <c r="P10" s="52"/>
    </row>
    <row r="11" spans="1:16">
      <c r="B11" s="454"/>
      <c r="C11" s="52"/>
      <c r="D11" s="454"/>
      <c r="E11" s="454"/>
      <c r="F11" s="52"/>
      <c r="G11" s="454"/>
      <c r="H11" s="454"/>
      <c r="I11" s="52"/>
      <c r="J11" s="52"/>
      <c r="K11" s="52"/>
      <c r="L11" s="52"/>
      <c r="M11" s="52"/>
      <c r="N11" s="52"/>
      <c r="O11" s="52"/>
      <c r="P11" s="52"/>
    </row>
    <row r="12" spans="1:16">
      <c r="B12" s="454"/>
      <c r="C12" s="52"/>
      <c r="D12" s="454"/>
      <c r="E12" s="454"/>
      <c r="F12" s="52"/>
      <c r="G12" s="454"/>
      <c r="H12" s="454"/>
      <c r="I12" s="52"/>
      <c r="J12" s="52"/>
      <c r="K12" s="52"/>
      <c r="L12" s="52"/>
      <c r="M12" s="52"/>
      <c r="N12" s="52"/>
      <c r="O12" s="52"/>
      <c r="P12" s="52"/>
    </row>
    <row r="13" spans="1:16">
      <c r="B13" s="454"/>
      <c r="C13" s="52"/>
      <c r="D13" s="454"/>
      <c r="E13" s="454"/>
      <c r="F13" s="52"/>
      <c r="G13" s="454"/>
      <c r="H13" s="454"/>
      <c r="I13" s="52"/>
      <c r="J13" s="52"/>
      <c r="K13" s="52"/>
      <c r="L13" s="52"/>
      <c r="M13" s="52"/>
      <c r="N13" s="52"/>
      <c r="O13" s="52"/>
      <c r="P13" s="52"/>
    </row>
    <row r="14" spans="1:16">
      <c r="B14" s="454"/>
      <c r="C14" s="52"/>
      <c r="D14" s="454"/>
      <c r="E14" s="454"/>
      <c r="F14" s="52"/>
      <c r="G14" s="454"/>
      <c r="H14" s="454"/>
      <c r="I14" s="52"/>
      <c r="J14" s="52"/>
      <c r="K14" s="52"/>
      <c r="L14" s="52"/>
      <c r="M14" s="52"/>
      <c r="N14" s="52"/>
      <c r="O14" s="52"/>
      <c r="P14" s="52"/>
    </row>
    <row r="15" spans="1:16">
      <c r="B15" s="454"/>
      <c r="C15" s="52"/>
      <c r="D15" s="454"/>
      <c r="E15" s="454"/>
      <c r="F15" s="52"/>
      <c r="G15" s="454"/>
      <c r="H15" s="454"/>
      <c r="I15" s="52"/>
      <c r="J15" s="52"/>
      <c r="K15" s="52"/>
      <c r="L15" s="52"/>
      <c r="M15" s="52"/>
      <c r="N15" s="52"/>
      <c r="O15" s="52"/>
      <c r="P15" s="52"/>
    </row>
    <row r="16" spans="1:16">
      <c r="B16" s="454"/>
      <c r="C16" s="52"/>
      <c r="D16" s="454"/>
      <c r="E16" s="454"/>
      <c r="F16" s="52"/>
      <c r="G16" s="454"/>
      <c r="H16" s="454"/>
      <c r="I16" s="52"/>
      <c r="J16" s="52"/>
      <c r="K16" s="52"/>
      <c r="L16" s="52"/>
      <c r="M16" s="52"/>
      <c r="N16" s="52"/>
      <c r="O16" s="52"/>
      <c r="P16" s="52"/>
    </row>
    <row r="17" spans="1:16">
      <c r="B17" s="454"/>
      <c r="C17" s="52"/>
      <c r="D17" s="454"/>
      <c r="E17" s="454"/>
      <c r="F17" s="52"/>
      <c r="G17" s="454"/>
      <c r="H17" s="454"/>
      <c r="I17" s="52"/>
      <c r="J17" s="52"/>
      <c r="K17" s="52"/>
      <c r="L17" s="52"/>
      <c r="M17" s="52"/>
      <c r="N17" s="52"/>
      <c r="O17" s="52"/>
      <c r="P17" s="52"/>
    </row>
    <row r="18" spans="1:16">
      <c r="B18" s="454"/>
      <c r="C18" s="52"/>
      <c r="D18" s="454"/>
      <c r="E18" s="454"/>
      <c r="F18" s="52"/>
      <c r="G18" s="454"/>
      <c r="H18" s="454"/>
      <c r="I18" s="52"/>
      <c r="J18" s="52"/>
      <c r="K18" s="52"/>
      <c r="L18" s="52"/>
      <c r="M18" s="52"/>
      <c r="N18" s="52"/>
      <c r="O18" s="52"/>
      <c r="P18" s="52"/>
    </row>
    <row r="19" spans="1:16">
      <c r="B19" s="454"/>
      <c r="C19" s="52"/>
      <c r="D19" s="454"/>
      <c r="E19" s="454"/>
      <c r="F19" s="52"/>
      <c r="G19" s="454"/>
      <c r="H19" s="454"/>
      <c r="I19" s="52"/>
      <c r="J19" s="52"/>
      <c r="K19" s="52"/>
      <c r="L19" s="52"/>
      <c r="M19" s="52"/>
      <c r="N19" s="52"/>
      <c r="O19" s="52"/>
      <c r="P19" s="52"/>
    </row>
    <row r="20" spans="1:16">
      <c r="B20" s="454"/>
      <c r="C20" s="52"/>
      <c r="D20" s="454"/>
      <c r="E20" s="454"/>
      <c r="F20" s="52"/>
      <c r="G20" s="454"/>
      <c r="H20" s="454"/>
      <c r="I20" s="52"/>
      <c r="J20" s="52"/>
      <c r="K20" s="52"/>
      <c r="L20" s="52"/>
      <c r="M20" s="52"/>
      <c r="N20" s="52"/>
      <c r="O20" s="52"/>
      <c r="P20" s="52"/>
    </row>
    <row r="21" spans="1:16">
      <c r="B21" s="454"/>
      <c r="C21" s="52"/>
      <c r="D21" s="454"/>
      <c r="E21" s="454"/>
      <c r="F21" s="52"/>
      <c r="G21" s="454"/>
      <c r="H21" s="454"/>
      <c r="I21" s="52"/>
      <c r="J21" s="52"/>
      <c r="K21" s="52"/>
      <c r="L21" s="52"/>
      <c r="M21" s="52"/>
      <c r="N21" s="52"/>
      <c r="O21" s="52"/>
      <c r="P21" s="52"/>
    </row>
    <row r="22" spans="1:16">
      <c r="B22" s="454"/>
      <c r="C22" s="52"/>
      <c r="D22" s="454"/>
      <c r="E22" s="454"/>
      <c r="F22" s="52"/>
      <c r="G22" s="454"/>
      <c r="H22" s="454"/>
      <c r="I22" s="52"/>
      <c r="J22" s="52"/>
      <c r="K22" s="52"/>
      <c r="L22" s="52"/>
      <c r="M22" s="52"/>
      <c r="N22" s="52"/>
      <c r="O22" s="52"/>
      <c r="P22" s="52"/>
    </row>
    <row r="23" spans="1:16" ht="15.75" thickBot="1">
      <c r="B23" s="454"/>
      <c r="C23" s="52"/>
      <c r="D23" s="454"/>
      <c r="E23" s="454"/>
      <c r="F23" s="52"/>
      <c r="G23" s="454"/>
      <c r="H23" s="454"/>
      <c r="I23" s="52"/>
      <c r="J23" s="52"/>
      <c r="K23" s="52"/>
      <c r="L23" s="52"/>
      <c r="M23" s="52"/>
      <c r="N23" s="52"/>
      <c r="O23" s="52"/>
      <c r="P23" s="52"/>
    </row>
    <row r="24" spans="1:16" ht="15.75" thickBot="1">
      <c r="A24" s="457" t="s">
        <v>560</v>
      </c>
    </row>
    <row r="26" spans="1:16" s="450" customFormat="1">
      <c r="A26" s="459" t="s">
        <v>509</v>
      </c>
      <c r="B26" s="459">
        <f t="shared" ref="B26:H26" si="0">SUM(B4:B23)</f>
        <v>0</v>
      </c>
      <c r="C26" s="459"/>
      <c r="D26" s="459">
        <f t="shared" si="0"/>
        <v>0</v>
      </c>
      <c r="E26" s="459">
        <f t="shared" si="0"/>
        <v>0</v>
      </c>
      <c r="F26" s="459"/>
      <c r="G26" s="459">
        <f t="shared" si="0"/>
        <v>0</v>
      </c>
      <c r="H26" s="459">
        <f t="shared" si="0"/>
        <v>0</v>
      </c>
      <c r="I26" s="459"/>
      <c r="J26" s="459"/>
      <c r="K26" s="459"/>
      <c r="L26" s="459"/>
      <c r="M26" s="459"/>
      <c r="N26" s="459"/>
      <c r="O26" s="459"/>
      <c r="P26" s="459"/>
    </row>
    <row r="27" spans="1:16" s="450" customFormat="1">
      <c r="A27" s="459" t="s">
        <v>566</v>
      </c>
      <c r="B27" s="459">
        <f>B26</f>
        <v>0</v>
      </c>
      <c r="C27" s="459"/>
      <c r="D27" s="459">
        <f>D26</f>
        <v>0</v>
      </c>
      <c r="E27" s="459">
        <f>E26</f>
        <v>0</v>
      </c>
      <c r="F27" s="459"/>
      <c r="G27" s="459">
        <f>(1-transport!C35)*'Eigen vloot'!G26</f>
        <v>0</v>
      </c>
      <c r="H27" s="459">
        <f>(1-transport!C42)*'Eigen vloot'!H26</f>
        <v>0</v>
      </c>
      <c r="I27" s="459"/>
      <c r="J27" s="459"/>
      <c r="K27" s="459"/>
      <c r="L27" s="459"/>
      <c r="M27" s="624">
        <f>G26*transport!C35+'Eigen vloot'!H26*transport!C42</f>
        <v>0</v>
      </c>
      <c r="N27" s="459"/>
      <c r="O27" s="459"/>
      <c r="P27" s="459"/>
    </row>
    <row r="29" spans="1:16">
      <c r="A29" s="464" t="s">
        <v>569</v>
      </c>
      <c r="B29" s="489">
        <f ca="1">'EF ele_warmte'!B12</f>
        <v>0.18985386689719377</v>
      </c>
      <c r="C29" s="489">
        <f ca="1">'EF ele_warmte'!B22</f>
        <v>0.17078684180239098</v>
      </c>
      <c r="D29" s="489">
        <f>EF_CO2_aardgas</f>
        <v>0.20200000000000001</v>
      </c>
      <c r="E29" s="489">
        <f>EF_VLgas_CO2</f>
        <v>0.22700000000000001</v>
      </c>
      <c r="F29" s="489">
        <f>EF_stookolie_CO2</f>
        <v>0.26700000000000002</v>
      </c>
      <c r="G29" s="489">
        <f>EF_diesel_CO2</f>
        <v>0.26700000000000002</v>
      </c>
      <c r="H29" s="489">
        <f>EF_benzine_CO2</f>
        <v>0.249</v>
      </c>
      <c r="I29" s="489">
        <f>EF_bruinkool_CO2</f>
        <v>0.35099999999999998</v>
      </c>
      <c r="J29" s="489">
        <f>EF_steenkool_CO2</f>
        <v>0.35399999999999998</v>
      </c>
      <c r="K29" s="489">
        <f>EF_anderfossiel_CO2</f>
        <v>0.26400000000000001</v>
      </c>
      <c r="L29" s="489">
        <f>'EF brandstof'!J4</f>
        <v>0</v>
      </c>
      <c r="M29" s="489">
        <f>'EF brandstof'!K4</f>
        <v>0</v>
      </c>
      <c r="N29" s="489">
        <f>'EF brandstof'!L4</f>
        <v>0</v>
      </c>
      <c r="O29" s="489">
        <v>0</v>
      </c>
      <c r="P29" s="489">
        <v>0</v>
      </c>
    </row>
    <row r="31" spans="1:16">
      <c r="A31" s="459" t="s">
        <v>206</v>
      </c>
      <c r="B31" s="625">
        <f ca="1">B27*B29</f>
        <v>0</v>
      </c>
      <c r="C31" s="625"/>
      <c r="D31" s="625">
        <f>D27*D29</f>
        <v>0</v>
      </c>
      <c r="E31" s="625">
        <f>E27*E29</f>
        <v>0</v>
      </c>
      <c r="F31" s="625"/>
      <c r="G31" s="625">
        <f>G27*G29</f>
        <v>0</v>
      </c>
      <c r="H31" s="625">
        <f>H27*H29</f>
        <v>0</v>
      </c>
      <c r="I31" s="625"/>
      <c r="J31" s="625"/>
      <c r="K31" s="625"/>
      <c r="L31" s="625"/>
      <c r="M31" s="625">
        <f>M27*M29</f>
        <v>0</v>
      </c>
      <c r="N31" s="487"/>
      <c r="O31" s="487"/>
      <c r="P31"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39" bestFit="1" customWidth="1"/>
    <col min="3" max="3" width="26" customWidth="1"/>
    <col min="4" max="4" width="69.42578125" customWidth="1"/>
  </cols>
  <sheetData>
    <row r="1" spans="1:11" s="43" customFormat="1" ht="15.75" thickBot="1">
      <c r="B1" s="441"/>
    </row>
    <row r="2" spans="1:11" s="43" customFormat="1">
      <c r="A2" s="180" t="s">
        <v>506</v>
      </c>
      <c r="B2" s="490"/>
      <c r="C2" s="181"/>
      <c r="D2" s="182"/>
    </row>
    <row r="3" spans="1:11">
      <c r="A3" s="101"/>
      <c r="B3" s="491"/>
      <c r="C3" s="140" t="s">
        <v>175</v>
      </c>
      <c r="D3" s="143" t="s">
        <v>377</v>
      </c>
    </row>
    <row r="4" spans="1:11">
      <c r="A4" s="44" t="s">
        <v>426</v>
      </c>
      <c r="B4" s="47"/>
      <c r="C4" s="32"/>
      <c r="D4" s="142" t="s">
        <v>379</v>
      </c>
    </row>
    <row r="5" spans="1:11">
      <c r="A5" s="44"/>
      <c r="B5" s="48"/>
      <c r="C5" s="32"/>
      <c r="D5" s="142"/>
    </row>
    <row r="6" spans="1:11" s="10" customFormat="1" ht="21.75" thickBot="1">
      <c r="A6" s="185" t="s">
        <v>459</v>
      </c>
      <c r="B6" s="492"/>
      <c r="C6" s="186"/>
      <c r="D6" s="187"/>
    </row>
    <row r="7" spans="1:11" s="43" customFormat="1" ht="15.75" thickBot="1">
      <c r="B7" s="441"/>
    </row>
    <row r="8" spans="1:11" s="43" customFormat="1">
      <c r="A8" s="180" t="s">
        <v>519</v>
      </c>
      <c r="B8" s="490"/>
      <c r="C8" s="181"/>
      <c r="D8" s="182"/>
    </row>
    <row r="9" spans="1:11" s="32" customFormat="1">
      <c r="A9" s="46"/>
      <c r="B9" s="493"/>
      <c r="C9" s="42"/>
      <c r="D9" s="293"/>
    </row>
    <row r="10" spans="1:11">
      <c r="A10" s="294" t="s">
        <v>548</v>
      </c>
      <c r="B10" s="491"/>
      <c r="C10" s="140" t="s">
        <v>175</v>
      </c>
      <c r="D10" s="143" t="s">
        <v>377</v>
      </c>
      <c r="I10" s="1142"/>
      <c r="K10" s="58"/>
    </row>
    <row r="11" spans="1:11" s="43" customFormat="1">
      <c r="A11" s="44" t="s">
        <v>549</v>
      </c>
      <c r="B11" s="47"/>
      <c r="D11" s="141" t="s">
        <v>378</v>
      </c>
      <c r="I11" s="1142"/>
      <c r="K11" s="58"/>
    </row>
    <row r="12" spans="1:11" s="43" customFormat="1">
      <c r="A12" s="44" t="s">
        <v>550</v>
      </c>
      <c r="B12" s="47"/>
      <c r="D12" s="141" t="s">
        <v>378</v>
      </c>
      <c r="I12" s="1142"/>
      <c r="K12" s="58"/>
    </row>
    <row r="13" spans="1:11" s="43" customFormat="1">
      <c r="A13" s="44"/>
      <c r="B13" s="441"/>
      <c r="D13" s="96"/>
      <c r="I13" s="1142"/>
    </row>
    <row r="14" spans="1:11" s="43" customFormat="1">
      <c r="A14" s="294" t="s">
        <v>547</v>
      </c>
      <c r="B14" s="491"/>
      <c r="C14" s="140" t="s">
        <v>175</v>
      </c>
      <c r="D14" s="143" t="s">
        <v>377</v>
      </c>
      <c r="I14" s="1142"/>
    </row>
    <row r="15" spans="1:11" s="43" customFormat="1">
      <c r="A15" s="44" t="s">
        <v>70</v>
      </c>
      <c r="B15" s="47"/>
      <c r="D15" s="141" t="s">
        <v>378</v>
      </c>
      <c r="I15" s="1142"/>
      <c r="J15" s="1142"/>
    </row>
    <row r="16" spans="1:11" s="43" customFormat="1">
      <c r="A16" s="44" t="s">
        <v>511</v>
      </c>
      <c r="B16" s="47"/>
      <c r="D16" s="141" t="s">
        <v>378</v>
      </c>
      <c r="I16" s="1142"/>
      <c r="J16" s="1142"/>
    </row>
    <row r="17" spans="1:11" s="43" customFormat="1">
      <c r="A17" s="44" t="s">
        <v>77</v>
      </c>
      <c r="B17" s="47"/>
      <c r="D17" s="141" t="s">
        <v>378</v>
      </c>
      <c r="I17" s="1142"/>
      <c r="J17" s="1142"/>
    </row>
    <row r="18" spans="1:11" s="43" customFormat="1">
      <c r="A18" s="44" t="s">
        <v>512</v>
      </c>
      <c r="B18" s="47"/>
      <c r="D18" s="141" t="s">
        <v>378</v>
      </c>
      <c r="I18" s="1142"/>
      <c r="J18" s="1142"/>
      <c r="K18" s="58"/>
    </row>
    <row r="19" spans="1:11" s="43" customFormat="1">
      <c r="A19" s="44" t="s">
        <v>76</v>
      </c>
      <c r="B19" s="47"/>
      <c r="D19" s="141" t="s">
        <v>378</v>
      </c>
      <c r="I19" s="1142"/>
      <c r="J19" s="1143"/>
      <c r="K19" s="58"/>
    </row>
    <row r="20" spans="1:11" s="43" customFormat="1">
      <c r="A20" s="32" t="s">
        <v>513</v>
      </c>
      <c r="B20" s="47"/>
      <c r="D20" s="141" t="s">
        <v>378</v>
      </c>
      <c r="I20" s="295"/>
      <c r="J20" s="296"/>
      <c r="K20" s="58"/>
    </row>
    <row r="21" spans="1:11" s="43" customFormat="1">
      <c r="A21" s="32" t="s">
        <v>514</v>
      </c>
      <c r="B21" s="47"/>
      <c r="D21" s="141" t="s">
        <v>378</v>
      </c>
      <c r="I21" s="295"/>
      <c r="J21" s="296"/>
      <c r="K21" s="58"/>
    </row>
    <row r="22" spans="1:11" s="43" customFormat="1">
      <c r="A22" s="32" t="s">
        <v>515</v>
      </c>
      <c r="B22" s="47"/>
      <c r="D22" s="141" t="s">
        <v>378</v>
      </c>
      <c r="I22" s="295"/>
      <c r="J22" s="296"/>
      <c r="K22" s="58"/>
    </row>
    <row r="23" spans="1:11">
      <c r="A23" s="32" t="s">
        <v>516</v>
      </c>
      <c r="B23" s="47"/>
      <c r="C23" s="43"/>
      <c r="D23" s="141" t="s">
        <v>378</v>
      </c>
      <c r="I23" s="58"/>
      <c r="J23" s="58"/>
      <c r="K23" s="58"/>
    </row>
    <row r="24" spans="1:11">
      <c r="A24" s="32" t="s">
        <v>517</v>
      </c>
      <c r="B24" s="47"/>
      <c r="C24" s="43"/>
      <c r="D24" s="141" t="s">
        <v>378</v>
      </c>
      <c r="I24" s="58"/>
      <c r="J24" s="58"/>
      <c r="K24" s="58"/>
    </row>
    <row r="25" spans="1:11">
      <c r="A25" s="58"/>
      <c r="B25" s="48"/>
      <c r="C25" s="43"/>
      <c r="D25" s="141"/>
      <c r="I25" s="58"/>
      <c r="J25" s="58"/>
      <c r="K25" s="58"/>
    </row>
    <row r="26" spans="1:11" ht="21.75" thickBot="1">
      <c r="A26" s="185" t="s">
        <v>558</v>
      </c>
      <c r="B26" s="494"/>
      <c r="C26" s="108"/>
      <c r="D26" s="109"/>
      <c r="I26" s="58"/>
      <c r="J26" s="58"/>
      <c r="K26" s="58"/>
    </row>
    <row r="28" spans="1:11" ht="15.75" thickBot="1"/>
    <row r="29" spans="1:11" s="43" customFormat="1">
      <c r="A29" s="180" t="s">
        <v>507</v>
      </c>
      <c r="B29" s="490"/>
      <c r="C29" s="181"/>
      <c r="D29" s="182"/>
    </row>
    <row r="30" spans="1:11" s="32" customFormat="1">
      <c r="A30" s="46"/>
      <c r="B30" s="493"/>
      <c r="C30" s="42"/>
      <c r="D30" s="293"/>
    </row>
    <row r="31" spans="1:11">
      <c r="A31" s="294" t="s">
        <v>548</v>
      </c>
      <c r="B31" s="491"/>
      <c r="C31" s="140" t="s">
        <v>175</v>
      </c>
      <c r="D31" s="143" t="s">
        <v>377</v>
      </c>
    </row>
    <row r="32" spans="1:11">
      <c r="A32" s="431" t="s">
        <v>549</v>
      </c>
      <c r="B32" s="47"/>
      <c r="C32" s="48"/>
      <c r="D32" s="141" t="s">
        <v>378</v>
      </c>
    </row>
    <row r="33" spans="1:11">
      <c r="A33" s="44"/>
      <c r="B33" s="48"/>
      <c r="C33" s="48"/>
      <c r="D33" s="141"/>
    </row>
    <row r="34" spans="1:11" s="43" customFormat="1">
      <c r="A34" s="294" t="s">
        <v>547</v>
      </c>
      <c r="B34" s="491"/>
      <c r="C34" s="140" t="s">
        <v>175</v>
      </c>
      <c r="D34" s="143" t="s">
        <v>377</v>
      </c>
      <c r="I34"/>
    </row>
    <row r="35" spans="1:11" s="43" customFormat="1">
      <c r="A35" s="430" t="s">
        <v>70</v>
      </c>
      <c r="B35" s="47"/>
      <c r="D35" s="141" t="s">
        <v>378</v>
      </c>
      <c r="I35" s="1142"/>
      <c r="J35" s="1142"/>
    </row>
    <row r="36" spans="1:11" s="43" customFormat="1">
      <c r="A36" s="430" t="s">
        <v>511</v>
      </c>
      <c r="B36" s="47"/>
      <c r="D36" s="141" t="s">
        <v>378</v>
      </c>
      <c r="I36" s="1142"/>
      <c r="J36" s="1142"/>
    </row>
    <row r="37" spans="1:11" s="43" customFormat="1">
      <c r="A37" s="430" t="s">
        <v>77</v>
      </c>
      <c r="B37" s="47"/>
      <c r="D37" s="141" t="s">
        <v>378</v>
      </c>
      <c r="I37" s="1142"/>
      <c r="J37" s="1142"/>
    </row>
    <row r="38" spans="1:11" s="43" customFormat="1">
      <c r="A38" s="430" t="s">
        <v>512</v>
      </c>
      <c r="B38" s="47"/>
      <c r="D38" s="141" t="s">
        <v>378</v>
      </c>
      <c r="I38" s="1142"/>
      <c r="J38" s="1142"/>
      <c r="K38" s="58"/>
    </row>
    <row r="39" spans="1:11" s="43" customFormat="1">
      <c r="A39" s="430" t="s">
        <v>76</v>
      </c>
      <c r="B39" s="47"/>
      <c r="D39" s="141" t="s">
        <v>378</v>
      </c>
      <c r="I39" s="1142"/>
      <c r="J39" s="1143"/>
      <c r="K39" s="58"/>
    </row>
    <row r="40" spans="1:11" s="43" customFormat="1">
      <c r="A40" s="177" t="s">
        <v>513</v>
      </c>
      <c r="B40" s="48"/>
      <c r="D40" s="141" t="s">
        <v>378</v>
      </c>
      <c r="I40" s="295"/>
      <c r="J40" s="296"/>
      <c r="K40" s="58"/>
    </row>
    <row r="41" spans="1:11" s="43" customFormat="1">
      <c r="A41" s="177" t="s">
        <v>514</v>
      </c>
      <c r="B41" s="47"/>
      <c r="D41" s="141" t="s">
        <v>378</v>
      </c>
      <c r="I41" s="295"/>
      <c r="J41" s="296"/>
      <c r="K41" s="58"/>
    </row>
    <row r="42" spans="1:11" s="43" customFormat="1">
      <c r="A42" s="177" t="s">
        <v>515</v>
      </c>
      <c r="B42" s="47"/>
      <c r="D42" s="141" t="s">
        <v>378</v>
      </c>
      <c r="I42" s="295"/>
      <c r="J42" s="296"/>
      <c r="K42" s="58"/>
    </row>
    <row r="43" spans="1:11">
      <c r="A43" s="177" t="s">
        <v>516</v>
      </c>
      <c r="B43" s="47"/>
      <c r="C43" s="43"/>
      <c r="D43" s="141" t="s">
        <v>378</v>
      </c>
      <c r="I43" s="58"/>
      <c r="J43" s="58"/>
      <c r="K43" s="58"/>
    </row>
    <row r="44" spans="1:11">
      <c r="A44" s="177" t="s">
        <v>517</v>
      </c>
      <c r="B44" s="47"/>
      <c r="C44" s="43"/>
      <c r="D44" s="141" t="s">
        <v>378</v>
      </c>
      <c r="I44" s="58"/>
      <c r="J44" s="58"/>
      <c r="K44" s="58"/>
    </row>
    <row r="45" spans="1:11" s="15" customFormat="1" ht="21.75" thickBot="1">
      <c r="A45" s="185"/>
      <c r="B45" s="183"/>
      <c r="C45" s="152"/>
      <c r="D45" s="297"/>
      <c r="I45" s="58"/>
      <c r="J45" s="58"/>
      <c r="K45" s="58"/>
    </row>
    <row r="46" spans="1:11" s="15" customFormat="1">
      <c r="A46" s="58"/>
      <c r="B46" s="48"/>
      <c r="C46" s="32"/>
      <c r="D46" s="32"/>
      <c r="I46" s="58"/>
      <c r="J46" s="58"/>
      <c r="K46" s="58"/>
    </row>
    <row r="47" spans="1:11" ht="15.75" thickBot="1"/>
    <row r="48" spans="1:11" s="43" customFormat="1">
      <c r="A48" s="180" t="s">
        <v>376</v>
      </c>
      <c r="B48" s="490"/>
      <c r="C48" s="181"/>
      <c r="D48" s="182"/>
    </row>
    <row r="49" spans="1:4">
      <c r="A49" s="101"/>
      <c r="B49" s="491"/>
      <c r="C49" s="140" t="s">
        <v>175</v>
      </c>
      <c r="D49" s="143" t="s">
        <v>377</v>
      </c>
    </row>
    <row r="50" spans="1:4">
      <c r="A50" s="44" t="s">
        <v>551</v>
      </c>
      <c r="B50" s="47"/>
      <c r="C50" s="32"/>
      <c r="D50" s="142" t="s">
        <v>379</v>
      </c>
    </row>
    <row r="51" spans="1:4">
      <c r="A51" s="44" t="s">
        <v>552</v>
      </c>
      <c r="B51" s="47"/>
      <c r="C51" s="32"/>
      <c r="D51" s="142" t="s">
        <v>379</v>
      </c>
    </row>
    <row r="52" spans="1:4" ht="15.75" thickBot="1">
      <c r="A52" s="45"/>
      <c r="B52" s="183"/>
      <c r="C52" s="152"/>
      <c r="D52" s="188"/>
    </row>
    <row r="54" spans="1:4" ht="15.75" thickBot="1"/>
    <row r="55" spans="1:4" s="43" customFormat="1">
      <c r="A55" s="180" t="s">
        <v>508</v>
      </c>
      <c r="B55" s="490"/>
      <c r="C55" s="181"/>
      <c r="D55" s="182"/>
    </row>
    <row r="56" spans="1:4">
      <c r="A56" s="101"/>
      <c r="B56" s="491"/>
      <c r="C56" s="140" t="s">
        <v>175</v>
      </c>
      <c r="D56" s="143" t="s">
        <v>377</v>
      </c>
    </row>
    <row r="57" spans="1:4">
      <c r="A57" s="44" t="s">
        <v>553</v>
      </c>
      <c r="B57" s="47"/>
      <c r="C57" s="32"/>
      <c r="D57" s="141" t="s">
        <v>148</v>
      </c>
    </row>
    <row r="58" spans="1:4">
      <c r="A58" s="44" t="s">
        <v>554</v>
      </c>
      <c r="B58" s="47"/>
      <c r="C58" s="32"/>
      <c r="D58" s="141" t="s">
        <v>149</v>
      </c>
    </row>
    <row r="59" spans="1:4">
      <c r="A59" s="44" t="s">
        <v>555</v>
      </c>
      <c r="B59" s="47"/>
      <c r="C59" s="48"/>
      <c r="D59" s="141" t="s">
        <v>375</v>
      </c>
    </row>
    <row r="60" spans="1:4">
      <c r="A60" s="44" t="s">
        <v>556</v>
      </c>
      <c r="B60" s="47"/>
      <c r="C60" s="48"/>
      <c r="D60" s="141" t="s">
        <v>105</v>
      </c>
    </row>
    <row r="61" spans="1:4">
      <c r="A61" s="44"/>
      <c r="B61" s="48"/>
      <c r="C61" s="48"/>
      <c r="D61" s="141"/>
    </row>
    <row r="62" spans="1:4" ht="21.75" thickBot="1">
      <c r="A62" s="185" t="s">
        <v>510</v>
      </c>
      <c r="B62" s="183"/>
      <c r="C62" s="183"/>
      <c r="D62" s="184"/>
    </row>
    <row r="63" spans="1:4" s="43" customFormat="1">
      <c r="B63" s="44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424</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437</v>
      </c>
      <c r="B6" s="129" t="s">
        <v>438</v>
      </c>
      <c r="C6" s="130" t="s">
        <v>440</v>
      </c>
    </row>
    <row r="7" spans="1:3" s="11" customFormat="1">
      <c r="A7" s="123"/>
      <c r="B7" s="157"/>
      <c r="C7" s="158" t="s">
        <v>570</v>
      </c>
    </row>
    <row r="8" spans="1:3" s="11" customFormat="1">
      <c r="A8" s="131"/>
      <c r="B8" s="132"/>
      <c r="C8" s="133"/>
    </row>
    <row r="9" spans="1:3" s="11" customFormat="1">
      <c r="A9" s="113" t="s">
        <v>439</v>
      </c>
      <c r="B9" s="129" t="s">
        <v>442</v>
      </c>
      <c r="C9" s="130" t="s">
        <v>495</v>
      </c>
    </row>
    <row r="10" spans="1:3" s="11" customFormat="1">
      <c r="A10" s="131"/>
      <c r="B10" s="132"/>
      <c r="C10" s="133"/>
    </row>
    <row r="11" spans="1:3" s="11" customFormat="1" ht="18">
      <c r="A11" s="113" t="s">
        <v>441</v>
      </c>
      <c r="B11" s="129" t="s">
        <v>443</v>
      </c>
      <c r="C11" s="155" t="s">
        <v>493</v>
      </c>
    </row>
    <row r="12" spans="1:3" s="11" customFormat="1">
      <c r="A12" s="131"/>
      <c r="B12" s="132"/>
      <c r="C12" s="133"/>
    </row>
    <row r="13" spans="1:3" s="11" customFormat="1" ht="18">
      <c r="A13" s="113" t="s">
        <v>444</v>
      </c>
      <c r="B13" s="129" t="s">
        <v>445</v>
      </c>
      <c r="C13" s="156" t="s">
        <v>494</v>
      </c>
    </row>
    <row r="14" spans="1:3" s="11" customFormat="1">
      <c r="A14" s="131"/>
      <c r="B14" s="132"/>
      <c r="C14" s="133"/>
    </row>
    <row r="15" spans="1:3" s="11" customFormat="1" ht="18">
      <c r="A15" s="113" t="s">
        <v>446</v>
      </c>
      <c r="B15" t="s">
        <v>450</v>
      </c>
      <c r="C15" s="130" t="s">
        <v>496</v>
      </c>
    </row>
    <row r="16" spans="1:3" s="11" customFormat="1">
      <c r="A16" s="131"/>
      <c r="B16" s="132"/>
      <c r="C16" s="133"/>
    </row>
    <row r="17" spans="1:3" s="11" customFormat="1" ht="30">
      <c r="A17" s="113" t="s">
        <v>379</v>
      </c>
      <c r="B17" s="129" t="s">
        <v>451</v>
      </c>
      <c r="C17" s="130" t="s">
        <v>497</v>
      </c>
    </row>
    <row r="18" spans="1:3" s="11" customFormat="1">
      <c r="A18" s="131"/>
      <c r="B18" s="132"/>
      <c r="C18" s="133" t="s">
        <v>447</v>
      </c>
    </row>
    <row r="19" spans="1:3" s="11" customFormat="1" ht="30">
      <c r="A19" s="113" t="s">
        <v>448</v>
      </c>
      <c r="B19" s="129" t="s">
        <v>452</v>
      </c>
      <c r="C19" s="130" t="s">
        <v>498</v>
      </c>
    </row>
    <row r="20" spans="1:3" s="11" customFormat="1">
      <c r="A20" s="131"/>
      <c r="B20" s="132"/>
      <c r="C20" s="133"/>
    </row>
    <row r="21" spans="1:3" s="11" customFormat="1" ht="30">
      <c r="A21" s="113" t="s">
        <v>449</v>
      </c>
      <c r="B21" s="129" t="s">
        <v>682</v>
      </c>
      <c r="C21" s="130" t="s">
        <v>561</v>
      </c>
    </row>
    <row r="22" spans="1:3" s="11" customFormat="1">
      <c r="A22" s="139"/>
      <c r="B22" s="157"/>
      <c r="C22" s="158"/>
    </row>
    <row r="23" spans="1:3" ht="21">
      <c r="A23" s="125" t="s">
        <v>454</v>
      </c>
      <c r="B23" s="124"/>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7" bestFit="1" customWidth="1"/>
    <col min="2" max="2" width="59.42578125" style="997" bestFit="1" customWidth="1"/>
    <col min="3" max="4" width="28.7109375" style="997" customWidth="1"/>
    <col min="5" max="5" width="44.28515625" style="997" customWidth="1"/>
    <col min="6" max="6" width="35" style="997" bestFit="1" customWidth="1"/>
    <col min="7" max="16384" width="9.140625" style="997"/>
  </cols>
  <sheetData>
    <row r="1" spans="1:6" ht="62.45" customHeight="1" thickTop="1" thickBot="1">
      <c r="A1" s="135" t="s">
        <v>875</v>
      </c>
      <c r="B1" s="1235">
        <v>2016</v>
      </c>
      <c r="C1" s="1236"/>
      <c r="D1" s="1236"/>
      <c r="E1" s="1236"/>
      <c r="F1" s="1237"/>
    </row>
    <row r="2" spans="1:6">
      <c r="A2" s="322"/>
      <c r="B2" s="322"/>
      <c r="C2" s="322"/>
      <c r="D2" s="322"/>
      <c r="E2" s="322"/>
      <c r="F2" s="322"/>
    </row>
    <row r="3" spans="1:6" ht="19.5">
      <c r="A3" s="1238" t="s">
        <v>0</v>
      </c>
      <c r="B3" s="322"/>
      <c r="C3" s="322"/>
      <c r="D3" s="322"/>
      <c r="E3" s="322"/>
      <c r="F3" s="322"/>
    </row>
    <row r="4" spans="1:6" ht="22.5">
      <c r="A4" s="1239" t="s">
        <v>875</v>
      </c>
      <c r="B4" s="322"/>
      <c r="C4" s="322"/>
      <c r="D4" s="322"/>
      <c r="E4" s="322"/>
      <c r="F4" s="322"/>
    </row>
    <row r="5" spans="1:6" ht="22.5">
      <c r="A5" s="1239" t="s">
        <v>876</v>
      </c>
      <c r="B5" s="322"/>
      <c r="C5" s="322"/>
      <c r="D5" s="322"/>
      <c r="E5" s="322"/>
      <c r="F5" s="322"/>
    </row>
    <row r="6" spans="1:6" ht="15.75" thickBot="1">
      <c r="A6" s="322"/>
      <c r="B6" s="322"/>
      <c r="C6" s="322"/>
      <c r="D6" s="322"/>
      <c r="E6" s="322"/>
      <c r="F6" s="322"/>
    </row>
    <row r="7" spans="1:6" ht="20.25" thickBot="1">
      <c r="A7" s="1240" t="s">
        <v>1</v>
      </c>
      <c r="B7" s="323"/>
      <c r="C7" s="323"/>
      <c r="D7" s="323"/>
      <c r="E7" s="323"/>
      <c r="F7" s="324"/>
    </row>
    <row r="8" spans="1:6" ht="16.5" thickTop="1" thickBot="1">
      <c r="A8" s="1241" t="s">
        <v>4</v>
      </c>
      <c r="B8" s="1242"/>
      <c r="C8" s="1242"/>
      <c r="D8" s="1236"/>
      <c r="E8" s="1236"/>
      <c r="F8" s="1237"/>
    </row>
    <row r="9" spans="1:6">
      <c r="A9" s="1243" t="s">
        <v>2</v>
      </c>
      <c r="B9" s="1244">
        <v>17919</v>
      </c>
      <c r="C9" s="325"/>
      <c r="D9" s="325"/>
      <c r="E9" s="325"/>
      <c r="F9" s="325"/>
    </row>
    <row r="10" spans="1:6">
      <c r="A10" s="326"/>
      <c r="B10" s="322"/>
      <c r="C10" s="322"/>
      <c r="D10" s="322"/>
      <c r="E10" s="322"/>
      <c r="F10" s="322"/>
    </row>
    <row r="11" spans="1:6" ht="15.75" thickBot="1">
      <c r="A11" s="326"/>
      <c r="B11" s="322"/>
      <c r="C11" s="322"/>
      <c r="D11" s="322"/>
      <c r="E11" s="322"/>
      <c r="F11" s="322"/>
    </row>
    <row r="12" spans="1:6" ht="20.25" thickBot="1">
      <c r="A12" s="1240" t="s">
        <v>3</v>
      </c>
      <c r="B12" s="323"/>
      <c r="C12" s="323"/>
      <c r="D12" s="323"/>
      <c r="E12" s="323"/>
      <c r="F12" s="327"/>
    </row>
    <row r="13" spans="1:6" ht="16.5" thickTop="1" thickBot="1">
      <c r="A13" s="1245" t="s">
        <v>4</v>
      </c>
      <c r="B13" s="1246" t="s">
        <v>5</v>
      </c>
      <c r="C13" s="1246"/>
      <c r="D13" s="1246"/>
      <c r="E13" s="1246"/>
      <c r="F13" s="1247"/>
    </row>
    <row r="14" spans="1:6">
      <c r="A14" s="1248" t="s">
        <v>635</v>
      </c>
      <c r="B14" s="1249">
        <v>8100.4</v>
      </c>
      <c r="C14" s="322"/>
      <c r="D14" s="322"/>
      <c r="E14" s="322"/>
      <c r="F14" s="322"/>
    </row>
    <row r="15" spans="1:6">
      <c r="A15" s="1248" t="s">
        <v>177</v>
      </c>
      <c r="B15" s="1249">
        <v>640</v>
      </c>
      <c r="C15" s="322"/>
      <c r="D15" s="322"/>
      <c r="E15" s="322"/>
      <c r="F15" s="322"/>
    </row>
    <row r="16" spans="1:6">
      <c r="A16" s="1248" t="s">
        <v>6</v>
      </c>
      <c r="B16" s="1249">
        <v>4190</v>
      </c>
      <c r="C16" s="322"/>
      <c r="D16" s="322"/>
      <c r="E16" s="322"/>
      <c r="F16" s="322"/>
    </row>
    <row r="17" spans="1:6">
      <c r="A17" s="1248" t="s">
        <v>7</v>
      </c>
      <c r="B17" s="1249">
        <v>2991</v>
      </c>
      <c r="C17" s="322"/>
      <c r="D17" s="322"/>
      <c r="E17" s="322"/>
      <c r="F17" s="322"/>
    </row>
    <row r="18" spans="1:6">
      <c r="A18" s="1248" t="s">
        <v>8</v>
      </c>
      <c r="B18" s="1249">
        <v>4457</v>
      </c>
      <c r="C18" s="322"/>
      <c r="D18" s="322"/>
      <c r="E18" s="322"/>
      <c r="F18" s="322"/>
    </row>
    <row r="19" spans="1:6">
      <c r="A19" s="1248" t="s">
        <v>9</v>
      </c>
      <c r="B19" s="1249">
        <v>4296</v>
      </c>
      <c r="C19" s="322"/>
      <c r="D19" s="322"/>
      <c r="E19" s="322"/>
      <c r="F19" s="322"/>
    </row>
    <row r="20" spans="1:6">
      <c r="A20" s="1248" t="s">
        <v>10</v>
      </c>
      <c r="B20" s="1249">
        <v>2516</v>
      </c>
      <c r="C20" s="322"/>
      <c r="D20" s="322"/>
      <c r="E20" s="322"/>
      <c r="F20" s="322"/>
    </row>
    <row r="21" spans="1:6">
      <c r="A21" s="1248" t="s">
        <v>11</v>
      </c>
      <c r="B21" s="1249">
        <v>16933</v>
      </c>
      <c r="C21" s="322"/>
      <c r="D21" s="322"/>
      <c r="E21" s="322"/>
      <c r="F21" s="322"/>
    </row>
    <row r="22" spans="1:6">
      <c r="A22" s="1248" t="s">
        <v>12</v>
      </c>
      <c r="B22" s="1249">
        <v>71758</v>
      </c>
      <c r="C22" s="322"/>
      <c r="D22" s="322"/>
      <c r="E22" s="322"/>
      <c r="F22" s="322"/>
    </row>
    <row r="23" spans="1:6">
      <c r="A23" s="1248" t="s">
        <v>13</v>
      </c>
      <c r="B23" s="1249">
        <v>571</v>
      </c>
      <c r="C23" s="322"/>
      <c r="D23" s="322"/>
      <c r="E23" s="322"/>
      <c r="F23" s="322"/>
    </row>
    <row r="24" spans="1:6">
      <c r="A24" s="1248" t="s">
        <v>14</v>
      </c>
      <c r="B24" s="1249">
        <v>52</v>
      </c>
      <c r="C24" s="322"/>
      <c r="D24" s="322"/>
      <c r="E24" s="322"/>
      <c r="F24" s="322"/>
    </row>
    <row r="25" spans="1:6">
      <c r="A25" s="1248" t="s">
        <v>15</v>
      </c>
      <c r="B25" s="1249">
        <v>4240</v>
      </c>
      <c r="C25" s="322"/>
      <c r="D25" s="322"/>
      <c r="E25" s="322"/>
      <c r="F25" s="322"/>
    </row>
    <row r="26" spans="1:6">
      <c r="A26" s="1248" t="s">
        <v>16</v>
      </c>
      <c r="B26" s="1249">
        <v>601</v>
      </c>
      <c r="C26" s="322"/>
      <c r="D26" s="322"/>
      <c r="E26" s="322"/>
      <c r="F26" s="322"/>
    </row>
    <row r="27" spans="1:6">
      <c r="A27" s="1248" t="s">
        <v>17</v>
      </c>
      <c r="B27" s="1249">
        <v>22</v>
      </c>
      <c r="C27" s="322"/>
      <c r="D27" s="322"/>
      <c r="E27" s="322"/>
      <c r="F27" s="322"/>
    </row>
    <row r="28" spans="1:6">
      <c r="A28" s="1248" t="s">
        <v>18</v>
      </c>
      <c r="B28" s="1250">
        <v>651644</v>
      </c>
      <c r="C28" s="322"/>
      <c r="D28" s="322"/>
      <c r="E28" s="322"/>
      <c r="F28" s="322"/>
    </row>
    <row r="29" spans="1:6">
      <c r="A29" s="1248" t="s">
        <v>691</v>
      </c>
      <c r="B29" s="1250">
        <v>475</v>
      </c>
      <c r="C29" s="322"/>
      <c r="D29" s="322"/>
      <c r="E29" s="322"/>
      <c r="F29" s="322"/>
    </row>
    <row r="30" spans="1:6">
      <c r="A30" s="1243" t="s">
        <v>692</v>
      </c>
      <c r="B30" s="1251">
        <v>78</v>
      </c>
      <c r="C30" s="325"/>
      <c r="D30" s="325"/>
      <c r="E30" s="325"/>
      <c r="F30" s="325"/>
    </row>
    <row r="31" spans="1:6" ht="15.75" thickBot="1">
      <c r="A31" s="326"/>
      <c r="B31" s="322"/>
      <c r="C31" s="322"/>
      <c r="D31" s="322"/>
      <c r="E31" s="322"/>
      <c r="F31" s="322"/>
    </row>
    <row r="32" spans="1:6" ht="20.25" thickBot="1">
      <c r="A32" s="1240" t="s">
        <v>19</v>
      </c>
      <c r="B32" s="323"/>
      <c r="C32" s="323"/>
      <c r="D32" s="323"/>
      <c r="E32" s="323"/>
      <c r="F32" s="327"/>
    </row>
    <row r="33" spans="1:6" ht="16.5" thickTop="1" thickBot="1">
      <c r="A33" s="1252"/>
      <c r="B33" s="1253"/>
      <c r="C33" s="1253"/>
      <c r="D33" s="1253"/>
      <c r="E33" s="1253" t="s">
        <v>20</v>
      </c>
      <c r="F33" s="1254"/>
    </row>
    <row r="34" spans="1:6" ht="16.5" thickTop="1" thickBot="1">
      <c r="A34" s="1255" t="s">
        <v>21</v>
      </c>
      <c r="B34" s="1256" t="s">
        <v>22</v>
      </c>
      <c r="C34" s="1256" t="s">
        <v>5</v>
      </c>
      <c r="D34" s="1256" t="s">
        <v>23</v>
      </c>
      <c r="E34" s="1256" t="s">
        <v>5</v>
      </c>
      <c r="F34" s="1257" t="s">
        <v>23</v>
      </c>
    </row>
    <row r="35" spans="1:6">
      <c r="A35" s="1248" t="s">
        <v>24</v>
      </c>
      <c r="B35" s="1248" t="s">
        <v>25</v>
      </c>
      <c r="C35" s="1249">
        <v>0</v>
      </c>
      <c r="D35" s="1249">
        <v>0</v>
      </c>
      <c r="E35" s="1249">
        <v>4</v>
      </c>
      <c r="F35" s="1249">
        <v>91360.429321696007</v>
      </c>
    </row>
    <row r="36" spans="1:6">
      <c r="A36" s="1248" t="s">
        <v>24</v>
      </c>
      <c r="B36" s="1248" t="s">
        <v>26</v>
      </c>
      <c r="C36" s="1249">
        <v>0</v>
      </c>
      <c r="D36" s="1249">
        <v>0</v>
      </c>
      <c r="E36" s="1249">
        <v>5</v>
      </c>
      <c r="F36" s="1249">
        <v>26675.271868934</v>
      </c>
    </row>
    <row r="37" spans="1:6">
      <c r="A37" s="1248" t="s">
        <v>24</v>
      </c>
      <c r="B37" s="1248" t="s">
        <v>27</v>
      </c>
      <c r="C37" s="1249">
        <v>0</v>
      </c>
      <c r="D37" s="1249">
        <v>0</v>
      </c>
      <c r="E37" s="1249">
        <v>0</v>
      </c>
      <c r="F37" s="1249">
        <v>0</v>
      </c>
    </row>
    <row r="38" spans="1:6">
      <c r="A38" s="1248" t="s">
        <v>24</v>
      </c>
      <c r="B38" s="1248" t="s">
        <v>28</v>
      </c>
      <c r="C38" s="1249">
        <v>0</v>
      </c>
      <c r="D38" s="1249">
        <v>0</v>
      </c>
      <c r="E38" s="1249">
        <v>6</v>
      </c>
      <c r="F38" s="1249">
        <v>319396.51190339</v>
      </c>
    </row>
    <row r="39" spans="1:6">
      <c r="A39" s="1248" t="s">
        <v>29</v>
      </c>
      <c r="B39" s="1248" t="s">
        <v>30</v>
      </c>
      <c r="C39" s="1249">
        <v>9730</v>
      </c>
      <c r="D39" s="1249">
        <v>144244649.95135289</v>
      </c>
      <c r="E39" s="1249">
        <v>17151</v>
      </c>
      <c r="F39" s="1249">
        <v>70467278.512575701</v>
      </c>
    </row>
    <row r="40" spans="1:6">
      <c r="A40" s="1248" t="s">
        <v>29</v>
      </c>
      <c r="B40" s="1248" t="s">
        <v>28</v>
      </c>
      <c r="C40" s="1249">
        <v>0</v>
      </c>
      <c r="D40" s="1249">
        <v>0</v>
      </c>
      <c r="E40" s="1249">
        <v>0</v>
      </c>
      <c r="F40" s="1249">
        <v>0</v>
      </c>
    </row>
    <row r="41" spans="1:6">
      <c r="A41" s="1248" t="s">
        <v>31</v>
      </c>
      <c r="B41" s="1248" t="s">
        <v>32</v>
      </c>
      <c r="C41" s="1249">
        <v>186</v>
      </c>
      <c r="D41" s="1249">
        <v>4074148.57127439</v>
      </c>
      <c r="E41" s="1249">
        <v>501</v>
      </c>
      <c r="F41" s="1249">
        <v>20921052.169704065</v>
      </c>
    </row>
    <row r="42" spans="1:6">
      <c r="A42" s="1248" t="s">
        <v>31</v>
      </c>
      <c r="B42" s="1248" t="s">
        <v>33</v>
      </c>
      <c r="C42" s="1249">
        <v>0</v>
      </c>
      <c r="D42" s="1249">
        <v>0</v>
      </c>
      <c r="E42" s="1249">
        <v>0</v>
      </c>
      <c r="F42" s="1249">
        <v>0</v>
      </c>
    </row>
    <row r="43" spans="1:6">
      <c r="A43" s="1248" t="s">
        <v>31</v>
      </c>
      <c r="B43" s="1248" t="s">
        <v>34</v>
      </c>
      <c r="C43" s="1249">
        <v>0</v>
      </c>
      <c r="D43" s="1249">
        <v>0</v>
      </c>
      <c r="E43" s="1249">
        <v>0</v>
      </c>
      <c r="F43" s="1249">
        <v>0</v>
      </c>
    </row>
    <row r="44" spans="1:6">
      <c r="A44" s="1248" t="s">
        <v>31</v>
      </c>
      <c r="B44" s="1248" t="s">
        <v>35</v>
      </c>
      <c r="C44" s="1249">
        <v>6</v>
      </c>
      <c r="D44" s="1249">
        <v>1649809.7630982499</v>
      </c>
      <c r="E44" s="1249">
        <v>38</v>
      </c>
      <c r="F44" s="1249">
        <v>3277118.699734821</v>
      </c>
    </row>
    <row r="45" spans="1:6">
      <c r="A45" s="1248" t="s">
        <v>31</v>
      </c>
      <c r="B45" s="1248" t="s">
        <v>36</v>
      </c>
      <c r="C45" s="1249">
        <v>4</v>
      </c>
      <c r="D45" s="1249">
        <v>132073.299713204</v>
      </c>
      <c r="E45" s="1249">
        <v>11</v>
      </c>
      <c r="F45" s="1249">
        <v>2521445.0628533</v>
      </c>
    </row>
    <row r="46" spans="1:6">
      <c r="A46" s="1248" t="s">
        <v>31</v>
      </c>
      <c r="B46" s="1248" t="s">
        <v>37</v>
      </c>
      <c r="C46" s="1249">
        <v>0</v>
      </c>
      <c r="D46" s="1249">
        <v>0</v>
      </c>
      <c r="E46" s="1249">
        <v>0</v>
      </c>
      <c r="F46" s="1249">
        <v>0</v>
      </c>
    </row>
    <row r="47" spans="1:6">
      <c r="A47" s="1248" t="s">
        <v>31</v>
      </c>
      <c r="B47" s="1248" t="s">
        <v>38</v>
      </c>
      <c r="C47" s="1249">
        <v>13</v>
      </c>
      <c r="D47" s="1249">
        <v>427477.04686215013</v>
      </c>
      <c r="E47" s="1249">
        <v>17</v>
      </c>
      <c r="F47" s="1249">
        <v>1386194.0915564438</v>
      </c>
    </row>
    <row r="48" spans="1:6">
      <c r="A48" s="1248" t="s">
        <v>31</v>
      </c>
      <c r="B48" s="1248" t="s">
        <v>28</v>
      </c>
      <c r="C48" s="1249">
        <v>63</v>
      </c>
      <c r="D48" s="1249">
        <v>81372231.598531649</v>
      </c>
      <c r="E48" s="1249">
        <v>93</v>
      </c>
      <c r="F48" s="1249">
        <v>17252125.315405596</v>
      </c>
    </row>
    <row r="49" spans="1:6">
      <c r="A49" s="1248" t="s">
        <v>31</v>
      </c>
      <c r="B49" s="1248" t="s">
        <v>39</v>
      </c>
      <c r="C49" s="1249">
        <v>0</v>
      </c>
      <c r="D49" s="1249">
        <v>0</v>
      </c>
      <c r="E49" s="1249">
        <v>9</v>
      </c>
      <c r="F49" s="1249">
        <v>2019872.5187661599</v>
      </c>
    </row>
    <row r="50" spans="1:6">
      <c r="A50" s="1248" t="s">
        <v>31</v>
      </c>
      <c r="B50" s="1248" t="s">
        <v>40</v>
      </c>
      <c r="C50" s="1249">
        <v>24</v>
      </c>
      <c r="D50" s="1249">
        <v>11195960.124940202</v>
      </c>
      <c r="E50" s="1249">
        <v>55</v>
      </c>
      <c r="F50" s="1249">
        <v>41573440.136389971</v>
      </c>
    </row>
    <row r="51" spans="1:6">
      <c r="A51" s="1248" t="s">
        <v>41</v>
      </c>
      <c r="B51" s="1248" t="s">
        <v>42</v>
      </c>
      <c r="C51" s="1249">
        <v>29</v>
      </c>
      <c r="D51" s="1249">
        <v>87491119.284742668</v>
      </c>
      <c r="E51" s="1249">
        <v>389</v>
      </c>
      <c r="F51" s="1249">
        <v>8630315.8236465398</v>
      </c>
    </row>
    <row r="52" spans="1:6">
      <c r="A52" s="1248" t="s">
        <v>41</v>
      </c>
      <c r="B52" s="1248" t="s">
        <v>28</v>
      </c>
      <c r="C52" s="1249">
        <v>13</v>
      </c>
      <c r="D52" s="1249">
        <v>2125241.4952931581</v>
      </c>
      <c r="E52" s="1249">
        <v>10</v>
      </c>
      <c r="F52" s="1249">
        <v>70352.112338167412</v>
      </c>
    </row>
    <row r="53" spans="1:6">
      <c r="A53" s="1248" t="s">
        <v>43</v>
      </c>
      <c r="B53" s="1248" t="s">
        <v>44</v>
      </c>
      <c r="C53" s="1249">
        <v>257</v>
      </c>
      <c r="D53" s="1249">
        <v>8552669.4440609235</v>
      </c>
      <c r="E53" s="1249">
        <v>722</v>
      </c>
      <c r="F53" s="1249">
        <v>3139942.3002968859</v>
      </c>
    </row>
    <row r="54" spans="1:6">
      <c r="A54" s="1248" t="s">
        <v>45</v>
      </c>
      <c r="B54" s="1248" t="s">
        <v>46</v>
      </c>
      <c r="C54" s="1249">
        <v>0</v>
      </c>
      <c r="D54" s="1249">
        <v>0</v>
      </c>
      <c r="E54" s="1249">
        <v>8</v>
      </c>
      <c r="F54" s="1249">
        <v>3457279</v>
      </c>
    </row>
    <row r="55" spans="1:6">
      <c r="A55" s="1248" t="s">
        <v>45</v>
      </c>
      <c r="B55" s="1248" t="s">
        <v>28</v>
      </c>
      <c r="C55" s="1249">
        <v>0</v>
      </c>
      <c r="D55" s="1249">
        <v>0</v>
      </c>
      <c r="E55" s="1249">
        <v>0</v>
      </c>
      <c r="F55" s="1249">
        <v>0</v>
      </c>
    </row>
    <row r="56" spans="1:6">
      <c r="A56" s="1248" t="s">
        <v>47</v>
      </c>
      <c r="B56" s="1248" t="s">
        <v>28</v>
      </c>
      <c r="C56" s="1249">
        <v>0</v>
      </c>
      <c r="D56" s="1249">
        <v>0</v>
      </c>
      <c r="E56" s="1249">
        <v>0</v>
      </c>
      <c r="F56" s="1249">
        <v>0</v>
      </c>
    </row>
    <row r="57" spans="1:6">
      <c r="A57" s="1248" t="s">
        <v>48</v>
      </c>
      <c r="B57" s="1248" t="s">
        <v>49</v>
      </c>
      <c r="C57" s="1249">
        <v>139</v>
      </c>
      <c r="D57" s="1249">
        <v>11350501.819608968</v>
      </c>
      <c r="E57" s="1249">
        <v>253</v>
      </c>
      <c r="F57" s="1249">
        <v>4052667.2403395302</v>
      </c>
    </row>
    <row r="58" spans="1:6">
      <c r="A58" s="1248" t="s">
        <v>48</v>
      </c>
      <c r="B58" s="1248" t="s">
        <v>50</v>
      </c>
      <c r="C58" s="1249">
        <v>96</v>
      </c>
      <c r="D58" s="1249">
        <v>13143810.97276696</v>
      </c>
      <c r="E58" s="1249">
        <v>154</v>
      </c>
      <c r="F58" s="1249">
        <v>7100406.8047018759</v>
      </c>
    </row>
    <row r="59" spans="1:6">
      <c r="A59" s="1248" t="s">
        <v>48</v>
      </c>
      <c r="B59" s="1248" t="s">
        <v>51</v>
      </c>
      <c r="C59" s="1249">
        <v>269</v>
      </c>
      <c r="D59" s="1249">
        <v>12965721.148867348</v>
      </c>
      <c r="E59" s="1249">
        <v>668</v>
      </c>
      <c r="F59" s="1249">
        <v>24207618.658629559</v>
      </c>
    </row>
    <row r="60" spans="1:6">
      <c r="A60" s="1248" t="s">
        <v>48</v>
      </c>
      <c r="B60" s="1248" t="s">
        <v>52</v>
      </c>
      <c r="C60" s="1249">
        <v>129</v>
      </c>
      <c r="D60" s="1249">
        <v>7200014.6894623507</v>
      </c>
      <c r="E60" s="1249">
        <v>223</v>
      </c>
      <c r="F60" s="1249">
        <v>4798238.911157812</v>
      </c>
    </row>
    <row r="61" spans="1:6">
      <c r="A61" s="1248" t="s">
        <v>48</v>
      </c>
      <c r="B61" s="1248" t="s">
        <v>53</v>
      </c>
      <c r="C61" s="1249">
        <v>381</v>
      </c>
      <c r="D61" s="1249">
        <v>16716426.80906737</v>
      </c>
      <c r="E61" s="1249">
        <v>973</v>
      </c>
      <c r="F61" s="1249">
        <v>16207521.992593572</v>
      </c>
    </row>
    <row r="62" spans="1:6">
      <c r="A62" s="1248" t="s">
        <v>48</v>
      </c>
      <c r="B62" s="1248" t="s">
        <v>54</v>
      </c>
      <c r="C62" s="1249">
        <v>27</v>
      </c>
      <c r="D62" s="1249">
        <v>3602490.3985105101</v>
      </c>
      <c r="E62" s="1249">
        <v>38</v>
      </c>
      <c r="F62" s="1249">
        <v>1312628.5938585</v>
      </c>
    </row>
    <row r="63" spans="1:6">
      <c r="A63" s="1248" t="s">
        <v>48</v>
      </c>
      <c r="B63" s="1248" t="s">
        <v>28</v>
      </c>
      <c r="C63" s="1249">
        <v>186</v>
      </c>
      <c r="D63" s="1249">
        <v>116729150.68755691</v>
      </c>
      <c r="E63" s="1249">
        <v>192</v>
      </c>
      <c r="F63" s="1249">
        <v>5653255.1035666503</v>
      </c>
    </row>
    <row r="64" spans="1:6">
      <c r="A64" s="1248" t="s">
        <v>55</v>
      </c>
      <c r="B64" s="1248" t="s">
        <v>56</v>
      </c>
      <c r="C64" s="1249">
        <v>0</v>
      </c>
      <c r="D64" s="1249">
        <v>0</v>
      </c>
      <c r="E64" s="1249">
        <v>0</v>
      </c>
      <c r="F64" s="1249">
        <v>0</v>
      </c>
    </row>
    <row r="65" spans="1:6">
      <c r="A65" s="1248" t="s">
        <v>55</v>
      </c>
      <c r="B65" s="1248" t="s">
        <v>28</v>
      </c>
      <c r="C65" s="1249">
        <v>6</v>
      </c>
      <c r="D65" s="1249">
        <v>639502.81865745166</v>
      </c>
      <c r="E65" s="1249">
        <v>5</v>
      </c>
      <c r="F65" s="1249">
        <v>38689.287438098501</v>
      </c>
    </row>
    <row r="66" spans="1:6">
      <c r="A66" s="1248" t="s">
        <v>55</v>
      </c>
      <c r="B66" s="1248" t="s">
        <v>57</v>
      </c>
      <c r="C66" s="1249">
        <v>0</v>
      </c>
      <c r="D66" s="1249">
        <v>0</v>
      </c>
      <c r="E66" s="1249">
        <v>28</v>
      </c>
      <c r="F66" s="1249">
        <v>707723.58751445101</v>
      </c>
    </row>
    <row r="67" spans="1:6">
      <c r="A67" s="1248" t="s">
        <v>55</v>
      </c>
      <c r="B67" s="1248" t="s">
        <v>58</v>
      </c>
      <c r="C67" s="1249">
        <v>0</v>
      </c>
      <c r="D67" s="1249">
        <v>0</v>
      </c>
      <c r="E67" s="1249">
        <v>0</v>
      </c>
      <c r="F67" s="1249">
        <v>0</v>
      </c>
    </row>
    <row r="68" spans="1:6">
      <c r="A68" s="1243" t="s">
        <v>55</v>
      </c>
      <c r="B68" s="1243" t="s">
        <v>59</v>
      </c>
      <c r="C68" s="1251">
        <v>9</v>
      </c>
      <c r="D68" s="1251">
        <v>687825.38669935998</v>
      </c>
      <c r="E68" s="1251">
        <v>25</v>
      </c>
      <c r="F68" s="1251">
        <v>1663657.8330822401</v>
      </c>
    </row>
    <row r="69" spans="1:6" ht="15.75" thickBot="1">
      <c r="A69" s="326"/>
      <c r="B69" s="322"/>
      <c r="C69" s="322"/>
      <c r="D69" s="322"/>
      <c r="E69" s="322"/>
      <c r="F69" s="322"/>
    </row>
    <row r="70" spans="1:6" ht="19.5">
      <c r="A70" s="1240" t="s">
        <v>60</v>
      </c>
      <c r="B70" s="323"/>
      <c r="C70" s="323"/>
      <c r="D70" s="323"/>
      <c r="E70" s="323"/>
      <c r="F70" s="327"/>
    </row>
    <row r="71" spans="1:6" ht="20.25" thickBot="1">
      <c r="A71" s="1258"/>
      <c r="B71" s="1268"/>
      <c r="C71" s="1268"/>
      <c r="D71" s="1269" t="s">
        <v>427</v>
      </c>
      <c r="E71" s="1268"/>
      <c r="F71" s="329"/>
    </row>
    <row r="72" spans="1:6" ht="16.5" thickTop="1" thickBot="1">
      <c r="A72" s="1245" t="s">
        <v>61</v>
      </c>
      <c r="B72" s="1246" t="s">
        <v>62</v>
      </c>
      <c r="C72" s="1259" t="s">
        <v>633</v>
      </c>
      <c r="D72" s="1260"/>
      <c r="E72" s="1260"/>
      <c r="F72" s="1247"/>
    </row>
    <row r="73" spans="1:6">
      <c r="A73" s="1248" t="s">
        <v>63</v>
      </c>
      <c r="B73" s="1248" t="s">
        <v>616</v>
      </c>
      <c r="C73" s="1261" t="s">
        <v>618</v>
      </c>
      <c r="D73" s="1249">
        <v>159446639</v>
      </c>
      <c r="E73" s="439"/>
      <c r="F73" s="322"/>
    </row>
    <row r="74" spans="1:6">
      <c r="A74" s="1248" t="s">
        <v>63</v>
      </c>
      <c r="B74" s="1248" t="s">
        <v>617</v>
      </c>
      <c r="C74" s="1261" t="s">
        <v>619</v>
      </c>
      <c r="D74" s="1249">
        <v>17505951.5</v>
      </c>
      <c r="E74" s="439"/>
      <c r="F74" s="322"/>
    </row>
    <row r="75" spans="1:6">
      <c r="A75" s="1248" t="s">
        <v>64</v>
      </c>
      <c r="B75" s="1248" t="s">
        <v>616</v>
      </c>
      <c r="C75" s="1261" t="s">
        <v>620</v>
      </c>
      <c r="D75" s="1249">
        <v>71020583</v>
      </c>
      <c r="E75" s="439"/>
      <c r="F75" s="322"/>
    </row>
    <row r="76" spans="1:6">
      <c r="A76" s="1248" t="s">
        <v>64</v>
      </c>
      <c r="B76" s="1248" t="s">
        <v>617</v>
      </c>
      <c r="C76" s="1261" t="s">
        <v>621</v>
      </c>
      <c r="D76" s="1249">
        <v>4469770.5</v>
      </c>
      <c r="E76" s="439"/>
      <c r="F76" s="322"/>
    </row>
    <row r="77" spans="1:6">
      <c r="A77" s="1248" t="s">
        <v>65</v>
      </c>
      <c r="B77" s="1248" t="s">
        <v>616</v>
      </c>
      <c r="C77" s="1261" t="s">
        <v>622</v>
      </c>
      <c r="D77" s="1249">
        <v>190240609</v>
      </c>
      <c r="E77" s="439"/>
      <c r="F77" s="322"/>
    </row>
    <row r="78" spans="1:6">
      <c r="A78" s="1243" t="s">
        <v>65</v>
      </c>
      <c r="B78" s="1243" t="s">
        <v>617</v>
      </c>
      <c r="C78" s="1243" t="s">
        <v>623</v>
      </c>
      <c r="D78" s="1251">
        <v>31722188</v>
      </c>
      <c r="E78" s="1262"/>
      <c r="F78" s="325"/>
    </row>
    <row r="79" spans="1:6">
      <c r="A79" s="1263"/>
      <c r="B79" s="1263"/>
      <c r="C79" s="322"/>
      <c r="D79" s="322"/>
      <c r="E79" s="322"/>
      <c r="F79" s="322"/>
    </row>
    <row r="80" spans="1:6" ht="15.75" thickBot="1">
      <c r="A80" s="1263"/>
      <c r="B80" s="1263"/>
      <c r="C80" s="322"/>
      <c r="D80" s="322"/>
      <c r="E80" s="322"/>
      <c r="F80" s="322"/>
    </row>
    <row r="81" spans="1:6" ht="20.25" thickBot="1">
      <c r="A81" s="1240" t="s">
        <v>320</v>
      </c>
      <c r="B81" s="1264"/>
      <c r="C81" s="323"/>
      <c r="D81" s="323"/>
      <c r="E81" s="323"/>
      <c r="F81" s="327"/>
    </row>
    <row r="82" spans="1:6" ht="16.5" thickTop="1" thickBot="1">
      <c r="A82" s="1245" t="s">
        <v>321</v>
      </c>
      <c r="B82" s="1260"/>
      <c r="C82" s="1260"/>
      <c r="D82" s="1246"/>
      <c r="E82" s="1246"/>
      <c r="F82" s="1247"/>
    </row>
    <row r="83" spans="1:6">
      <c r="A83" s="1248" t="s">
        <v>322</v>
      </c>
      <c r="B83" s="1249">
        <v>672237</v>
      </c>
      <c r="C83" s="439"/>
      <c r="D83" s="322"/>
      <c r="E83" s="322"/>
      <c r="F83" s="322"/>
    </row>
    <row r="84" spans="1:6">
      <c r="A84" s="1243" t="s">
        <v>323</v>
      </c>
      <c r="B84" s="1251">
        <v>0</v>
      </c>
      <c r="C84" s="1262"/>
      <c r="D84" s="325"/>
      <c r="E84" s="325"/>
      <c r="F84" s="325"/>
    </row>
    <row r="85" spans="1:6">
      <c r="A85" s="1263"/>
      <c r="B85" s="1265"/>
      <c r="C85" s="322"/>
      <c r="D85" s="322"/>
      <c r="E85" s="322"/>
      <c r="F85" s="322"/>
    </row>
    <row r="86" spans="1:6" ht="15.75" thickBot="1">
      <c r="A86" s="326"/>
      <c r="B86" s="322"/>
      <c r="C86" s="322"/>
      <c r="D86" s="322"/>
      <c r="E86" s="322"/>
      <c r="F86" s="322"/>
    </row>
    <row r="87" spans="1:6" ht="20.25" thickBot="1">
      <c r="A87" s="1240" t="s">
        <v>66</v>
      </c>
      <c r="B87" s="323"/>
      <c r="C87" s="323"/>
      <c r="D87" s="323"/>
      <c r="E87" s="323"/>
      <c r="F87" s="327"/>
    </row>
    <row r="88" spans="1:6" ht="16.5" thickTop="1" thickBot="1">
      <c r="A88" s="1245" t="s">
        <v>4</v>
      </c>
      <c r="B88" s="1246" t="s">
        <v>163</v>
      </c>
      <c r="C88" s="1246"/>
      <c r="D88" s="1246"/>
      <c r="E88" s="1246"/>
      <c r="F88" s="1247"/>
    </row>
    <row r="89" spans="1:6">
      <c r="A89" s="1248" t="s">
        <v>532</v>
      </c>
      <c r="B89" s="1249">
        <v>0</v>
      </c>
      <c r="C89" s="322"/>
      <c r="D89" s="322"/>
      <c r="E89" s="322"/>
      <c r="F89" s="322"/>
    </row>
    <row r="90" spans="1:6">
      <c r="A90" s="1248" t="s">
        <v>533</v>
      </c>
      <c r="B90" s="1249">
        <v>0</v>
      </c>
      <c r="C90" s="322"/>
      <c r="D90" s="322"/>
      <c r="E90" s="322"/>
      <c r="F90" s="322"/>
    </row>
    <row r="91" spans="1:6">
      <c r="A91" s="1248" t="s">
        <v>67</v>
      </c>
      <c r="B91" s="1249">
        <v>9229.3700022278463</v>
      </c>
      <c r="C91" s="322"/>
      <c r="D91" s="322"/>
      <c r="E91" s="322"/>
      <c r="F91" s="322"/>
    </row>
    <row r="92" spans="1:6">
      <c r="A92" s="1243" t="s">
        <v>68</v>
      </c>
      <c r="B92" s="1244">
        <v>5277.5356030590528</v>
      </c>
      <c r="C92" s="325"/>
      <c r="D92" s="325"/>
      <c r="E92" s="325"/>
      <c r="F92" s="325"/>
    </row>
    <row r="93" spans="1:6">
      <c r="A93" s="326"/>
      <c r="B93" s="322"/>
      <c r="C93" s="322"/>
      <c r="D93" s="322"/>
      <c r="E93" s="322"/>
      <c r="F93" s="322"/>
    </row>
    <row r="94" spans="1:6" ht="15.75" thickBot="1">
      <c r="A94" s="326"/>
      <c r="B94" s="322"/>
      <c r="C94" s="322"/>
      <c r="D94" s="322"/>
      <c r="E94" s="322"/>
      <c r="F94" s="322"/>
    </row>
    <row r="95" spans="1:6" ht="20.25" thickBot="1">
      <c r="A95" s="1240" t="s">
        <v>69</v>
      </c>
      <c r="B95" s="323"/>
      <c r="C95" s="323"/>
      <c r="D95" s="323"/>
      <c r="E95" s="323"/>
      <c r="F95" s="327"/>
    </row>
    <row r="96" spans="1:6" ht="16.5" thickTop="1" thickBot="1">
      <c r="A96" s="1245" t="s">
        <v>4</v>
      </c>
      <c r="B96" s="1246" t="s">
        <v>5</v>
      </c>
      <c r="C96" s="1246"/>
      <c r="D96" s="1246"/>
      <c r="E96" s="1246"/>
      <c r="F96" s="1247"/>
    </row>
    <row r="97" spans="1:6">
      <c r="A97" s="1248" t="s">
        <v>70</v>
      </c>
      <c r="B97" s="1249">
        <v>3827</v>
      </c>
      <c r="C97" s="322"/>
      <c r="D97" s="322"/>
      <c r="E97" s="322"/>
      <c r="F97" s="322"/>
    </row>
    <row r="98" spans="1:6">
      <c r="A98" s="1248" t="s">
        <v>71</v>
      </c>
      <c r="B98" s="1249">
        <v>2</v>
      </c>
      <c r="C98" s="322"/>
      <c r="D98" s="322"/>
      <c r="E98" s="322"/>
      <c r="F98" s="322"/>
    </row>
    <row r="99" spans="1:6">
      <c r="A99" s="1248" t="s">
        <v>72</v>
      </c>
      <c r="B99" s="1249">
        <v>448</v>
      </c>
      <c r="C99" s="322"/>
      <c r="D99" s="322"/>
      <c r="E99" s="322"/>
      <c r="F99" s="322"/>
    </row>
    <row r="100" spans="1:6">
      <c r="A100" s="1248" t="s">
        <v>73</v>
      </c>
      <c r="B100" s="1249">
        <v>1971</v>
      </c>
      <c r="C100" s="322"/>
      <c r="D100" s="322"/>
      <c r="E100" s="322"/>
      <c r="F100" s="322"/>
    </row>
    <row r="101" spans="1:6">
      <c r="A101" s="1248" t="s">
        <v>74</v>
      </c>
      <c r="B101" s="1249">
        <v>308</v>
      </c>
      <c r="C101" s="322"/>
      <c r="D101" s="322"/>
      <c r="E101" s="322"/>
      <c r="F101" s="322"/>
    </row>
    <row r="102" spans="1:6">
      <c r="A102" s="1248" t="s">
        <v>75</v>
      </c>
      <c r="B102" s="1249">
        <v>295</v>
      </c>
      <c r="C102" s="322"/>
      <c r="D102" s="322"/>
      <c r="E102" s="322"/>
      <c r="F102" s="322"/>
    </row>
    <row r="103" spans="1:6">
      <c r="A103" s="1248" t="s">
        <v>76</v>
      </c>
      <c r="B103" s="1249">
        <v>586</v>
      </c>
      <c r="C103" s="322"/>
      <c r="D103" s="322"/>
      <c r="E103" s="322"/>
      <c r="F103" s="322"/>
    </row>
    <row r="104" spans="1:6">
      <c r="A104" s="1248" t="s">
        <v>77</v>
      </c>
      <c r="B104" s="1249">
        <v>7441</v>
      </c>
      <c r="C104" s="322"/>
      <c r="D104" s="322"/>
      <c r="E104" s="322"/>
      <c r="F104" s="322"/>
    </row>
    <row r="105" spans="1:6">
      <c r="A105" s="1243" t="s">
        <v>78</v>
      </c>
      <c r="B105" s="1251">
        <v>7</v>
      </c>
      <c r="C105" s="325"/>
      <c r="D105" s="325"/>
      <c r="E105" s="325"/>
      <c r="F105" s="325"/>
    </row>
    <row r="106" spans="1:6">
      <c r="A106" s="326"/>
      <c r="B106" s="322"/>
      <c r="C106" s="322"/>
      <c r="D106" s="322"/>
      <c r="E106" s="322"/>
      <c r="F106" s="322"/>
    </row>
    <row r="107" spans="1:6" ht="15.75" thickBot="1">
      <c r="A107" s="326"/>
      <c r="B107" s="322"/>
      <c r="C107" s="322"/>
      <c r="D107" s="322"/>
      <c r="E107" s="322"/>
      <c r="F107" s="322"/>
    </row>
    <row r="108" spans="1:6" ht="20.25" thickBot="1">
      <c r="A108" s="1240" t="s">
        <v>606</v>
      </c>
      <c r="B108" s="323"/>
      <c r="C108" s="323"/>
      <c r="D108" s="323"/>
      <c r="E108" s="323"/>
      <c r="F108" s="327"/>
    </row>
    <row r="109" spans="1:6" ht="16.5" thickTop="1" thickBot="1">
      <c r="A109" s="1245" t="s">
        <v>4</v>
      </c>
      <c r="B109" s="1246" t="s">
        <v>5</v>
      </c>
      <c r="C109" s="1246"/>
      <c r="D109" s="1246"/>
      <c r="E109" s="1246"/>
      <c r="F109" s="1247"/>
    </row>
    <row r="110" spans="1:6">
      <c r="A110" s="1248" t="s">
        <v>607</v>
      </c>
      <c r="B110" s="1249">
        <v>2</v>
      </c>
      <c r="C110" s="322"/>
      <c r="D110" s="322"/>
      <c r="E110" s="322"/>
      <c r="F110" s="322"/>
    </row>
    <row r="111" spans="1:6">
      <c r="A111" s="1266" t="s">
        <v>608</v>
      </c>
      <c r="B111" s="1267">
        <v>0</v>
      </c>
      <c r="C111" s="1270"/>
      <c r="D111" s="1270"/>
      <c r="E111" s="1270"/>
      <c r="F111" s="1270"/>
    </row>
    <row r="112" spans="1:6">
      <c r="A112" s="1248"/>
      <c r="B112" s="322"/>
      <c r="C112" s="322"/>
      <c r="D112" s="322"/>
      <c r="E112" s="322"/>
      <c r="F112" s="322"/>
    </row>
    <row r="113" spans="1:6" ht="15.75" thickBot="1">
      <c r="A113" s="1243"/>
      <c r="B113" s="325"/>
      <c r="C113" s="325"/>
      <c r="D113" s="325"/>
      <c r="E113" s="325"/>
      <c r="F113" s="325"/>
    </row>
    <row r="114" spans="1:6" ht="20.25" thickBot="1">
      <c r="A114" s="1240" t="s">
        <v>79</v>
      </c>
      <c r="B114" s="323"/>
      <c r="C114" s="323"/>
      <c r="D114" s="323"/>
      <c r="E114" s="323"/>
      <c r="F114" s="327"/>
    </row>
    <row r="115" spans="1:6" ht="16.5" thickTop="1" thickBot="1">
      <c r="A115" s="330"/>
      <c r="B115" s="331" t="s">
        <v>80</v>
      </c>
      <c r="C115" s="331" t="s">
        <v>81</v>
      </c>
      <c r="D115" s="331"/>
      <c r="E115" s="331"/>
      <c r="F115" s="332"/>
    </row>
    <row r="116" spans="1:6" ht="16.5" thickTop="1" thickBot="1">
      <c r="A116" s="1245" t="s">
        <v>4</v>
      </c>
      <c r="B116" s="1246" t="s">
        <v>5</v>
      </c>
      <c r="C116" s="1246" t="s">
        <v>5</v>
      </c>
      <c r="D116" s="1246"/>
      <c r="E116" s="1246"/>
      <c r="F116" s="1247"/>
    </row>
    <row r="117" spans="1:6">
      <c r="A117" s="1248" t="s">
        <v>82</v>
      </c>
      <c r="B117" s="1249">
        <v>0</v>
      </c>
      <c r="C117" s="1249">
        <v>0</v>
      </c>
      <c r="D117" s="322"/>
      <c r="E117" s="322"/>
      <c r="F117" s="322"/>
    </row>
    <row r="118" spans="1:6">
      <c r="A118" s="1248" t="s">
        <v>83</v>
      </c>
      <c r="B118" s="1249">
        <v>0</v>
      </c>
      <c r="C118" s="1249">
        <v>0</v>
      </c>
      <c r="D118" s="322"/>
      <c r="E118" s="322"/>
      <c r="F118" s="322"/>
    </row>
    <row r="119" spans="1:6">
      <c r="A119" s="1248" t="s">
        <v>31</v>
      </c>
      <c r="B119" s="1249">
        <v>0</v>
      </c>
      <c r="C119" s="1249">
        <v>0</v>
      </c>
      <c r="D119" s="322"/>
      <c r="E119" s="322"/>
      <c r="F119" s="322"/>
    </row>
    <row r="120" spans="1:6">
      <c r="A120" s="1248" t="s">
        <v>84</v>
      </c>
      <c r="B120" s="1249">
        <v>0</v>
      </c>
      <c r="C120" s="1249">
        <v>0</v>
      </c>
      <c r="D120" s="322"/>
      <c r="E120" s="322"/>
      <c r="F120" s="322"/>
    </row>
    <row r="121" spans="1:6">
      <c r="A121" s="1248" t="s">
        <v>85</v>
      </c>
      <c r="B121" s="1249">
        <v>1</v>
      </c>
      <c r="C121" s="1249">
        <v>0</v>
      </c>
      <c r="D121" s="322"/>
      <c r="E121" s="322"/>
      <c r="F121" s="322"/>
    </row>
    <row r="122" spans="1:6">
      <c r="A122" s="1248" t="s">
        <v>86</v>
      </c>
      <c r="B122" s="1249">
        <v>0</v>
      </c>
      <c r="C122" s="1249">
        <v>0</v>
      </c>
      <c r="D122" s="322"/>
      <c r="E122" s="322"/>
      <c r="F122" s="322"/>
    </row>
    <row r="123" spans="1:6">
      <c r="A123" s="1248" t="s">
        <v>87</v>
      </c>
      <c r="B123" s="1249">
        <v>91</v>
      </c>
      <c r="C123" s="1249">
        <v>79</v>
      </c>
      <c r="D123" s="322"/>
      <c r="E123" s="322"/>
      <c r="F123" s="322"/>
    </row>
    <row r="124" spans="1:6">
      <c r="A124" s="1248" t="s">
        <v>88</v>
      </c>
      <c r="B124" s="1249">
        <v>1</v>
      </c>
      <c r="C124" s="1249">
        <v>1</v>
      </c>
      <c r="D124" s="322"/>
      <c r="E124" s="322"/>
      <c r="F124" s="322"/>
    </row>
    <row r="125" spans="1:6">
      <c r="A125" s="1243" t="s">
        <v>823</v>
      </c>
      <c r="B125" s="1249">
        <v>0</v>
      </c>
      <c r="C125" s="1249">
        <v>0</v>
      </c>
      <c r="D125" s="322"/>
      <c r="E125" s="322"/>
      <c r="F125" s="322"/>
    </row>
    <row r="126" spans="1:6" ht="15.75" thickBot="1">
      <c r="A126" s="1263"/>
      <c r="B126" s="322"/>
      <c r="C126" s="322"/>
      <c r="D126" s="322"/>
      <c r="E126" s="322"/>
      <c r="F126" s="322"/>
    </row>
    <row r="127" spans="1:6" ht="20.25" thickBot="1">
      <c r="A127" s="1240" t="s">
        <v>281</v>
      </c>
      <c r="B127" s="323"/>
      <c r="C127" s="323"/>
      <c r="D127" s="323"/>
      <c r="E127" s="323"/>
      <c r="F127" s="327"/>
    </row>
    <row r="128" spans="1:6" ht="16.5" thickTop="1" thickBot="1">
      <c r="A128" s="1245" t="s">
        <v>4</v>
      </c>
      <c r="B128" s="1246" t="s">
        <v>5</v>
      </c>
      <c r="C128" s="1246"/>
      <c r="D128" s="1246"/>
      <c r="E128" s="1246"/>
      <c r="F128" s="1247"/>
    </row>
    <row r="129" spans="1:6">
      <c r="A129" s="1248" t="s">
        <v>282</v>
      </c>
      <c r="B129" s="1249">
        <v>500</v>
      </c>
      <c r="C129" s="322"/>
      <c r="D129" s="322"/>
      <c r="E129" s="322"/>
      <c r="F129" s="322"/>
    </row>
    <row r="130" spans="1:6">
      <c r="A130" s="1248" t="s">
        <v>283</v>
      </c>
      <c r="B130" s="1249">
        <v>8</v>
      </c>
      <c r="C130" s="322"/>
      <c r="D130" s="322"/>
      <c r="E130" s="322"/>
      <c r="F130" s="322"/>
    </row>
    <row r="131" spans="1:6">
      <c r="A131" s="1248" t="s">
        <v>284</v>
      </c>
      <c r="B131" s="1249">
        <v>8</v>
      </c>
      <c r="C131" s="322"/>
      <c r="D131" s="322"/>
      <c r="E131" s="322"/>
      <c r="F131" s="322"/>
    </row>
    <row r="132" spans="1:6">
      <c r="A132" s="1243" t="s">
        <v>285</v>
      </c>
      <c r="B132" s="1244">
        <v>51</v>
      </c>
      <c r="C132" s="325"/>
      <c r="D132" s="325"/>
      <c r="E132" s="325"/>
      <c r="F132" s="325"/>
    </row>
    <row r="133" spans="1:6">
      <c r="A133" s="322"/>
      <c r="B133" s="322"/>
      <c r="C133" s="322"/>
      <c r="D133" s="322"/>
      <c r="E133" s="322"/>
      <c r="F133" s="322"/>
    </row>
    <row r="134" spans="1:6">
      <c r="A134" s="1265"/>
      <c r="B134" s="322"/>
      <c r="C134" s="322"/>
      <c r="D134" s="322"/>
      <c r="E134" s="322"/>
      <c r="F134" s="322"/>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09" customWidth="1"/>
    <col min="7" max="7" width="26.5703125" bestFit="1" customWidth="1"/>
  </cols>
  <sheetData>
    <row r="1" spans="1:12" ht="18.75" thickBot="1">
      <c r="A1" s="121" t="s">
        <v>173</v>
      </c>
      <c r="B1" s="495"/>
      <c r="E1" s="621"/>
      <c r="F1" s="621"/>
    </row>
    <row r="2" spans="1:12">
      <c r="A2" s="44" t="s">
        <v>824</v>
      </c>
      <c r="B2" s="496"/>
      <c r="E2" s="621"/>
      <c r="F2" s="621"/>
    </row>
    <row r="3" spans="1:12">
      <c r="A3" s="44"/>
      <c r="B3" s="496"/>
      <c r="E3" s="621"/>
      <c r="F3" s="621"/>
    </row>
    <row r="4" spans="1:12" ht="18">
      <c r="A4" s="136" t="s">
        <v>174</v>
      </c>
      <c r="B4" s="497" t="s">
        <v>374</v>
      </c>
      <c r="E4" s="621"/>
      <c r="F4" s="621"/>
    </row>
    <row r="5" spans="1:12" ht="21">
      <c r="A5" s="116" t="s">
        <v>176</v>
      </c>
      <c r="B5" s="498"/>
      <c r="E5" s="831"/>
      <c r="F5" s="832"/>
      <c r="G5" s="841"/>
      <c r="H5" s="841"/>
      <c r="I5" s="9"/>
      <c r="J5" s="9"/>
    </row>
    <row r="6" spans="1:12">
      <c r="A6" s="117" t="s">
        <v>177</v>
      </c>
      <c r="B6" s="499">
        <v>4.0513950503279288</v>
      </c>
      <c r="E6" s="833"/>
      <c r="F6" s="833"/>
      <c r="G6" s="842"/>
      <c r="H6" s="842"/>
      <c r="I6" s="10"/>
      <c r="J6" s="10"/>
      <c r="K6" s="10"/>
      <c r="L6" s="10"/>
    </row>
    <row r="7" spans="1:12">
      <c r="A7" s="117" t="s">
        <v>6</v>
      </c>
      <c r="B7" s="499">
        <v>128.6706190106207</v>
      </c>
      <c r="E7" s="621"/>
      <c r="F7" s="621"/>
      <c r="G7" s="843"/>
      <c r="H7" s="843"/>
      <c r="K7" s="10"/>
      <c r="L7" s="10"/>
    </row>
    <row r="8" spans="1:12">
      <c r="A8" s="117" t="s">
        <v>7</v>
      </c>
      <c r="B8" s="499">
        <v>69.102957635465998</v>
      </c>
      <c r="E8" s="621"/>
      <c r="F8" s="621"/>
      <c r="G8" s="843"/>
      <c r="H8" s="843"/>
      <c r="K8" s="10"/>
      <c r="L8" s="10"/>
    </row>
    <row r="9" spans="1:12">
      <c r="A9" s="117" t="s">
        <v>8</v>
      </c>
      <c r="B9" s="499">
        <v>31.909886478760498</v>
      </c>
      <c r="E9" s="833"/>
      <c r="F9" s="833"/>
      <c r="G9" s="842"/>
      <c r="H9" s="842"/>
      <c r="I9" s="10"/>
      <c r="J9" s="10"/>
      <c r="K9" s="10"/>
      <c r="L9" s="10"/>
    </row>
    <row r="10" spans="1:12">
      <c r="A10" s="117" t="s">
        <v>9</v>
      </c>
      <c r="B10" s="499">
        <v>47.900718217356051</v>
      </c>
      <c r="E10" s="834"/>
      <c r="F10" s="834"/>
      <c r="G10" s="844"/>
      <c r="H10" s="844"/>
      <c r="I10" s="11"/>
      <c r="J10" s="11"/>
      <c r="K10" s="10"/>
      <c r="L10" s="10"/>
    </row>
    <row r="11" spans="1:12">
      <c r="A11" s="117" t="s">
        <v>10</v>
      </c>
      <c r="B11" s="499">
        <v>41.361552447157969</v>
      </c>
      <c r="E11" s="621"/>
      <c r="F11" s="834"/>
      <c r="G11" s="844"/>
      <c r="H11" s="844"/>
      <c r="I11" s="11"/>
      <c r="J11" s="11"/>
      <c r="K11" s="10"/>
      <c r="L11" s="10"/>
    </row>
    <row r="12" spans="1:12">
      <c r="A12" s="118" t="s">
        <v>16</v>
      </c>
      <c r="B12" s="499">
        <v>8</v>
      </c>
      <c r="E12" s="834"/>
      <c r="F12" s="833"/>
      <c r="G12" s="842"/>
      <c r="H12" s="842"/>
      <c r="I12" s="10"/>
      <c r="J12" s="10"/>
      <c r="K12" s="10"/>
      <c r="L12" s="10"/>
    </row>
    <row r="13" spans="1:12">
      <c r="A13" s="118" t="s">
        <v>17</v>
      </c>
      <c r="B13" s="499">
        <v>5</v>
      </c>
      <c r="E13" s="833"/>
      <c r="F13" s="833"/>
      <c r="G13" s="842"/>
      <c r="H13" s="842"/>
      <c r="I13" s="10"/>
      <c r="J13" s="10"/>
      <c r="K13" s="10"/>
      <c r="L13" s="10"/>
    </row>
    <row r="14" spans="1:12">
      <c r="A14" s="118" t="s">
        <v>178</v>
      </c>
      <c r="B14" s="499">
        <v>1.5</v>
      </c>
      <c r="E14" s="833"/>
      <c r="F14" s="833"/>
      <c r="G14" s="842"/>
      <c r="H14" s="842"/>
      <c r="I14" s="10"/>
      <c r="J14" s="10"/>
      <c r="K14" s="10"/>
      <c r="L14" s="10"/>
    </row>
    <row r="15" spans="1:12">
      <c r="A15" s="118" t="s">
        <v>179</v>
      </c>
      <c r="B15" s="499">
        <v>18</v>
      </c>
      <c r="E15" s="833"/>
      <c r="F15" s="833"/>
      <c r="G15" s="842"/>
      <c r="H15" s="842"/>
      <c r="I15" s="10"/>
      <c r="J15" s="10"/>
      <c r="K15" s="10"/>
      <c r="L15" s="10"/>
    </row>
    <row r="16" spans="1:12">
      <c r="A16" s="118" t="s">
        <v>180</v>
      </c>
      <c r="B16" s="500">
        <v>10</v>
      </c>
      <c r="E16" s="833"/>
      <c r="F16" s="833"/>
      <c r="G16" s="842"/>
      <c r="H16" s="842"/>
      <c r="I16" s="10"/>
      <c r="J16" s="10"/>
      <c r="K16" s="10"/>
      <c r="L16" s="10"/>
    </row>
    <row r="17" spans="1:12" s="43" customFormat="1" ht="15.75" thickBot="1">
      <c r="A17" s="119"/>
      <c r="B17" s="501"/>
      <c r="E17" s="835"/>
      <c r="F17" s="835"/>
      <c r="G17" s="153"/>
      <c r="H17" s="153"/>
      <c r="I17" s="153"/>
      <c r="J17" s="153"/>
      <c r="K17" s="153"/>
      <c r="L17" s="153"/>
    </row>
    <row r="18" spans="1:12" s="43" customFormat="1" ht="15.75" thickBot="1">
      <c r="A18" s="191"/>
      <c r="B18" s="502"/>
      <c r="E18" s="835"/>
      <c r="F18" s="835"/>
      <c r="G18" s="153"/>
      <c r="H18" s="153"/>
      <c r="I18" s="153"/>
      <c r="J18" s="153"/>
      <c r="K18" s="153"/>
      <c r="L18" s="153"/>
    </row>
    <row r="19" spans="1:12" ht="18.75" thickBot="1">
      <c r="A19" s="121" t="s">
        <v>181</v>
      </c>
      <c r="B19" s="495"/>
      <c r="E19" s="833"/>
      <c r="F19" s="833"/>
      <c r="G19" s="10"/>
      <c r="H19" s="10"/>
      <c r="I19" s="10"/>
      <c r="J19" s="10"/>
      <c r="K19" s="10"/>
      <c r="L19" s="10"/>
    </row>
    <row r="20" spans="1:12">
      <c r="A20" s="44" t="s">
        <v>824</v>
      </c>
      <c r="B20" s="496"/>
      <c r="E20" s="833"/>
      <c r="F20" s="833"/>
      <c r="G20" s="10"/>
      <c r="H20" s="10"/>
      <c r="I20" s="10"/>
      <c r="J20" s="10"/>
      <c r="K20" s="10"/>
      <c r="L20" s="10"/>
    </row>
    <row r="21" spans="1:12">
      <c r="A21" s="44"/>
      <c r="B21" s="496"/>
      <c r="E21" s="833"/>
      <c r="F21" s="833"/>
      <c r="G21" s="10"/>
      <c r="H21" s="10"/>
      <c r="I21" s="10"/>
      <c r="J21" s="10"/>
      <c r="K21" s="10"/>
      <c r="L21" s="10"/>
    </row>
    <row r="22" spans="1:12" ht="18">
      <c r="A22" s="137" t="s">
        <v>174</v>
      </c>
      <c r="B22" s="503" t="s">
        <v>374</v>
      </c>
      <c r="E22" s="833"/>
      <c r="F22" s="833"/>
      <c r="G22" s="10"/>
      <c r="H22" s="10"/>
      <c r="I22" s="10"/>
      <c r="J22" s="10"/>
      <c r="K22" s="10"/>
      <c r="L22" s="10"/>
    </row>
    <row r="23" spans="1:12" s="72" customFormat="1">
      <c r="A23" s="118" t="s">
        <v>176</v>
      </c>
      <c r="B23" s="499">
        <v>9.3888508014605794</v>
      </c>
      <c r="E23" s="836"/>
      <c r="F23" s="836"/>
      <c r="G23" s="845"/>
      <c r="H23" s="845"/>
    </row>
    <row r="24" spans="1:12">
      <c r="A24" s="117" t="s">
        <v>177</v>
      </c>
      <c r="B24" s="499">
        <v>4.2231090152811745</v>
      </c>
      <c r="E24" s="833"/>
      <c r="F24" s="833"/>
      <c r="G24" s="842"/>
      <c r="H24" s="842"/>
      <c r="I24" s="10"/>
      <c r="J24" s="10"/>
      <c r="K24" s="10"/>
      <c r="L24" s="10"/>
    </row>
    <row r="25" spans="1:12">
      <c r="A25" s="117" t="s">
        <v>6</v>
      </c>
      <c r="B25" s="499">
        <v>31.995450920259252</v>
      </c>
      <c r="E25" s="833"/>
      <c r="F25" s="833"/>
      <c r="G25" s="842"/>
      <c r="H25" s="842"/>
      <c r="I25" s="10"/>
      <c r="J25" s="10"/>
      <c r="K25" s="10"/>
      <c r="L25" s="10"/>
    </row>
    <row r="26" spans="1:12">
      <c r="A26" s="117" t="s">
        <v>7</v>
      </c>
      <c r="B26" s="499">
        <v>1.9459962468613441</v>
      </c>
      <c r="E26" s="833"/>
      <c r="F26" s="833"/>
      <c r="G26" s="842"/>
      <c r="H26" s="842"/>
      <c r="I26" s="10"/>
      <c r="J26" s="10"/>
      <c r="K26" s="10"/>
      <c r="L26" s="10"/>
    </row>
    <row r="27" spans="1:12">
      <c r="A27" s="117" t="s">
        <v>8</v>
      </c>
      <c r="B27" s="499">
        <v>1.1993683996109175</v>
      </c>
      <c r="E27" s="833"/>
      <c r="F27" s="833"/>
      <c r="G27" s="842"/>
      <c r="H27" s="842"/>
      <c r="I27" s="10"/>
      <c r="J27" s="10"/>
      <c r="K27" s="10"/>
      <c r="L27" s="10"/>
    </row>
    <row r="28" spans="1:12">
      <c r="A28" s="117" t="s">
        <v>9</v>
      </c>
      <c r="B28" s="499">
        <v>5.0655067831320864</v>
      </c>
      <c r="E28" s="833"/>
      <c r="F28" s="833"/>
      <c r="G28" s="842"/>
      <c r="H28" s="842"/>
      <c r="I28" s="10"/>
      <c r="J28" s="10"/>
      <c r="K28" s="10"/>
      <c r="L28" s="10"/>
    </row>
    <row r="29" spans="1:12">
      <c r="A29" s="117" t="s">
        <v>10</v>
      </c>
      <c r="B29" s="499">
        <v>3.3232292777158938</v>
      </c>
      <c r="E29" s="833"/>
      <c r="F29" s="833"/>
      <c r="G29" s="842"/>
      <c r="H29" s="842"/>
      <c r="I29" s="10"/>
      <c r="J29" s="10"/>
      <c r="K29" s="10"/>
      <c r="L29" s="10"/>
    </row>
    <row r="30" spans="1:12">
      <c r="A30" s="118" t="s">
        <v>178</v>
      </c>
      <c r="B30" s="499">
        <v>4.4588252805562796</v>
      </c>
      <c r="E30" s="833"/>
      <c r="F30" s="833"/>
      <c r="G30" s="842"/>
      <c r="H30" s="842"/>
      <c r="I30" s="10"/>
      <c r="J30" s="10"/>
      <c r="K30" s="10"/>
      <c r="L30" s="10"/>
    </row>
    <row r="31" spans="1:12">
      <c r="A31" s="117" t="s">
        <v>11</v>
      </c>
      <c r="B31" s="499">
        <v>1.6075002802320004</v>
      </c>
      <c r="E31" s="833"/>
      <c r="F31" s="833"/>
      <c r="G31" s="842"/>
      <c r="H31" s="842"/>
      <c r="I31" s="10"/>
      <c r="J31" s="10"/>
      <c r="K31" s="10"/>
      <c r="L31" s="10"/>
    </row>
    <row r="32" spans="1:12">
      <c r="A32" s="117" t="s">
        <v>12</v>
      </c>
      <c r="B32" s="499">
        <v>4.8225008406960006</v>
      </c>
      <c r="E32" s="833"/>
      <c r="F32" s="833"/>
      <c r="G32" s="842"/>
      <c r="H32" s="842"/>
      <c r="I32" s="10"/>
      <c r="J32" s="10"/>
      <c r="K32" s="10"/>
      <c r="L32" s="10"/>
    </row>
    <row r="33" spans="1:14">
      <c r="A33" s="117" t="s">
        <v>13</v>
      </c>
      <c r="B33" s="499">
        <v>6.3685027042560023</v>
      </c>
      <c r="E33" s="833"/>
      <c r="F33" s="833"/>
      <c r="G33" s="842"/>
      <c r="H33" s="842"/>
      <c r="I33" s="10"/>
      <c r="J33" s="10"/>
      <c r="K33" s="10"/>
      <c r="L33" s="10"/>
    </row>
    <row r="34" spans="1:14">
      <c r="A34" s="117" t="s">
        <v>14</v>
      </c>
      <c r="B34" s="499">
        <v>4.6362973013280016</v>
      </c>
      <c r="E34" s="833"/>
      <c r="F34" s="833"/>
      <c r="G34" s="842"/>
      <c r="H34" s="842"/>
      <c r="I34" s="10"/>
      <c r="J34" s="10"/>
      <c r="K34" s="10"/>
      <c r="L34" s="10"/>
    </row>
    <row r="35" spans="1:14">
      <c r="A35" s="117" t="s">
        <v>15</v>
      </c>
      <c r="B35" s="499">
        <v>12.338973989496003</v>
      </c>
      <c r="E35" s="833"/>
      <c r="F35" s="833"/>
      <c r="G35" s="842"/>
      <c r="H35" s="842"/>
      <c r="I35" s="10"/>
      <c r="J35" s="10"/>
      <c r="K35" s="10"/>
      <c r="L35" s="10"/>
    </row>
    <row r="36" spans="1:14">
      <c r="A36" s="118" t="s">
        <v>16</v>
      </c>
      <c r="B36" s="499">
        <v>0.19</v>
      </c>
      <c r="E36" s="833"/>
      <c r="F36" s="833"/>
      <c r="G36" s="842"/>
      <c r="H36" s="842"/>
      <c r="I36" s="10"/>
      <c r="J36" s="10"/>
      <c r="K36" s="10"/>
      <c r="L36" s="10"/>
    </row>
    <row r="37" spans="1:14">
      <c r="A37" s="118" t="s">
        <v>17</v>
      </c>
      <c r="B37" s="499">
        <v>0.13</v>
      </c>
      <c r="E37" s="621"/>
      <c r="F37" s="621"/>
      <c r="G37" s="843"/>
      <c r="H37" s="843"/>
    </row>
    <row r="38" spans="1:14">
      <c r="A38" s="118" t="s">
        <v>179</v>
      </c>
      <c r="B38" s="499">
        <v>1.5599999999999998</v>
      </c>
      <c r="E38" s="621"/>
      <c r="F38" s="621"/>
      <c r="G38" s="843"/>
      <c r="H38" s="843"/>
    </row>
    <row r="39" spans="1:14">
      <c r="A39" s="118" t="s">
        <v>180</v>
      </c>
      <c r="B39" s="499">
        <v>0.76</v>
      </c>
      <c r="E39" s="621"/>
      <c r="F39" s="621"/>
      <c r="G39" s="843"/>
      <c r="H39" s="843"/>
    </row>
    <row r="40" spans="1:14">
      <c r="A40" s="118" t="s">
        <v>18</v>
      </c>
      <c r="B40" s="500">
        <v>2.3469951828865743E-2</v>
      </c>
      <c r="E40" s="621"/>
      <c r="F40" s="621"/>
      <c r="G40" s="843"/>
      <c r="H40" s="843"/>
    </row>
    <row r="41" spans="1:14" ht="15.75" thickBot="1">
      <c r="A41" s="119"/>
      <c r="B41" s="504"/>
      <c r="E41" s="621"/>
      <c r="F41" s="621"/>
    </row>
    <row r="42" spans="1:14" s="43" customFormat="1" ht="15.75" thickBot="1">
      <c r="A42" s="192"/>
      <c r="B42" s="502"/>
      <c r="E42" s="837"/>
      <c r="F42" s="837"/>
      <c r="G42" s="193"/>
      <c r="H42" s="193"/>
      <c r="I42" s="193"/>
      <c r="J42" s="193"/>
      <c r="K42" s="193"/>
      <c r="L42" s="193"/>
      <c r="M42" s="193"/>
      <c r="N42" s="193"/>
    </row>
    <row r="43" spans="1:14" ht="15.75" thickBot="1">
      <c r="A43" s="121" t="s">
        <v>182</v>
      </c>
      <c r="B43" s="505"/>
      <c r="E43" s="621"/>
      <c r="F43" s="621"/>
    </row>
    <row r="44" spans="1:14">
      <c r="A44" s="44" t="s">
        <v>683</v>
      </c>
      <c r="B44" s="496"/>
      <c r="E44" s="621"/>
      <c r="F44" s="621"/>
    </row>
    <row r="45" spans="1:14">
      <c r="A45" s="44"/>
      <c r="B45" s="496"/>
      <c r="E45" s="621"/>
      <c r="F45" s="621"/>
    </row>
    <row r="46" spans="1:14" ht="18">
      <c r="A46" s="136" t="s">
        <v>183</v>
      </c>
      <c r="B46" s="497" t="s">
        <v>559</v>
      </c>
      <c r="E46" s="621"/>
      <c r="F46" s="621"/>
    </row>
    <row r="47" spans="1:14">
      <c r="A47" s="116" t="s">
        <v>184</v>
      </c>
      <c r="B47" s="506">
        <v>0.88440394630149</v>
      </c>
      <c r="E47" s="621"/>
      <c r="F47" s="621"/>
    </row>
    <row r="48" spans="1:14">
      <c r="A48" s="118" t="s">
        <v>185</v>
      </c>
      <c r="B48" s="499">
        <v>0.93363536228846</v>
      </c>
      <c r="E48" s="621"/>
      <c r="F48" s="621"/>
    </row>
    <row r="49" spans="1:12">
      <c r="A49" s="118" t="s">
        <v>178</v>
      </c>
      <c r="B49" s="499">
        <v>3.072006360583E-2</v>
      </c>
      <c r="E49" s="621"/>
      <c r="F49" s="621"/>
    </row>
    <row r="50" spans="1:12">
      <c r="A50" s="118" t="s">
        <v>18</v>
      </c>
      <c r="B50" s="499">
        <v>9.5463603863000005E-4</v>
      </c>
      <c r="E50" s="833"/>
      <c r="F50" s="833"/>
      <c r="G50" s="10"/>
      <c r="H50" s="10"/>
      <c r="I50" s="10"/>
      <c r="J50" s="10"/>
      <c r="K50" s="10"/>
      <c r="L50" s="10"/>
    </row>
    <row r="51" spans="1:12">
      <c r="A51" s="118" t="s">
        <v>16</v>
      </c>
      <c r="B51" s="499">
        <v>6.4623044697499996E-3</v>
      </c>
      <c r="E51" s="833"/>
      <c r="F51" s="833"/>
      <c r="G51" s="10"/>
      <c r="H51" s="10"/>
      <c r="I51" s="10"/>
      <c r="J51" s="10"/>
      <c r="K51" s="10"/>
      <c r="L51" s="10"/>
    </row>
    <row r="52" spans="1:12" ht="15.75" thickBot="1">
      <c r="A52" s="119" t="s">
        <v>120</v>
      </c>
      <c r="B52" s="507">
        <v>9.7955177276942237E-2</v>
      </c>
      <c r="E52" s="621"/>
      <c r="F52" s="621"/>
    </row>
    <row r="53" spans="1:12">
      <c r="B53" s="508"/>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39" customWidth="1"/>
    <col min="3" max="3" width="70.28515625" style="512" customWidth="1"/>
  </cols>
  <sheetData>
    <row r="1" spans="1:3" s="322" customFormat="1" ht="15.75" thickBot="1">
      <c r="A1" s="356" t="s">
        <v>587</v>
      </c>
      <c r="B1" s="510"/>
      <c r="C1" s="511"/>
    </row>
    <row r="2" spans="1:3" s="322" customFormat="1">
      <c r="A2" s="360"/>
      <c r="B2" s="476"/>
      <c r="C2" s="513"/>
    </row>
    <row r="3" spans="1:3" s="322" customFormat="1">
      <c r="A3" s="358"/>
      <c r="B3" s="514">
        <v>2016</v>
      </c>
      <c r="C3" s="361" t="s">
        <v>175</v>
      </c>
    </row>
    <row r="4" spans="1:3">
      <c r="A4" s="120" t="s">
        <v>289</v>
      </c>
      <c r="B4" s="515">
        <v>4382.187123964326</v>
      </c>
      <c r="C4" s="138" t="s">
        <v>684</v>
      </c>
    </row>
    <row r="5" spans="1:3" ht="15.75" thickBot="1">
      <c r="A5" s="852" t="s">
        <v>586</v>
      </c>
      <c r="B5" s="860">
        <v>673536</v>
      </c>
      <c r="C5" s="861" t="s">
        <v>634</v>
      </c>
    </row>
    <row r="11" spans="1:3">
      <c r="B11" s="72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2" customFormat="1" ht="15.75" thickBot="1">
      <c r="A1" s="356" t="s">
        <v>428</v>
      </c>
      <c r="B1" s="357"/>
    </row>
    <row r="2" spans="1:2" s="322" customFormat="1">
      <c r="A2" s="348"/>
      <c r="B2" s="355"/>
    </row>
    <row r="3" spans="1:2" s="322" customFormat="1" ht="18">
      <c r="A3" s="358"/>
      <c r="B3" s="359" t="s">
        <v>431</v>
      </c>
    </row>
    <row r="4" spans="1:2" ht="18">
      <c r="A4" s="120" t="s">
        <v>429</v>
      </c>
      <c r="B4" s="516">
        <v>310</v>
      </c>
    </row>
    <row r="5" spans="1:2" ht="18.75" thickBot="1">
      <c r="A5" s="115" t="s">
        <v>430</v>
      </c>
      <c r="B5" s="517">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2"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279</v>
      </c>
    </row>
    <row r="2" spans="1:13" s="322" customFormat="1">
      <c r="A2" s="348" t="s">
        <v>418</v>
      </c>
      <c r="B2" s="328"/>
      <c r="C2" s="328"/>
      <c r="D2" s="328"/>
      <c r="E2" s="328"/>
      <c r="F2" s="328"/>
      <c r="G2" s="328"/>
      <c r="H2" s="328"/>
      <c r="I2" s="328"/>
      <c r="J2" s="328"/>
      <c r="K2" s="328"/>
      <c r="L2" s="328"/>
      <c r="M2" s="355"/>
    </row>
    <row r="3" spans="1:13">
      <c r="A3" s="44"/>
      <c r="B3" s="43"/>
      <c r="C3" s="43"/>
      <c r="D3" s="43"/>
      <c r="E3" s="43"/>
      <c r="F3" s="43"/>
      <c r="G3" s="43"/>
      <c r="H3" s="43"/>
      <c r="I3" s="43"/>
      <c r="J3" s="43"/>
      <c r="K3" s="43"/>
      <c r="L3" s="43"/>
      <c r="M3" s="96"/>
    </row>
    <row r="4" spans="1:13" ht="15.75" thickBot="1">
      <c r="A4" s="206" t="s">
        <v>419</v>
      </c>
      <c r="B4" s="307">
        <v>0.20200000000000001</v>
      </c>
      <c r="C4" s="307">
        <v>0.22700000000000001</v>
      </c>
      <c r="D4" s="307">
        <v>0.26700000000000002</v>
      </c>
      <c r="E4" s="307">
        <v>0.26700000000000002</v>
      </c>
      <c r="F4" s="307">
        <v>0.249</v>
      </c>
      <c r="G4" s="307">
        <v>0.35099999999999998</v>
      </c>
      <c r="H4" s="307">
        <v>0.35399999999999998</v>
      </c>
      <c r="I4" s="307">
        <v>0.26400000000000001</v>
      </c>
      <c r="J4" s="307">
        <v>0</v>
      </c>
      <c r="K4" s="307">
        <v>0</v>
      </c>
      <c r="L4" s="307">
        <v>0</v>
      </c>
      <c r="M4" s="308">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2" customWidth="1"/>
    <col min="2" max="2" width="30.28515625" style="815" customWidth="1"/>
    <col min="3" max="3" width="12" style="815" customWidth="1"/>
    <col min="4" max="4" width="9.140625" style="815"/>
    <col min="5" max="5" width="50.42578125" style="815" customWidth="1"/>
    <col min="6" max="6" width="19.28515625" style="815" customWidth="1"/>
    <col min="7" max="7" width="9.140625" style="815"/>
    <col min="8" max="8" width="23.42578125" style="815" customWidth="1"/>
    <col min="9" max="10" width="9.140625" style="815"/>
    <col min="11" max="11" width="80.140625" style="815" customWidth="1"/>
    <col min="12" max="16384" width="9.140625" style="815"/>
  </cols>
  <sheetData>
    <row r="1" spans="1:11">
      <c r="A1" s="347" t="s">
        <v>470</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488</v>
      </c>
      <c r="B3" s="49">
        <f ca="1">IF(ISERROR('SEAP template'!C27),0,'SEAP template'!C27)</f>
        <v>247545.0510632403</v>
      </c>
      <c r="C3" s="43" t="s">
        <v>163</v>
      </c>
      <c r="D3" s="43"/>
      <c r="E3" s="153"/>
      <c r="F3" s="43"/>
      <c r="G3" s="43"/>
      <c r="H3" s="43"/>
      <c r="I3" s="43"/>
      <c r="J3" s="43"/>
      <c r="K3" s="96"/>
    </row>
    <row r="4" spans="1:11">
      <c r="A4" s="348" t="s">
        <v>164</v>
      </c>
      <c r="B4" s="49">
        <f>IF(ISERROR('SEAP template'!B78+'SEAP template'!C78),0,'SEAP template'!B78+'SEAP template'!C78)</f>
        <v>104205.4056052869</v>
      </c>
      <c r="C4" s="43" t="s">
        <v>163</v>
      </c>
      <c r="D4" s="43"/>
      <c r="E4" s="43"/>
      <c r="F4" s="43"/>
      <c r="G4" s="43"/>
      <c r="H4" s="43"/>
      <c r="I4" s="43"/>
      <c r="J4" s="43"/>
      <c r="K4" s="96"/>
    </row>
    <row r="5" spans="1:11">
      <c r="A5" s="348" t="s">
        <v>520</v>
      </c>
      <c r="B5" s="49">
        <f>IF(ISERROR('Eigen informatie GS &amp; warmtenet'!B4),0,'Eigen informatie GS &amp; warmtenet'!B4)</f>
        <v>0</v>
      </c>
      <c r="C5" s="43" t="s">
        <v>163</v>
      </c>
      <c r="D5" s="43"/>
      <c r="E5" s="43"/>
      <c r="F5" s="43"/>
      <c r="G5" s="43"/>
      <c r="H5" s="43"/>
      <c r="I5" s="43"/>
      <c r="J5" s="43"/>
      <c r="K5" s="96"/>
    </row>
    <row r="6" spans="1:11">
      <c r="A6" s="348" t="s">
        <v>165</v>
      </c>
      <c r="B6" s="519">
        <f>E6</f>
        <v>0.221</v>
      </c>
      <c r="C6" s="43" t="s">
        <v>166</v>
      </c>
      <c r="D6" s="43"/>
      <c r="E6" s="858">
        <v>0.221</v>
      </c>
      <c r="F6" s="43" t="s">
        <v>672</v>
      </c>
      <c r="G6" s="43" t="s">
        <v>677</v>
      </c>
      <c r="H6" s="43"/>
      <c r="I6" s="43"/>
      <c r="J6" s="43"/>
      <c r="K6" s="96"/>
    </row>
    <row r="7" spans="1:11">
      <c r="A7" s="348"/>
      <c r="B7" s="441"/>
      <c r="C7" s="43"/>
      <c r="D7" s="43"/>
      <c r="E7" s="43"/>
      <c r="F7" s="48"/>
      <c r="G7" s="43"/>
      <c r="H7" s="43"/>
      <c r="I7" s="43"/>
      <c r="J7" s="43"/>
      <c r="K7" s="96"/>
    </row>
    <row r="8" spans="1:11">
      <c r="A8" s="348"/>
      <c r="B8" s="441"/>
      <c r="C8" s="43"/>
      <c r="D8" s="43"/>
      <c r="E8" s="43"/>
      <c r="F8" s="48"/>
      <c r="G8" s="43"/>
      <c r="H8" s="857"/>
      <c r="I8" s="154"/>
      <c r="J8" s="43"/>
      <c r="K8" s="96"/>
    </row>
    <row r="9" spans="1:11">
      <c r="A9" s="348" t="s">
        <v>168</v>
      </c>
      <c r="B9" s="49">
        <f>IF(ISERROR('SEAP template'!Q78),0,'SEAP template'!Q78)</f>
        <v>15319.323529411766</v>
      </c>
      <c r="C9" s="43" t="s">
        <v>167</v>
      </c>
      <c r="D9" s="43"/>
      <c r="E9" s="43"/>
      <c r="F9" s="43"/>
      <c r="G9" s="43"/>
      <c r="H9" s="43"/>
      <c r="I9" s="43"/>
      <c r="J9" s="43"/>
      <c r="K9" s="96"/>
    </row>
    <row r="10" spans="1:11">
      <c r="A10" s="348" t="s">
        <v>394</v>
      </c>
      <c r="B10" s="48">
        <v>0</v>
      </c>
      <c r="C10" s="43" t="s">
        <v>167</v>
      </c>
      <c r="D10" s="153"/>
      <c r="E10" s="43"/>
      <c r="F10" s="43"/>
      <c r="G10" s="43"/>
      <c r="H10" s="43"/>
      <c r="I10" s="43"/>
      <c r="J10" s="43"/>
      <c r="K10" s="96"/>
    </row>
    <row r="11" spans="1:11">
      <c r="A11" s="348"/>
      <c r="B11" s="441"/>
      <c r="C11" s="43"/>
      <c r="D11" s="43"/>
      <c r="E11" s="43"/>
      <c r="F11" s="43"/>
      <c r="G11" s="43"/>
      <c r="H11" s="43"/>
      <c r="I11" s="43"/>
      <c r="J11" s="43"/>
      <c r="K11" s="96"/>
    </row>
    <row r="12" spans="1:11">
      <c r="A12" s="349" t="s">
        <v>169</v>
      </c>
      <c r="B12" s="518">
        <f ca="1">IF((B4+B5)&gt;B3,(B9+B10)/(B4+B5),((B3-B4-B5)*B6+B9+B10)/B3)</f>
        <v>0.18985386689719377</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8"/>
    </row>
    <row r="15" spans="1:11">
      <c r="A15" s="351" t="s">
        <v>471</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21884.747899159669</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290</v>
      </c>
      <c r="B19" s="49">
        <f>IF(ISERROR('Eigen informatie GS &amp; warmtenet'!B53),0,'Eigen informatie GS &amp; warmtenet'!B53)</f>
        <v>0</v>
      </c>
      <c r="C19" s="43" t="s">
        <v>167</v>
      </c>
      <c r="D19" s="43"/>
      <c r="E19" s="43"/>
      <c r="F19" s="43"/>
      <c r="G19" s="43"/>
      <c r="H19" s="43"/>
      <c r="I19" s="43"/>
      <c r="J19" s="43"/>
      <c r="K19" s="96"/>
    </row>
    <row r="20" spans="1:11">
      <c r="A20" s="348" t="s">
        <v>489</v>
      </c>
      <c r="B20" s="49">
        <f ca="1">IF(ISERROR('SEAP template'!D27),0,('SEAP template'!D27))</f>
        <v>128140.71428571429</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0">
        <f ca="1">IF(B20=0,0,(B17+B18-B19)/B20)</f>
        <v>0.17078684180239098</v>
      </c>
      <c r="C22" s="43" t="s">
        <v>166</v>
      </c>
      <c r="K22" s="96"/>
    </row>
    <row r="23" spans="1:11" ht="15.75" thickBot="1">
      <c r="A23" s="350"/>
      <c r="B23" s="108"/>
      <c r="C23" s="108"/>
      <c r="D23" s="108"/>
      <c r="E23" s="108"/>
      <c r="F23" s="108"/>
      <c r="G23" s="108"/>
      <c r="H23" s="108"/>
      <c r="I23" s="108"/>
      <c r="J23" s="108"/>
      <c r="K23" s="109"/>
    </row>
    <row r="34" spans="1:1">
      <c r="A34" s="322" t="s">
        <v>224</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16" bestFit="1" customWidth="1"/>
    <col min="2" max="2" width="22.7109375" style="306" customWidth="1"/>
    <col min="3" max="3" width="31.42578125" style="306" customWidth="1"/>
    <col min="4" max="4" width="22.28515625" style="306" customWidth="1"/>
    <col min="5" max="5" width="12.140625" style="306" customWidth="1"/>
    <col min="6" max="6" width="37.28515625" style="228" bestFit="1" customWidth="1"/>
    <col min="7" max="16384" width="9.140625" style="15"/>
  </cols>
  <sheetData>
    <row r="1" spans="1:8" s="306" customFormat="1">
      <c r="A1" s="816" t="s">
        <v>633</v>
      </c>
      <c r="B1" s="816" t="s">
        <v>296</v>
      </c>
      <c r="C1" s="816" t="s">
        <v>300</v>
      </c>
      <c r="D1" s="816" t="s">
        <v>301</v>
      </c>
      <c r="E1" s="816" t="s">
        <v>302</v>
      </c>
      <c r="F1" s="816" t="s">
        <v>303</v>
      </c>
      <c r="H1" s="1007" t="s">
        <v>872</v>
      </c>
    </row>
    <row r="2" spans="1:8">
      <c r="A2" s="306" t="str">
        <f>CONCATENATE(TableECFTransport[[#This Row],[Voertuigtype]],"_",TableECFTransport[[#This Row],[Wegtype]],"_",TableECFTransport[[#This Row],[Brandstoftechnologie]],"_",TableECFTransport[[#This Row],[Brandstof]])</f>
        <v>Tram_gemiddeld_Electric_Electric</v>
      </c>
      <c r="B2" s="1006" t="s">
        <v>317</v>
      </c>
      <c r="C2" s="1006" t="s">
        <v>328</v>
      </c>
      <c r="D2" s="1006" t="s">
        <v>298</v>
      </c>
      <c r="E2" s="1006" t="s">
        <v>298</v>
      </c>
      <c r="F2" s="1005">
        <v>1.269E-8</v>
      </c>
    </row>
    <row r="3" spans="1:8">
      <c r="A3" s="306" t="str">
        <f>CONCATENATE(TableECFTransport[[#This Row],[Voertuigtype]],"_",TableECFTransport[[#This Row],[Wegtype]],"_",TableECFTransport[[#This Row],[Brandstoftechnologie]],"_",TableECFTransport[[#This Row],[Brandstof]])</f>
        <v>Lichte voertuigen_Niet-genummerde wegen_Fuel Cell H2_H2</v>
      </c>
      <c r="B3" s="1006" t="s">
        <v>616</v>
      </c>
      <c r="C3" s="1006" t="s">
        <v>64</v>
      </c>
      <c r="D3" s="1006" t="s">
        <v>829</v>
      </c>
      <c r="E3" s="1006" t="s">
        <v>830</v>
      </c>
      <c r="F3" s="1005">
        <v>1.5973299999999999E-9</v>
      </c>
    </row>
    <row r="4" spans="1:8">
      <c r="A4" s="306" t="str">
        <f>CONCATENATE(TableECFTransport[[#This Row],[Voertuigtype]],"_",TableECFTransport[[#This Row],[Wegtype]],"_",TableECFTransport[[#This Row],[Brandstoftechnologie]],"_",TableECFTransport[[#This Row],[Brandstof]])</f>
        <v>Lichte voertuigen_Genummerde wegen_Fuel Cell H2_H2</v>
      </c>
      <c r="B4" s="1006" t="s">
        <v>616</v>
      </c>
      <c r="C4" s="1006" t="s">
        <v>63</v>
      </c>
      <c r="D4" s="1006" t="s">
        <v>829</v>
      </c>
      <c r="E4" s="1006" t="s">
        <v>830</v>
      </c>
      <c r="F4" s="1005">
        <v>1.5973299999999999E-9</v>
      </c>
    </row>
    <row r="5" spans="1:8">
      <c r="A5" s="306" t="str">
        <f>CONCATENATE(TableECFTransport[[#This Row],[Voertuigtype]],"_",TableECFTransport[[#This Row],[Wegtype]],"_",TableECFTransport[[#This Row],[Brandstoftechnologie]],"_",TableECFTransport[[#This Row],[Brandstof]])</f>
        <v>Lichte voertuigen_Snelwegen_Fuel Cell H2_H2</v>
      </c>
      <c r="B5" s="1006" t="s">
        <v>616</v>
      </c>
      <c r="C5" s="1006" t="s">
        <v>65</v>
      </c>
      <c r="D5" s="1006" t="s">
        <v>829</v>
      </c>
      <c r="E5" s="1006" t="s">
        <v>830</v>
      </c>
      <c r="F5" s="1005">
        <v>1.5973299999999999E-9</v>
      </c>
    </row>
    <row r="6" spans="1:8" s="816" customFormat="1">
      <c r="A6" s="306" t="str">
        <f>CONCATENATE(TableECFTransport[[#This Row],[Voertuigtype]],"_",TableECFTransport[[#This Row],[Wegtype]],"_",TableECFTransport[[#This Row],[Brandstoftechnologie]],"_",TableECFTransport[[#This Row],[Brandstof]])</f>
        <v>Lichte voertuigen_Niet-genummerde wegen_Electric_Electric</v>
      </c>
      <c r="B6" s="1006" t="s">
        <v>616</v>
      </c>
      <c r="C6" s="1006" t="s">
        <v>64</v>
      </c>
      <c r="D6" s="1006" t="s">
        <v>298</v>
      </c>
      <c r="E6" s="1006" t="s">
        <v>298</v>
      </c>
      <c r="F6" s="1005">
        <v>6.8000910962114619E-10</v>
      </c>
    </row>
    <row r="7" spans="1:8">
      <c r="A7" s="306" t="str">
        <f>CONCATENATE(TableECFTransport[[#This Row],[Voertuigtype]],"_",TableECFTransport[[#This Row],[Wegtype]],"_",TableECFTransport[[#This Row],[Brandstoftechnologie]],"_",TableECFTransport[[#This Row],[Brandstof]])</f>
        <v>Lichte voertuigen_Genummerde wegen_Electric_Electric</v>
      </c>
      <c r="B7" s="1006" t="s">
        <v>616</v>
      </c>
      <c r="C7" s="1006" t="s">
        <v>63</v>
      </c>
      <c r="D7" s="1006" t="s">
        <v>298</v>
      </c>
      <c r="E7" s="1006" t="s">
        <v>298</v>
      </c>
      <c r="F7" s="1005">
        <v>6.8000910962114619E-10</v>
      </c>
    </row>
    <row r="8" spans="1:8">
      <c r="A8" s="306" t="str">
        <f>CONCATENATE(TableECFTransport[[#This Row],[Voertuigtype]],"_",TableECFTransport[[#This Row],[Wegtype]],"_",TableECFTransport[[#This Row],[Brandstoftechnologie]],"_",TableECFTransport[[#This Row],[Brandstof]])</f>
        <v>Lichte voertuigen_Snelwegen_Electric_Electric</v>
      </c>
      <c r="B8" s="1006" t="s">
        <v>616</v>
      </c>
      <c r="C8" s="1006" t="s">
        <v>65</v>
      </c>
      <c r="D8" s="1006" t="s">
        <v>298</v>
      </c>
      <c r="E8" s="1006" t="s">
        <v>298</v>
      </c>
      <c r="F8" s="1005">
        <v>6.8000910962114619E-10</v>
      </c>
    </row>
    <row r="9" spans="1:8">
      <c r="A9" s="306" t="str">
        <f>CONCATENATE(TableECFTransport[[#This Row],[Voertuigtype]],"_",TableECFTransport[[#This Row],[Wegtype]],"_",TableECFTransport[[#This Row],[Brandstoftechnologie]],"_",TableECFTransport[[#This Row],[Brandstof]])</f>
        <v>Zware voertuigen_Niet-genummerde wegen_Electric_Electric</v>
      </c>
      <c r="B9" s="1006" t="s">
        <v>617</v>
      </c>
      <c r="C9" s="1006" t="s">
        <v>64</v>
      </c>
      <c r="D9" s="1006" t="s">
        <v>298</v>
      </c>
      <c r="E9" s="1006" t="s">
        <v>298</v>
      </c>
      <c r="F9" s="1005">
        <v>4.4640000000000003E-9</v>
      </c>
    </row>
    <row r="10" spans="1:8">
      <c r="A10" s="306" t="str">
        <f>CONCATENATE(TableECFTransport[[#This Row],[Voertuigtype]],"_",TableECFTransport[[#This Row],[Wegtype]],"_",TableECFTransport[[#This Row],[Brandstoftechnologie]],"_",TableECFTransport[[#This Row],[Brandstof]])</f>
        <v>Zware voertuigen_Genummerde wegen_Electric_Electric</v>
      </c>
      <c r="B10" s="1006" t="s">
        <v>617</v>
      </c>
      <c r="C10" s="1006" t="s">
        <v>63</v>
      </c>
      <c r="D10" s="1006" t="s">
        <v>298</v>
      </c>
      <c r="E10" s="1006" t="s">
        <v>298</v>
      </c>
      <c r="F10" s="1005">
        <v>4.4640000000000003E-9</v>
      </c>
    </row>
    <row r="11" spans="1:8">
      <c r="A11" s="306" t="str">
        <f>CONCATENATE(TableECFTransport[[#This Row],[Voertuigtype]],"_",TableECFTransport[[#This Row],[Wegtype]],"_",TableECFTransport[[#This Row],[Brandstoftechnologie]],"_",TableECFTransport[[#This Row],[Brandstof]])</f>
        <v>Zware voertuigen_Snelwegen_Electric_Electric</v>
      </c>
      <c r="B11" s="1006" t="s">
        <v>617</v>
      </c>
      <c r="C11" s="1006" t="s">
        <v>65</v>
      </c>
      <c r="D11" s="1006" t="s">
        <v>298</v>
      </c>
      <c r="E11" s="1006" t="s">
        <v>298</v>
      </c>
      <c r="F11" s="1005">
        <v>4.4640000000000003E-9</v>
      </c>
    </row>
    <row r="12" spans="1:8">
      <c r="A12" s="306" t="str">
        <f>CONCATENATE(TableECFTransport[[#This Row],[Voertuigtype]],"_",TableECFTransport[[#This Row],[Wegtype]],"_",TableECFTransport[[#This Row],[Brandstoftechnologie]],"_",TableECFTransport[[#This Row],[Brandstof]])</f>
        <v>BUS_Niet-genummerde wegen_Electric_Electric</v>
      </c>
      <c r="B12" s="1006" t="s">
        <v>632</v>
      </c>
      <c r="C12" s="1006" t="s">
        <v>64</v>
      </c>
      <c r="D12" s="1006" t="s">
        <v>298</v>
      </c>
      <c r="E12" s="1006" t="s">
        <v>298</v>
      </c>
      <c r="F12" s="1005">
        <v>4.6800000000000004E-9</v>
      </c>
    </row>
    <row r="13" spans="1:8">
      <c r="A13" s="306" t="str">
        <f>CONCATENATE(TableECFTransport[[#This Row],[Voertuigtype]],"_",TableECFTransport[[#This Row],[Wegtype]],"_",TableECFTransport[[#This Row],[Brandstoftechnologie]],"_",TableECFTransport[[#This Row],[Brandstof]])</f>
        <v>BUS_Genummerde wegen_Electric_Electric</v>
      </c>
      <c r="B13" s="1006" t="s">
        <v>632</v>
      </c>
      <c r="C13" s="1006" t="s">
        <v>63</v>
      </c>
      <c r="D13" s="1006" t="s">
        <v>298</v>
      </c>
      <c r="E13" s="1006" t="s">
        <v>298</v>
      </c>
      <c r="F13" s="1005">
        <v>4.6800000000000004E-9</v>
      </c>
    </row>
    <row r="14" spans="1:8">
      <c r="A14" s="306" t="str">
        <f>CONCATENATE(TableECFTransport[[#This Row],[Voertuigtype]],"_",TableECFTransport[[#This Row],[Wegtype]],"_",TableECFTransport[[#This Row],[Brandstoftechnologie]],"_",TableECFTransport[[#This Row],[Brandstof]])</f>
        <v>BUS_Snelwegen_Electric_Electric</v>
      </c>
      <c r="B14" s="1006" t="s">
        <v>632</v>
      </c>
      <c r="C14" s="1006" t="s">
        <v>65</v>
      </c>
      <c r="D14" s="1006" t="s">
        <v>298</v>
      </c>
      <c r="E14" s="1006" t="s">
        <v>298</v>
      </c>
      <c r="F14" s="1005">
        <v>4.6800000000000004E-9</v>
      </c>
    </row>
    <row r="15" spans="1:8">
      <c r="A15" s="306" t="str">
        <f>CONCATENATE(TableECFTransport[[#This Row],[Voertuigtype]],"_",TableECFTransport[[#This Row],[Wegtype]],"_",TableECFTransport[[#This Row],[Brandstoftechnologie]],"_",TableECFTransport[[#This Row],[Brandstof]])</f>
        <v>Lichte voertuigen_Niet-genummerde wegen_CNG_CNG</v>
      </c>
      <c r="B15" s="1006" t="s">
        <v>616</v>
      </c>
      <c r="C15" s="1006" t="s">
        <v>64</v>
      </c>
      <c r="D15" s="1006" t="s">
        <v>297</v>
      </c>
      <c r="E15" s="1006" t="s">
        <v>297</v>
      </c>
      <c r="F15" s="1005">
        <v>4.2724545793095588E-9</v>
      </c>
    </row>
    <row r="16" spans="1:8">
      <c r="A16" s="306" t="str">
        <f>CONCATENATE(TableECFTransport[[#This Row],[Voertuigtype]],"_",TableECFTransport[[#This Row],[Wegtype]],"_",TableECFTransport[[#This Row],[Brandstoftechnologie]],"_",TableECFTransport[[#This Row],[Brandstof]])</f>
        <v>Lichte voertuigen_Genummerde wegen_CNG_CNG</v>
      </c>
      <c r="B16" s="1006" t="s">
        <v>616</v>
      </c>
      <c r="C16" s="1006" t="s">
        <v>63</v>
      </c>
      <c r="D16" s="1006" t="s">
        <v>297</v>
      </c>
      <c r="E16" s="1006" t="s">
        <v>297</v>
      </c>
      <c r="F16" s="1005">
        <v>2.5234398848294655E-9</v>
      </c>
    </row>
    <row r="17" spans="1:7">
      <c r="A17" s="306" t="str">
        <f>CONCATENATE(TableECFTransport[[#This Row],[Voertuigtype]],"_",TableECFTransport[[#This Row],[Wegtype]],"_",TableECFTransport[[#This Row],[Brandstoftechnologie]],"_",TableECFTransport[[#This Row],[Brandstof]])</f>
        <v>Lichte voertuigen_Snelwegen_CNG_CNG</v>
      </c>
      <c r="B17" s="1006" t="s">
        <v>616</v>
      </c>
      <c r="C17" s="1006" t="s">
        <v>65</v>
      </c>
      <c r="D17" s="1006" t="s">
        <v>297</v>
      </c>
      <c r="E17" s="1006" t="s">
        <v>297</v>
      </c>
      <c r="F17" s="1005">
        <v>2.5252068572137855E-9</v>
      </c>
    </row>
    <row r="18" spans="1:7">
      <c r="A18" s="306" t="str">
        <f>CONCATENATE(TableECFTransport[[#This Row],[Voertuigtype]],"_",TableECFTransport[[#This Row],[Wegtype]],"_",TableECFTransport[[#This Row],[Brandstoftechnologie]],"_",TableECFTransport[[#This Row],[Brandstof]])</f>
        <v>Lichte voertuigen_Niet-genummerde wegen_Diesel_Diesel</v>
      </c>
      <c r="B18" s="1006" t="s">
        <v>616</v>
      </c>
      <c r="C18" s="1006" t="s">
        <v>64</v>
      </c>
      <c r="D18" s="1006" t="s">
        <v>195</v>
      </c>
      <c r="E18" s="1006" t="s">
        <v>195</v>
      </c>
      <c r="F18" s="1005">
        <v>3.3102000354082515E-9</v>
      </c>
    </row>
    <row r="19" spans="1:7">
      <c r="A19" s="306" t="str">
        <f>CONCATENATE(TableECFTransport[[#This Row],[Voertuigtype]],"_",TableECFTransport[[#This Row],[Wegtype]],"_",TableECFTransport[[#This Row],[Brandstoftechnologie]],"_",TableECFTransport[[#This Row],[Brandstof]])</f>
        <v>Lichte voertuigen_Genummerde wegen_Diesel_Diesel</v>
      </c>
      <c r="B19" s="1006" t="s">
        <v>616</v>
      </c>
      <c r="C19" s="1006" t="s">
        <v>63</v>
      </c>
      <c r="D19" s="1006" t="s">
        <v>195</v>
      </c>
      <c r="E19" s="1006" t="s">
        <v>195</v>
      </c>
      <c r="F19" s="1005">
        <v>2.1928888378593485E-9</v>
      </c>
    </row>
    <row r="20" spans="1:7">
      <c r="A20" s="306" t="str">
        <f>CONCATENATE(TableECFTransport[[#This Row],[Voertuigtype]],"_",TableECFTransport[[#This Row],[Wegtype]],"_",TableECFTransport[[#This Row],[Brandstoftechnologie]],"_",TableECFTransport[[#This Row],[Brandstof]])</f>
        <v>Lichte voertuigen_Snelwegen_Diesel_Diesel</v>
      </c>
      <c r="B20" s="1006" t="s">
        <v>616</v>
      </c>
      <c r="C20" s="1006" t="s">
        <v>65</v>
      </c>
      <c r="D20" s="1006" t="s">
        <v>195</v>
      </c>
      <c r="E20" s="1006" t="s">
        <v>195</v>
      </c>
      <c r="F20" s="1005">
        <v>2.4433295309804806E-9</v>
      </c>
    </row>
    <row r="21" spans="1:7">
      <c r="A21" s="306" t="str">
        <f>CONCATENATE(TableECFTransport[[#This Row],[Voertuigtype]],"_",TableECFTransport[[#This Row],[Wegtype]],"_",TableECFTransport[[#This Row],[Brandstoftechnologie]],"_",TableECFTransport[[#This Row],[Brandstof]])</f>
        <v>Lichte voertuigen_Niet-genummerde wegen_Diesel Hybrid PHEV_Diesel</v>
      </c>
      <c r="B21" s="1006" t="s">
        <v>616</v>
      </c>
      <c r="C21" s="1006" t="s">
        <v>64</v>
      </c>
      <c r="D21" s="1006" t="s">
        <v>831</v>
      </c>
      <c r="E21" s="1006" t="s">
        <v>195</v>
      </c>
      <c r="F21" s="1005">
        <v>1.9103909520415214E-9</v>
      </c>
    </row>
    <row r="22" spans="1:7">
      <c r="A22" s="306" t="str">
        <f>CONCATENATE(TableECFTransport[[#This Row],[Voertuigtype]],"_",TableECFTransport[[#This Row],[Wegtype]],"_",TableECFTransport[[#This Row],[Brandstoftechnologie]],"_",TableECFTransport[[#This Row],[Brandstof]])</f>
        <v>Lichte voertuigen_Niet-genummerde wegen_Diesel Hybrid PHEV_Electric</v>
      </c>
      <c r="B22" s="1006" t="s">
        <v>616</v>
      </c>
      <c r="C22" s="1006" t="s">
        <v>64</v>
      </c>
      <c r="D22" s="1006" t="s">
        <v>831</v>
      </c>
      <c r="E22" s="1006" t="s">
        <v>298</v>
      </c>
      <c r="F22" s="1005">
        <v>6.3679698401384047E-10</v>
      </c>
    </row>
    <row r="23" spans="1:7">
      <c r="A23" s="306" t="str">
        <f>CONCATENATE(TableECFTransport[[#This Row],[Voertuigtype]],"_",TableECFTransport[[#This Row],[Wegtype]],"_",TableECFTransport[[#This Row],[Brandstoftechnologie]],"_",TableECFTransport[[#This Row],[Brandstof]])</f>
        <v>Lichte voertuigen_Genummerde wegen_Diesel Hybrid PHEV_Diesel</v>
      </c>
      <c r="B23" s="1006" t="s">
        <v>616</v>
      </c>
      <c r="C23" s="1006" t="s">
        <v>63</v>
      </c>
      <c r="D23" s="1006" t="s">
        <v>831</v>
      </c>
      <c r="E23" s="1006" t="s">
        <v>195</v>
      </c>
      <c r="F23" s="1005">
        <v>1.1790905883290975E-9</v>
      </c>
    </row>
    <row r="24" spans="1:7">
      <c r="A24" s="306" t="str">
        <f>CONCATENATE(TableECFTransport[[#This Row],[Voertuigtype]],"_",TableECFTransport[[#This Row],[Wegtype]],"_",TableECFTransport[[#This Row],[Brandstoftechnologie]],"_",TableECFTransport[[#This Row],[Brandstof]])</f>
        <v>Lichte voertuigen_Genummerde wegen_Diesel Hybrid PHEV_Electric</v>
      </c>
      <c r="B24" s="1006" t="s">
        <v>616</v>
      </c>
      <c r="C24" s="1006" t="s">
        <v>63</v>
      </c>
      <c r="D24" s="1006" t="s">
        <v>831</v>
      </c>
      <c r="E24" s="1006" t="s">
        <v>298</v>
      </c>
      <c r="F24" s="1005">
        <v>3.9303019610969922E-10</v>
      </c>
    </row>
    <row r="25" spans="1:7">
      <c r="A25" s="306" t="str">
        <f>CONCATENATE(TableECFTransport[[#This Row],[Voertuigtype]],"_",TableECFTransport[[#This Row],[Wegtype]],"_",TableECFTransport[[#This Row],[Brandstoftechnologie]],"_",TableECFTransport[[#This Row],[Brandstof]])</f>
        <v>Lichte voertuigen_Snelwegen_Diesel Hybrid PHEV_Diesel</v>
      </c>
      <c r="B25" s="1006" t="s">
        <v>616</v>
      </c>
      <c r="C25" s="1006" t="s">
        <v>65</v>
      </c>
      <c r="D25" s="1006" t="s">
        <v>831</v>
      </c>
      <c r="E25" s="1006" t="s">
        <v>195</v>
      </c>
      <c r="F25" s="1005">
        <v>1.8688427544282973E-9</v>
      </c>
    </row>
    <row r="26" spans="1:7">
      <c r="A26" s="306" t="str">
        <f>CONCATENATE(TableECFTransport[[#This Row],[Voertuigtype]],"_",TableECFTransport[[#This Row],[Wegtype]],"_",TableECFTransport[[#This Row],[Brandstoftechnologie]],"_",TableECFTransport[[#This Row],[Brandstof]])</f>
        <v>Lichte voertuigen_Snelwegen_Diesel Hybrid PHEV_Electric</v>
      </c>
      <c r="B26" s="1006" t="s">
        <v>616</v>
      </c>
      <c r="C26" s="1006" t="s">
        <v>65</v>
      </c>
      <c r="D26" s="1006" t="s">
        <v>831</v>
      </c>
      <c r="E26" s="1006" t="s">
        <v>298</v>
      </c>
      <c r="F26" s="1005">
        <v>6.2294758480943248E-10</v>
      </c>
    </row>
    <row r="27" spans="1:7">
      <c r="A27" s="306" t="str">
        <f>CONCATENATE(TableECFTransport[[#This Row],[Voertuigtype]],"_",TableECFTransport[[#This Row],[Wegtype]],"_",TableECFTransport[[#This Row],[Brandstoftechnologie]],"_",TableECFTransport[[#This Row],[Brandstof]])</f>
        <v>Lichte voertuigen_Niet-genummerde wegen_LPG_LPG</v>
      </c>
      <c r="B27" s="1006" t="s">
        <v>616</v>
      </c>
      <c r="C27" s="1006" t="s">
        <v>64</v>
      </c>
      <c r="D27" s="1006" t="s">
        <v>112</v>
      </c>
      <c r="E27" s="1006" t="s">
        <v>112</v>
      </c>
      <c r="F27" s="1005">
        <v>3.6437464793999396E-9</v>
      </c>
      <c r="G27" s="838"/>
    </row>
    <row r="28" spans="1:7">
      <c r="A28" s="306" t="str">
        <f>CONCATENATE(TableECFTransport[[#This Row],[Voertuigtype]],"_",TableECFTransport[[#This Row],[Wegtype]],"_",TableECFTransport[[#This Row],[Brandstoftechnologie]],"_",TableECFTransport[[#This Row],[Brandstof]])</f>
        <v>Lichte voertuigen_Genummerde wegen_LPG_LPG</v>
      </c>
      <c r="B28" s="1006" t="s">
        <v>616</v>
      </c>
      <c r="C28" s="1006" t="s">
        <v>63</v>
      </c>
      <c r="D28" s="1006" t="s">
        <v>112</v>
      </c>
      <c r="E28" s="1006" t="s">
        <v>112</v>
      </c>
      <c r="F28" s="1005">
        <v>2.2543132418439082E-9</v>
      </c>
    </row>
    <row r="29" spans="1:7">
      <c r="A29" s="306" t="str">
        <f>CONCATENATE(TableECFTransport[[#This Row],[Voertuigtype]],"_",TableECFTransport[[#This Row],[Wegtype]],"_",TableECFTransport[[#This Row],[Brandstoftechnologie]],"_",TableECFTransport[[#This Row],[Brandstof]])</f>
        <v>Lichte voertuigen_Snelwegen_LPG_LPG</v>
      </c>
      <c r="B29" s="1006" t="s">
        <v>616</v>
      </c>
      <c r="C29" s="1006" t="s">
        <v>65</v>
      </c>
      <c r="D29" s="1006" t="s">
        <v>112</v>
      </c>
      <c r="E29" s="1006" t="s">
        <v>112</v>
      </c>
      <c r="F29" s="1005">
        <v>2.7785858590122183E-9</v>
      </c>
    </row>
    <row r="30" spans="1:7">
      <c r="A30" s="306" t="str">
        <f>CONCATENATE(TableECFTransport[[#This Row],[Voertuigtype]],"_",TableECFTransport[[#This Row],[Wegtype]],"_",TableECFTransport[[#This Row],[Brandstoftechnologie]],"_",TableECFTransport[[#This Row],[Brandstof]])</f>
        <v>Lichte voertuigen_Niet-genummerde wegen_Petrol_Petrol</v>
      </c>
      <c r="B30" s="1006" t="s">
        <v>616</v>
      </c>
      <c r="C30" s="1006" t="s">
        <v>64</v>
      </c>
      <c r="D30" s="1006" t="s">
        <v>299</v>
      </c>
      <c r="E30" s="1006" t="s">
        <v>299</v>
      </c>
      <c r="F30" s="1005">
        <v>3.6485745264919916E-9</v>
      </c>
    </row>
    <row r="31" spans="1:7">
      <c r="A31" s="306" t="str">
        <f>CONCATENATE(TableECFTransport[[#This Row],[Voertuigtype]],"_",TableECFTransport[[#This Row],[Wegtype]],"_",TableECFTransport[[#This Row],[Brandstoftechnologie]],"_",TableECFTransport[[#This Row],[Brandstof]])</f>
        <v>Lichte voertuigen_Genummerde wegen_Petrol_Petrol</v>
      </c>
      <c r="B31" s="1006" t="s">
        <v>616</v>
      </c>
      <c r="C31" s="1006" t="s">
        <v>63</v>
      </c>
      <c r="D31" s="1006" t="s">
        <v>299</v>
      </c>
      <c r="E31" s="1006" t="s">
        <v>299</v>
      </c>
      <c r="F31" s="1005">
        <v>2.2094258911958256E-9</v>
      </c>
    </row>
    <row r="32" spans="1:7">
      <c r="A32" s="306" t="str">
        <f>CONCATENATE(TableECFTransport[[#This Row],[Voertuigtype]],"_",TableECFTransport[[#This Row],[Wegtype]],"_",TableECFTransport[[#This Row],[Brandstoftechnologie]],"_",TableECFTransport[[#This Row],[Brandstof]])</f>
        <v>Lichte voertuigen_Snelwegen_Petrol_Petrol</v>
      </c>
      <c r="B32" s="1006" t="s">
        <v>616</v>
      </c>
      <c r="C32" s="1006" t="s">
        <v>65</v>
      </c>
      <c r="D32" s="1006" t="s">
        <v>299</v>
      </c>
      <c r="E32" s="1006" t="s">
        <v>299</v>
      </c>
      <c r="F32" s="1005">
        <v>2.3077927741169483E-9</v>
      </c>
    </row>
    <row r="33" spans="1:6">
      <c r="A33" s="306" t="str">
        <f>CONCATENATE(TableECFTransport[[#This Row],[Voertuigtype]],"_",TableECFTransport[[#This Row],[Wegtype]],"_",TableECFTransport[[#This Row],[Brandstoftechnologie]],"_",TableECFTransport[[#This Row],[Brandstof]])</f>
        <v>Lichte voertuigen_Niet-genummerde wegen_Petrol Hybrid CS_Petrol</v>
      </c>
      <c r="B33" s="1006" t="s">
        <v>616</v>
      </c>
      <c r="C33" s="1006" t="s">
        <v>64</v>
      </c>
      <c r="D33" s="1006" t="s">
        <v>832</v>
      </c>
      <c r="E33" s="1006" t="s">
        <v>299</v>
      </c>
      <c r="F33" s="1005">
        <v>2.7216658287561636E-9</v>
      </c>
    </row>
    <row r="34" spans="1:6">
      <c r="A34" s="1006" t="str">
        <f>CONCATENATE(TableECFTransport[[#This Row],[Voertuigtype]],"_",TableECFTransport[[#This Row],[Wegtype]],"_",TableECFTransport[[#This Row],[Brandstoftechnologie]],"_",TableECFTransport[[#This Row],[Brandstof]])</f>
        <v>Lichte voertuigen_Genummerde wegen_Petrol Hybrid CS_Petrol</v>
      </c>
      <c r="B34" s="1006" t="s">
        <v>616</v>
      </c>
      <c r="C34" s="1006" t="s">
        <v>63</v>
      </c>
      <c r="D34" s="1006" t="s">
        <v>832</v>
      </c>
      <c r="E34" s="1006" t="s">
        <v>299</v>
      </c>
      <c r="F34" s="1005">
        <v>1.5032027409729287E-9</v>
      </c>
    </row>
    <row r="35" spans="1:6">
      <c r="A35" s="1006" t="str">
        <f>CONCATENATE(TableECFTransport[[#This Row],[Voertuigtype]],"_",TableECFTransport[[#This Row],[Wegtype]],"_",TableECFTransport[[#This Row],[Brandstoftechnologie]],"_",TableECFTransport[[#This Row],[Brandstof]])</f>
        <v>Lichte voertuigen_Snelwegen_Petrol Hybrid CS_Petrol</v>
      </c>
      <c r="B35" s="1006" t="s">
        <v>616</v>
      </c>
      <c r="C35" s="1006" t="s">
        <v>65</v>
      </c>
      <c r="D35" s="1006" t="s">
        <v>832</v>
      </c>
      <c r="E35" s="1006" t="s">
        <v>299</v>
      </c>
      <c r="F35" s="1005">
        <v>1.8381192707854317E-9</v>
      </c>
    </row>
    <row r="36" spans="1:6">
      <c r="A36" s="1006" t="str">
        <f>CONCATENATE(TableECFTransport[[#This Row],[Voertuigtype]],"_",TableECFTransport[[#This Row],[Wegtype]],"_",TableECFTransport[[#This Row],[Brandstoftechnologie]],"_",TableECFTransport[[#This Row],[Brandstof]])</f>
        <v>Lichte voertuigen_Niet-genummerde wegen_Petrol Hybrid PHEV_Electric</v>
      </c>
      <c r="B36" s="1006" t="s">
        <v>616</v>
      </c>
      <c r="C36" s="1006" t="s">
        <v>64</v>
      </c>
      <c r="D36" s="1006" t="s">
        <v>833</v>
      </c>
      <c r="E36" s="1006" t="s">
        <v>298</v>
      </c>
      <c r="F36" s="1005">
        <v>6.7271934939675882E-10</v>
      </c>
    </row>
    <row r="37" spans="1:6">
      <c r="A37" s="1006" t="str">
        <f>CONCATENATE(TableECFTransport[[#This Row],[Voertuigtype]],"_",TableECFTransport[[#This Row],[Wegtype]],"_",TableECFTransport[[#This Row],[Brandstoftechnologie]],"_",TableECFTransport[[#This Row],[Brandstof]])</f>
        <v>Lichte voertuigen_Niet-genummerde wegen_Petrol Hybrid PHEV_Petrol</v>
      </c>
      <c r="B37" s="1006" t="s">
        <v>616</v>
      </c>
      <c r="C37" s="1006" t="s">
        <v>64</v>
      </c>
      <c r="D37" s="1006" t="s">
        <v>833</v>
      </c>
      <c r="E37" s="1006" t="s">
        <v>299</v>
      </c>
      <c r="F37" s="1005">
        <v>2.0181580481902767E-9</v>
      </c>
    </row>
    <row r="38" spans="1:6">
      <c r="A38" s="1006" t="str">
        <f>CONCATENATE(TableECFTransport[[#This Row],[Voertuigtype]],"_",TableECFTransport[[#This Row],[Wegtype]],"_",TableECFTransport[[#This Row],[Brandstoftechnologie]],"_",TableECFTransport[[#This Row],[Brandstof]])</f>
        <v>Lichte voertuigen_Genummerde wegen_Petrol Hybrid PHEV_Electric</v>
      </c>
      <c r="B38" s="1006" t="s">
        <v>616</v>
      </c>
      <c r="C38" s="1006" t="s">
        <v>63</v>
      </c>
      <c r="D38" s="1006" t="s">
        <v>833</v>
      </c>
      <c r="E38" s="1006" t="s">
        <v>298</v>
      </c>
      <c r="F38" s="1005">
        <v>3.7922515370029093E-10</v>
      </c>
    </row>
    <row r="39" spans="1:6">
      <c r="A39" s="1006" t="str">
        <f>CONCATENATE(TableECFTransport[[#This Row],[Voertuigtype]],"_",TableECFTransport[[#This Row],[Wegtype]],"_",TableECFTransport[[#This Row],[Brandstoftechnologie]],"_",TableECFTransport[[#This Row],[Brandstof]])</f>
        <v>Lichte voertuigen_Genummerde wegen_Petrol Hybrid PHEV_Petrol</v>
      </c>
      <c r="B39" s="1006" t="s">
        <v>616</v>
      </c>
      <c r="C39" s="1006" t="s">
        <v>63</v>
      </c>
      <c r="D39" s="1006" t="s">
        <v>833</v>
      </c>
      <c r="E39" s="1006" t="s">
        <v>299</v>
      </c>
      <c r="F39" s="1005">
        <v>1.1376754611008729E-9</v>
      </c>
    </row>
    <row r="40" spans="1:6">
      <c r="A40" s="1006" t="str">
        <f>CONCATENATE(TableECFTransport[[#This Row],[Voertuigtype]],"_",TableECFTransport[[#This Row],[Wegtype]],"_",TableECFTransport[[#This Row],[Brandstoftechnologie]],"_",TableECFTransport[[#This Row],[Brandstof]])</f>
        <v>Lichte voertuigen_Snelwegen_Petrol Hybrid PHEV_Electric</v>
      </c>
      <c r="B40" s="1006" t="s">
        <v>616</v>
      </c>
      <c r="C40" s="1006" t="s">
        <v>65</v>
      </c>
      <c r="D40" s="1006" t="s">
        <v>833</v>
      </c>
      <c r="E40" s="1006" t="s">
        <v>298</v>
      </c>
      <c r="F40" s="1005">
        <v>5.8595667843225473E-10</v>
      </c>
    </row>
    <row r="41" spans="1:6">
      <c r="A41" s="1006" t="str">
        <f>CONCATENATE(TableECFTransport[[#This Row],[Voertuigtype]],"_",TableECFTransport[[#This Row],[Wegtype]],"_",TableECFTransport[[#This Row],[Brandstoftechnologie]],"_",TableECFTransport[[#This Row],[Brandstof]])</f>
        <v>Lichte voertuigen_Snelwegen_Petrol Hybrid PHEV_Petrol</v>
      </c>
      <c r="B41" s="1006" t="s">
        <v>616</v>
      </c>
      <c r="C41" s="1006" t="s">
        <v>65</v>
      </c>
      <c r="D41" s="1006" t="s">
        <v>833</v>
      </c>
      <c r="E41" s="1006" t="s">
        <v>299</v>
      </c>
      <c r="F41" s="1005">
        <v>1.757870035296764E-9</v>
      </c>
    </row>
    <row r="42" spans="1:6">
      <c r="A42" s="1006" t="str">
        <f>CONCATENATE(TableECFTransport[[#This Row],[Voertuigtype]],"_",TableECFTransport[[#This Row],[Wegtype]],"_",TableECFTransport[[#This Row],[Brandstoftechnologie]],"_",TableECFTransport[[#This Row],[Brandstof]])</f>
        <v>Zware voertuigen_Niet-genummerde wegen_Diesel_Diesel</v>
      </c>
      <c r="B42" s="1006" t="s">
        <v>617</v>
      </c>
      <c r="C42" s="1006" t="s">
        <v>64</v>
      </c>
      <c r="D42" s="1006" t="s">
        <v>195</v>
      </c>
      <c r="E42" s="1006" t="s">
        <v>195</v>
      </c>
      <c r="F42" s="1005">
        <v>1.2759505951757781E-8</v>
      </c>
    </row>
    <row r="43" spans="1:6">
      <c r="A43" s="1006" t="str">
        <f>CONCATENATE(TableECFTransport[[#This Row],[Voertuigtype]],"_",TableECFTransport[[#This Row],[Wegtype]],"_",TableECFTransport[[#This Row],[Brandstoftechnologie]],"_",TableECFTransport[[#This Row],[Brandstof]])</f>
        <v>Zware voertuigen_Genummerde wegen_Diesel_Diesel</v>
      </c>
      <c r="B43" s="1006" t="s">
        <v>617</v>
      </c>
      <c r="C43" s="1006" t="s">
        <v>63</v>
      </c>
      <c r="D43" s="1006" t="s">
        <v>195</v>
      </c>
      <c r="E43" s="1006" t="s">
        <v>195</v>
      </c>
      <c r="F43" s="1005">
        <v>9.9445421373941227E-9</v>
      </c>
    </row>
    <row r="44" spans="1:6">
      <c r="A44" s="1006" t="str">
        <f>CONCATENATE(TableECFTransport[[#This Row],[Voertuigtype]],"_",TableECFTransport[[#This Row],[Wegtype]],"_",TableECFTransport[[#This Row],[Brandstoftechnologie]],"_",TableECFTransport[[#This Row],[Brandstof]])</f>
        <v>Zware voertuigen_Snelwegen_Diesel_Diesel</v>
      </c>
      <c r="B44" s="1006" t="s">
        <v>617</v>
      </c>
      <c r="C44" s="1006" t="s">
        <v>65</v>
      </c>
      <c r="D44" s="1006" t="s">
        <v>195</v>
      </c>
      <c r="E44" s="1006" t="s">
        <v>195</v>
      </c>
      <c r="F44" s="1005">
        <v>9.4720123404043411E-9</v>
      </c>
    </row>
    <row r="45" spans="1:6">
      <c r="A45" s="1006" t="str">
        <f>CONCATENATE(TableECFTransport[[#This Row],[Voertuigtype]],"_",TableECFTransport[[#This Row],[Wegtype]],"_",TableECFTransport[[#This Row],[Brandstoftechnologie]],"_",TableECFTransport[[#This Row],[Brandstof]])</f>
        <v>Zware voertuigen_Niet-genummerde wegen_Petrol_Petrol</v>
      </c>
      <c r="B45" s="1006" t="s">
        <v>617</v>
      </c>
      <c r="C45" s="1006" t="s">
        <v>64</v>
      </c>
      <c r="D45" s="1006" t="s">
        <v>299</v>
      </c>
      <c r="E45" s="1006" t="s">
        <v>299</v>
      </c>
      <c r="F45" s="1005">
        <v>7.6653519389191332E-9</v>
      </c>
    </row>
    <row r="46" spans="1:6">
      <c r="A46" s="1006" t="str">
        <f>CONCATENATE(TableECFTransport[[#This Row],[Voertuigtype]],"_",TableECFTransport[[#This Row],[Wegtype]],"_",TableECFTransport[[#This Row],[Brandstoftechnologie]],"_",TableECFTransport[[#This Row],[Brandstof]])</f>
        <v>Zware voertuigen_Genummerde wegen_Petrol_Petrol</v>
      </c>
      <c r="B46" s="1006" t="s">
        <v>617</v>
      </c>
      <c r="C46" s="1006" t="s">
        <v>63</v>
      </c>
      <c r="D46" s="1006" t="s">
        <v>299</v>
      </c>
      <c r="E46" s="1006" t="s">
        <v>299</v>
      </c>
      <c r="F46" s="1005">
        <v>6.3506130742713378E-9</v>
      </c>
    </row>
    <row r="47" spans="1:6">
      <c r="A47" s="1006" t="str">
        <f>CONCATENATE(TableECFTransport[[#This Row],[Voertuigtype]],"_",TableECFTransport[[#This Row],[Wegtype]],"_",TableECFTransport[[#This Row],[Brandstoftechnologie]],"_",TableECFTransport[[#This Row],[Brandstof]])</f>
        <v>Zware voertuigen_Snelwegen_Petrol_Petrol</v>
      </c>
      <c r="B47" s="1006" t="s">
        <v>617</v>
      </c>
      <c r="C47" s="1006" t="s">
        <v>65</v>
      </c>
      <c r="D47" s="1006" t="s">
        <v>299</v>
      </c>
      <c r="E47" s="1006" t="s">
        <v>299</v>
      </c>
      <c r="F47" s="1005">
        <v>6.5365124469575579E-9</v>
      </c>
    </row>
    <row r="48" spans="1:6">
      <c r="A48" s="1006" t="str">
        <f>CONCATENATE(TableECFTransport[[#This Row],[Voertuigtype]],"_",TableECFTransport[[#This Row],[Wegtype]],"_",TableECFTransport[[#This Row],[Brandstoftechnologie]],"_",TableECFTransport[[#This Row],[Brandstof]])</f>
        <v>BUS_Niet-genummerde wegen_CNG_CNG</v>
      </c>
      <c r="B48" s="1006" t="s">
        <v>632</v>
      </c>
      <c r="C48" s="1006" t="s">
        <v>64</v>
      </c>
      <c r="D48" s="1006" t="s">
        <v>297</v>
      </c>
      <c r="E48" s="1006" t="s">
        <v>297</v>
      </c>
      <c r="F48" s="1005">
        <v>2.3303083752649972E-8</v>
      </c>
    </row>
    <row r="49" spans="1:6">
      <c r="A49" s="1006" t="str">
        <f>CONCATENATE(TableECFTransport[[#This Row],[Voertuigtype]],"_",TableECFTransport[[#This Row],[Wegtype]],"_",TableECFTransport[[#This Row],[Brandstoftechnologie]],"_",TableECFTransport[[#This Row],[Brandstof]])</f>
        <v>BUS_Genummerde wegen_CNG_CNG</v>
      </c>
      <c r="B49" s="1006" t="s">
        <v>632</v>
      </c>
      <c r="C49" s="1006" t="s">
        <v>63</v>
      </c>
      <c r="D49" s="1006" t="s">
        <v>297</v>
      </c>
      <c r="E49" s="1006" t="s">
        <v>297</v>
      </c>
      <c r="F49" s="1005">
        <v>1.2452720009185941E-8</v>
      </c>
    </row>
    <row r="50" spans="1:6">
      <c r="A50" s="1006" t="str">
        <f>CONCATENATE(TableECFTransport[[#This Row],[Voertuigtype]],"_",TableECFTransport[[#This Row],[Wegtype]],"_",TableECFTransport[[#This Row],[Brandstoftechnologie]],"_",TableECFTransport[[#This Row],[Brandstof]])</f>
        <v>BUS_Niet-genummerde wegen_Diesel_Diesel</v>
      </c>
      <c r="B50" s="1006" t="s">
        <v>632</v>
      </c>
      <c r="C50" s="1006" t="s">
        <v>64</v>
      </c>
      <c r="D50" s="1006" t="s">
        <v>195</v>
      </c>
      <c r="E50" s="1006" t="s">
        <v>195</v>
      </c>
      <c r="F50" s="1005">
        <v>1.7075239008710641E-8</v>
      </c>
    </row>
    <row r="51" spans="1:6">
      <c r="A51" s="1006" t="str">
        <f>CONCATENATE(TableECFTransport[[#This Row],[Voertuigtype]],"_",TableECFTransport[[#This Row],[Wegtype]],"_",TableECFTransport[[#This Row],[Brandstoftechnologie]],"_",TableECFTransport[[#This Row],[Brandstof]])</f>
        <v>BUS_Genummerde wegen_Diesel_Diesel</v>
      </c>
      <c r="B51" s="1006" t="s">
        <v>632</v>
      </c>
      <c r="C51" s="1006" t="s">
        <v>63</v>
      </c>
      <c r="D51" s="1006" t="s">
        <v>195</v>
      </c>
      <c r="E51" s="1006" t="s">
        <v>195</v>
      </c>
      <c r="F51" s="1005">
        <v>9.5218885469070237E-9</v>
      </c>
    </row>
    <row r="52" spans="1:6">
      <c r="A52" s="1006" t="str">
        <f>CONCATENATE(TableECFTransport[[#This Row],[Voertuigtype]],"_",TableECFTransport[[#This Row],[Wegtype]],"_",TableECFTransport[[#This Row],[Brandstoftechnologie]],"_",TableECFTransport[[#This Row],[Brandstof]])</f>
        <v>BUS_Niet-genummerde wegen_Diesel Hybrid PHEV_Diesel</v>
      </c>
      <c r="B52" s="1006" t="s">
        <v>632</v>
      </c>
      <c r="C52" s="1006" t="s">
        <v>64</v>
      </c>
      <c r="D52" s="1006" t="s">
        <v>831</v>
      </c>
      <c r="E52" s="1006" t="s">
        <v>195</v>
      </c>
      <c r="F52" s="1005">
        <v>1.2122949179999998E-8</v>
      </c>
    </row>
    <row r="53" spans="1:6">
      <c r="A53" s="1006" t="str">
        <f>CONCATENATE(TableECFTransport[[#This Row],[Voertuigtype]],"_",TableECFTransport[[#This Row],[Wegtype]],"_",TableECFTransport[[#This Row],[Brandstoftechnologie]],"_",TableECFTransport[[#This Row],[Brandstof]])</f>
        <v>BUS_Niet-genummerde wegen_Diesel Hybrid PHEV_Electric</v>
      </c>
      <c r="B53" s="1006" t="s">
        <v>632</v>
      </c>
      <c r="C53" s="1006" t="s">
        <v>64</v>
      </c>
      <c r="D53" s="1006" t="s">
        <v>831</v>
      </c>
      <c r="E53" s="1006" t="s">
        <v>298</v>
      </c>
      <c r="F53" s="1005">
        <v>4.040983059999999E-9</v>
      </c>
    </row>
    <row r="54" spans="1:6">
      <c r="A54" s="1006" t="str">
        <f>CONCATENATE(TableECFTransport[[#This Row],[Voertuigtype]],"_",TableECFTransport[[#This Row],[Wegtype]],"_",TableECFTransport[[#This Row],[Brandstoftechnologie]],"_",TableECFTransport[[#This Row],[Brandstof]])</f>
        <v>BUS_Genummerde wegen_Diesel Hybrid PHEV_Diesel</v>
      </c>
      <c r="B54" s="1006" t="s">
        <v>632</v>
      </c>
      <c r="C54" s="1006" t="s">
        <v>63</v>
      </c>
      <c r="D54" s="1006" t="s">
        <v>831</v>
      </c>
      <c r="E54" s="1006" t="s">
        <v>195</v>
      </c>
      <c r="F54" s="1005">
        <v>6.0281746424999994E-9</v>
      </c>
    </row>
    <row r="55" spans="1:6">
      <c r="A55" s="1006" t="str">
        <f>CONCATENATE(TableECFTransport[[#This Row],[Voertuigtype]],"_",TableECFTransport[[#This Row],[Wegtype]],"_",TableECFTransport[[#This Row],[Brandstoftechnologie]],"_",TableECFTransport[[#This Row],[Brandstof]])</f>
        <v>BUS_Genummerde wegen_Diesel Hybrid PHEV_Electric</v>
      </c>
      <c r="B55" s="1006" t="s">
        <v>632</v>
      </c>
      <c r="C55" s="1006" t="s">
        <v>63</v>
      </c>
      <c r="D55" s="1006" t="s">
        <v>831</v>
      </c>
      <c r="E55" s="1006" t="s">
        <v>298</v>
      </c>
      <c r="F55" s="1005">
        <v>2.0093915474999999E-9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AC16" sqref="AC16: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44">
        <v>2016</v>
      </c>
      <c r="B1" s="1145"/>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46"/>
      <c r="B2" s="1147"/>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46"/>
      <c r="B3" s="1147"/>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48"/>
      <c r="B4" s="114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1" t="s">
        <v>380</v>
      </c>
      <c r="B5" s="846" t="s">
        <v>861</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788">
        <v>0</v>
      </c>
      <c r="D7" s="788">
        <v>0.25861122068408193</v>
      </c>
      <c r="E7" s="788">
        <v>0</v>
      </c>
      <c r="F7" s="789">
        <v>0.25861122068408193</v>
      </c>
      <c r="G7" s="788">
        <v>0</v>
      </c>
      <c r="H7" s="788">
        <v>0</v>
      </c>
      <c r="I7" s="788">
        <v>2.2509999999999999</v>
      </c>
      <c r="J7" s="788">
        <v>0.84529834380313507</v>
      </c>
      <c r="K7" s="788">
        <v>0</v>
      </c>
      <c r="L7" s="788">
        <v>50.322090926828203</v>
      </c>
      <c r="M7" s="788">
        <v>0</v>
      </c>
      <c r="N7" s="788">
        <v>0</v>
      </c>
      <c r="O7" s="788">
        <v>0</v>
      </c>
      <c r="P7" s="788">
        <v>0</v>
      </c>
      <c r="Q7" s="788">
        <v>0</v>
      </c>
      <c r="R7" s="789">
        <v>53.418389270631337</v>
      </c>
      <c r="S7" s="788">
        <v>90.865618571749025</v>
      </c>
      <c r="T7" s="788">
        <v>0</v>
      </c>
      <c r="U7" s="788">
        <v>0</v>
      </c>
      <c r="V7" s="789">
        <v>90.865618571749025</v>
      </c>
      <c r="W7" s="789">
        <v>144.54261906306445</v>
      </c>
      <c r="X7" s="788">
        <v>0</v>
      </c>
      <c r="Y7" s="788">
        <v>14.397705897957698</v>
      </c>
      <c r="Z7" s="788">
        <v>38.960158529600896</v>
      </c>
      <c r="AA7" s="790">
        <v>2.5367331559995252</v>
      </c>
      <c r="AB7" s="790">
        <v>0</v>
      </c>
      <c r="AC7" s="789">
        <v>200.43721664662257</v>
      </c>
    </row>
    <row r="8" spans="1:29">
      <c r="A8" s="212" t="s">
        <v>149</v>
      </c>
      <c r="B8" s="213"/>
      <c r="C8" s="791">
        <v>0</v>
      </c>
      <c r="D8" s="791">
        <v>8.7900000000000009E-5</v>
      </c>
      <c r="E8" s="791">
        <v>0</v>
      </c>
      <c r="F8" s="792">
        <v>8.7900000000000009E-5</v>
      </c>
      <c r="G8" s="791">
        <v>0</v>
      </c>
      <c r="H8" s="791">
        <v>0</v>
      </c>
      <c r="I8" s="791">
        <v>0.55815730474712111</v>
      </c>
      <c r="J8" s="791">
        <v>4.8993018942678247E-3</v>
      </c>
      <c r="K8" s="791">
        <v>0</v>
      </c>
      <c r="L8" s="791">
        <v>8.8481519486031601</v>
      </c>
      <c r="M8" s="791">
        <v>0</v>
      </c>
      <c r="N8" s="791">
        <v>8.5268400000000008E-3</v>
      </c>
      <c r="O8" s="791">
        <v>0</v>
      </c>
      <c r="P8" s="791">
        <v>0</v>
      </c>
      <c r="Q8" s="791">
        <v>0</v>
      </c>
      <c r="R8" s="792">
        <v>9.4197353952445493</v>
      </c>
      <c r="S8" s="791">
        <v>49.300575153851248</v>
      </c>
      <c r="T8" s="791">
        <v>0</v>
      </c>
      <c r="U8" s="791">
        <v>0</v>
      </c>
      <c r="V8" s="792">
        <v>49.300575153851248</v>
      </c>
      <c r="W8" s="792">
        <v>58.720398449095796</v>
      </c>
      <c r="X8" s="791">
        <v>1.7505419999999998</v>
      </c>
      <c r="Y8" s="791">
        <v>3.525899320140748</v>
      </c>
      <c r="Z8" s="791">
        <v>43.170449203440143</v>
      </c>
      <c r="AA8" s="793">
        <v>0.60456986878163954</v>
      </c>
      <c r="AB8" s="793">
        <v>0</v>
      </c>
      <c r="AC8" s="792">
        <v>107.77185884145833</v>
      </c>
    </row>
    <row r="9" spans="1:29">
      <c r="A9" s="3"/>
      <c r="B9" s="6" t="s">
        <v>150</v>
      </c>
      <c r="C9" s="794">
        <v>0</v>
      </c>
      <c r="D9" s="794">
        <v>0</v>
      </c>
      <c r="E9" s="794">
        <v>0</v>
      </c>
      <c r="F9" s="795">
        <v>0</v>
      </c>
      <c r="G9" s="794">
        <v>0</v>
      </c>
      <c r="H9" s="794">
        <v>0</v>
      </c>
      <c r="I9" s="794">
        <v>5.357104215569166E-2</v>
      </c>
      <c r="J9" s="794">
        <v>0</v>
      </c>
      <c r="K9" s="794">
        <v>0</v>
      </c>
      <c r="L9" s="794">
        <v>0.60007177488426111</v>
      </c>
      <c r="M9" s="794">
        <v>0</v>
      </c>
      <c r="N9" s="794">
        <v>0</v>
      </c>
      <c r="O9" s="794">
        <v>0</v>
      </c>
      <c r="P9" s="794">
        <v>0</v>
      </c>
      <c r="Q9" s="794">
        <v>0</v>
      </c>
      <c r="R9" s="795">
        <v>0.65364281703995275</v>
      </c>
      <c r="S9" s="794">
        <v>6.1968465050265724</v>
      </c>
      <c r="T9" s="794">
        <v>0</v>
      </c>
      <c r="U9" s="794">
        <v>0</v>
      </c>
      <c r="V9" s="795">
        <v>6.1968465050265724</v>
      </c>
      <c r="W9" s="795">
        <v>6.8504893220665251</v>
      </c>
      <c r="X9" s="794">
        <v>0</v>
      </c>
      <c r="Y9" s="794">
        <v>4.9123024862598695E-2</v>
      </c>
      <c r="Z9" s="794">
        <v>4.6541062434854341</v>
      </c>
      <c r="AA9" s="796">
        <v>0</v>
      </c>
      <c r="AB9" s="796">
        <v>0</v>
      </c>
      <c r="AC9" s="795">
        <v>11.553718590414558</v>
      </c>
    </row>
    <row r="10" spans="1:29">
      <c r="A10" s="3"/>
      <c r="B10" s="6" t="s">
        <v>151</v>
      </c>
      <c r="C10" s="794">
        <v>0</v>
      </c>
      <c r="D10" s="794">
        <v>0</v>
      </c>
      <c r="E10" s="794">
        <v>0</v>
      </c>
      <c r="F10" s="795">
        <v>0</v>
      </c>
      <c r="G10" s="794">
        <v>0</v>
      </c>
      <c r="H10" s="794">
        <v>0</v>
      </c>
      <c r="I10" s="794">
        <v>6.982889799057649E-3</v>
      </c>
      <c r="J10" s="794">
        <v>0</v>
      </c>
      <c r="K10" s="794">
        <v>0</v>
      </c>
      <c r="L10" s="794">
        <v>0.30627402790211672</v>
      </c>
      <c r="M10" s="794">
        <v>0</v>
      </c>
      <c r="N10" s="794">
        <v>0</v>
      </c>
      <c r="O10" s="794">
        <v>0</v>
      </c>
      <c r="P10" s="794">
        <v>0</v>
      </c>
      <c r="Q10" s="794">
        <v>0</v>
      </c>
      <c r="R10" s="795">
        <v>0.31325691770117436</v>
      </c>
      <c r="S10" s="794">
        <v>6.0756444171944084</v>
      </c>
      <c r="T10" s="794">
        <v>0</v>
      </c>
      <c r="U10" s="794">
        <v>0</v>
      </c>
      <c r="V10" s="795">
        <v>6.0756444171944084</v>
      </c>
      <c r="W10" s="795">
        <v>6.388901334895583</v>
      </c>
      <c r="X10" s="794">
        <v>0</v>
      </c>
      <c r="Y10" s="794">
        <v>5.2874136000000002E-2</v>
      </c>
      <c r="Z10" s="794">
        <v>3.4954784476391838</v>
      </c>
      <c r="AA10" s="796">
        <v>0</v>
      </c>
      <c r="AB10" s="796">
        <v>0</v>
      </c>
      <c r="AC10" s="795">
        <v>9.9372539185347666</v>
      </c>
    </row>
    <row r="11" spans="1:29">
      <c r="A11" s="3"/>
      <c r="B11" s="6" t="s">
        <v>152</v>
      </c>
      <c r="C11" s="794">
        <v>0</v>
      </c>
      <c r="D11" s="794">
        <v>0</v>
      </c>
      <c r="E11" s="794">
        <v>0</v>
      </c>
      <c r="F11" s="795">
        <v>0</v>
      </c>
      <c r="G11" s="794">
        <v>0</v>
      </c>
      <c r="H11" s="794">
        <v>0</v>
      </c>
      <c r="I11" s="794">
        <v>3.3621784907014084E-2</v>
      </c>
      <c r="J11" s="794">
        <v>0</v>
      </c>
      <c r="K11" s="794">
        <v>0</v>
      </c>
      <c r="L11" s="794">
        <v>0.15851974104243521</v>
      </c>
      <c r="M11" s="794">
        <v>0</v>
      </c>
      <c r="N11" s="794">
        <v>0</v>
      </c>
      <c r="O11" s="794">
        <v>0</v>
      </c>
      <c r="P11" s="794">
        <v>0</v>
      </c>
      <c r="Q11" s="794">
        <v>0</v>
      </c>
      <c r="R11" s="795">
        <v>0.1921415259494493</v>
      </c>
      <c r="S11" s="794">
        <v>3.6173158226807089</v>
      </c>
      <c r="T11" s="794">
        <v>0</v>
      </c>
      <c r="U11" s="794">
        <v>0</v>
      </c>
      <c r="V11" s="795">
        <v>3.6173158226807089</v>
      </c>
      <c r="W11" s="795">
        <v>3.8094573486301582</v>
      </c>
      <c r="X11" s="794">
        <v>0</v>
      </c>
      <c r="Y11" s="794">
        <v>4.0792440000000001E-3</v>
      </c>
      <c r="Z11" s="794">
        <v>1.2881667329610844</v>
      </c>
      <c r="AA11" s="796">
        <v>0</v>
      </c>
      <c r="AB11" s="796">
        <v>0</v>
      </c>
      <c r="AC11" s="795">
        <v>5.1017033255912425</v>
      </c>
    </row>
    <row r="12" spans="1:29">
      <c r="A12" s="3"/>
      <c r="B12" s="6" t="s">
        <v>153</v>
      </c>
      <c r="C12" s="794">
        <v>0</v>
      </c>
      <c r="D12" s="794">
        <v>0</v>
      </c>
      <c r="E12" s="794">
        <v>0</v>
      </c>
      <c r="F12" s="795">
        <v>0</v>
      </c>
      <c r="G12" s="794">
        <v>0</v>
      </c>
      <c r="H12" s="794">
        <v>0</v>
      </c>
      <c r="I12" s="794">
        <v>-1.090363294839827E-6</v>
      </c>
      <c r="J12" s="794">
        <v>0</v>
      </c>
      <c r="K12" s="794">
        <v>0</v>
      </c>
      <c r="L12" s="794">
        <v>1.6828421524607104</v>
      </c>
      <c r="M12" s="794">
        <v>0</v>
      </c>
      <c r="N12" s="794">
        <v>0</v>
      </c>
      <c r="O12" s="794">
        <v>0</v>
      </c>
      <c r="P12" s="794">
        <v>0</v>
      </c>
      <c r="Q12" s="794">
        <v>0</v>
      </c>
      <c r="R12" s="795">
        <v>1.6828410620974157</v>
      </c>
      <c r="S12" s="794">
        <v>16.401709944959823</v>
      </c>
      <c r="T12" s="794">
        <v>0</v>
      </c>
      <c r="U12" s="794">
        <v>0</v>
      </c>
      <c r="V12" s="795">
        <v>16.401709944959823</v>
      </c>
      <c r="W12" s="795">
        <v>18.08455100705724</v>
      </c>
      <c r="X12" s="794">
        <v>0</v>
      </c>
      <c r="Y12" s="794">
        <v>1.6287248118609998E-2</v>
      </c>
      <c r="Z12" s="794">
        <v>13.278811811630433</v>
      </c>
      <c r="AA12" s="796">
        <v>0</v>
      </c>
      <c r="AB12" s="796">
        <v>0</v>
      </c>
      <c r="AC12" s="795">
        <v>31.379650066806281</v>
      </c>
    </row>
    <row r="13" spans="1:29">
      <c r="A13" s="3"/>
      <c r="B13" s="6" t="s">
        <v>154</v>
      </c>
      <c r="C13" s="794">
        <v>0</v>
      </c>
      <c r="D13" s="794">
        <v>0</v>
      </c>
      <c r="E13" s="794">
        <v>0</v>
      </c>
      <c r="F13" s="795">
        <v>0</v>
      </c>
      <c r="G13" s="794">
        <v>0</v>
      </c>
      <c r="H13" s="794">
        <v>0</v>
      </c>
      <c r="I13" s="794">
        <v>0.35118525320000993</v>
      </c>
      <c r="J13" s="794">
        <v>8.8016389999999998E-4</v>
      </c>
      <c r="K13" s="794">
        <v>0</v>
      </c>
      <c r="L13" s="794">
        <v>1.2517003073105994</v>
      </c>
      <c r="M13" s="794">
        <v>0</v>
      </c>
      <c r="N13" s="794">
        <v>2.0302000000000002E-4</v>
      </c>
      <c r="O13" s="794">
        <v>0</v>
      </c>
      <c r="P13" s="794">
        <v>0</v>
      </c>
      <c r="Q13" s="794">
        <v>0</v>
      </c>
      <c r="R13" s="795">
        <v>1.6039687444106094</v>
      </c>
      <c r="S13" s="794">
        <v>9.7857907234714929</v>
      </c>
      <c r="T13" s="794">
        <v>0</v>
      </c>
      <c r="U13" s="794">
        <v>0</v>
      </c>
      <c r="V13" s="795">
        <v>9.7857907234714929</v>
      </c>
      <c r="W13" s="795">
        <v>11.389759467882103</v>
      </c>
      <c r="X13" s="794">
        <v>0</v>
      </c>
      <c r="Y13" s="794">
        <v>1.7181716416000001E-2</v>
      </c>
      <c r="Z13" s="794">
        <v>12.447019647094656</v>
      </c>
      <c r="AA13" s="796">
        <v>0</v>
      </c>
      <c r="AB13" s="796">
        <v>0</v>
      </c>
      <c r="AC13" s="795">
        <v>23.853960831392758</v>
      </c>
    </row>
    <row r="14" spans="1:29">
      <c r="A14" s="214"/>
      <c r="B14" s="215" t="s">
        <v>155</v>
      </c>
      <c r="C14" s="797">
        <v>0</v>
      </c>
      <c r="D14" s="797">
        <v>8.7900000000000009E-5</v>
      </c>
      <c r="E14" s="797">
        <v>0</v>
      </c>
      <c r="F14" s="798">
        <v>8.7900000000000009E-5</v>
      </c>
      <c r="G14" s="794">
        <v>0</v>
      </c>
      <c r="H14" s="794">
        <v>0</v>
      </c>
      <c r="I14" s="794">
        <v>0.11279742504864254</v>
      </c>
      <c r="J14" s="794">
        <v>4.0191379942678242E-3</v>
      </c>
      <c r="K14" s="794">
        <v>0</v>
      </c>
      <c r="L14" s="794">
        <v>4.8487439450030365</v>
      </c>
      <c r="M14" s="794">
        <v>0</v>
      </c>
      <c r="N14" s="794">
        <v>8.3238199999999991E-3</v>
      </c>
      <c r="O14" s="794">
        <v>0</v>
      </c>
      <c r="P14" s="794">
        <v>0</v>
      </c>
      <c r="Q14" s="794">
        <v>0</v>
      </c>
      <c r="R14" s="798">
        <v>4.9738843280459468</v>
      </c>
      <c r="S14" s="794">
        <v>7.2232677405182457</v>
      </c>
      <c r="T14" s="797">
        <v>0</v>
      </c>
      <c r="U14" s="797">
        <v>0</v>
      </c>
      <c r="V14" s="798">
        <v>7.2232677405182457</v>
      </c>
      <c r="W14" s="798">
        <v>12.197239968564192</v>
      </c>
      <c r="X14" s="794">
        <v>1.750542</v>
      </c>
      <c r="Y14" s="794">
        <v>3.3863539507435396</v>
      </c>
      <c r="Z14" s="794">
        <v>8.0068663206293511</v>
      </c>
      <c r="AA14" s="799">
        <v>0</v>
      </c>
      <c r="AB14" s="799">
        <v>0</v>
      </c>
      <c r="AC14" s="798">
        <v>25.341002239937083</v>
      </c>
    </row>
    <row r="15" spans="1:29">
      <c r="A15" s="212" t="s">
        <v>156</v>
      </c>
      <c r="B15" s="216"/>
      <c r="C15" s="800">
        <v>0</v>
      </c>
      <c r="D15" s="800">
        <v>3.5985444000000699E-3</v>
      </c>
      <c r="E15" s="800">
        <v>0.15900000000000003</v>
      </c>
      <c r="F15" s="800">
        <v>0.1625985444000001</v>
      </c>
      <c r="G15" s="800">
        <v>0</v>
      </c>
      <c r="H15" s="800">
        <v>0</v>
      </c>
      <c r="I15" s="800">
        <v>2.497894742345383</v>
      </c>
      <c r="J15" s="800">
        <v>0.14595644183900899</v>
      </c>
      <c r="K15" s="800">
        <v>0</v>
      </c>
      <c r="L15" s="800">
        <v>7.5553255613404442</v>
      </c>
      <c r="M15" s="800">
        <v>0</v>
      </c>
      <c r="N15" s="800">
        <v>0.56007430836008831</v>
      </c>
      <c r="O15" s="800">
        <v>0</v>
      </c>
      <c r="P15" s="800">
        <v>9.8910000000000005E-3</v>
      </c>
      <c r="Q15" s="800">
        <v>0</v>
      </c>
      <c r="R15" s="800">
        <v>10.769142053884925</v>
      </c>
      <c r="S15" s="800">
        <v>30.258491643927726</v>
      </c>
      <c r="T15" s="800">
        <v>0</v>
      </c>
      <c r="U15" s="800">
        <v>0</v>
      </c>
      <c r="V15" s="800">
        <v>30.258491643927726</v>
      </c>
      <c r="W15" s="800">
        <v>41.190232242212652</v>
      </c>
      <c r="X15" s="800">
        <v>0</v>
      </c>
      <c r="Y15" s="800">
        <v>1.1844332134064641</v>
      </c>
      <c r="Z15" s="800">
        <v>46.171962291557847</v>
      </c>
      <c r="AA15" s="802">
        <v>5.2600680617242546E-2</v>
      </c>
      <c r="AB15" s="802">
        <v>0</v>
      </c>
      <c r="AC15" s="801">
        <v>88.599228427794202</v>
      </c>
    </row>
    <row r="16" spans="1:29">
      <c r="A16" s="5"/>
      <c r="B16" s="6" t="s">
        <v>34</v>
      </c>
      <c r="C16" s="803">
        <v>0</v>
      </c>
      <c r="D16" s="803">
        <v>0</v>
      </c>
      <c r="E16" s="803">
        <v>0</v>
      </c>
      <c r="F16" s="795">
        <v>0</v>
      </c>
      <c r="G16" s="803">
        <v>0</v>
      </c>
      <c r="H16" s="803">
        <v>0</v>
      </c>
      <c r="I16" s="803">
        <v>1.3535999999999999E-3</v>
      </c>
      <c r="J16" s="803">
        <v>0</v>
      </c>
      <c r="K16" s="803">
        <v>0</v>
      </c>
      <c r="L16" s="803">
        <v>6.3776331813999998E-3</v>
      </c>
      <c r="M16" s="803">
        <v>0</v>
      </c>
      <c r="N16" s="803">
        <v>2.4071050720001624E-5</v>
      </c>
      <c r="O16" s="803">
        <v>0</v>
      </c>
      <c r="P16" s="803">
        <v>0</v>
      </c>
      <c r="Q16" s="803">
        <v>0</v>
      </c>
      <c r="R16" s="795">
        <v>7.7553042321200014E-3</v>
      </c>
      <c r="S16" s="803">
        <v>0.19723500171143815</v>
      </c>
      <c r="T16" s="803">
        <v>0</v>
      </c>
      <c r="U16" s="803">
        <v>0</v>
      </c>
      <c r="V16" s="804">
        <v>0.19723500171143815</v>
      </c>
      <c r="W16" s="795">
        <v>0.20499030594355816</v>
      </c>
      <c r="X16" s="803">
        <v>0</v>
      </c>
      <c r="Y16" s="803">
        <v>0</v>
      </c>
      <c r="Z16" s="803">
        <v>0.5385723695999971</v>
      </c>
      <c r="AA16" s="796">
        <v>0</v>
      </c>
      <c r="AB16" s="796">
        <v>0</v>
      </c>
      <c r="AC16" s="795">
        <v>0.74356267554355526</v>
      </c>
    </row>
    <row r="17" spans="1:31">
      <c r="A17" s="5"/>
      <c r="B17" s="6" t="s">
        <v>37</v>
      </c>
      <c r="C17" s="803">
        <v>0</v>
      </c>
      <c r="D17" s="803">
        <v>0</v>
      </c>
      <c r="E17" s="803">
        <v>0.15900000000000003</v>
      </c>
      <c r="F17" s="795">
        <v>0.15900000000000003</v>
      </c>
      <c r="G17" s="803">
        <v>0</v>
      </c>
      <c r="H17" s="803">
        <v>0</v>
      </c>
      <c r="I17" s="803">
        <v>5.1431962030000005E-3</v>
      </c>
      <c r="J17" s="803">
        <v>0</v>
      </c>
      <c r="K17" s="803">
        <v>0</v>
      </c>
      <c r="L17" s="803">
        <v>0.12139422893560999</v>
      </c>
      <c r="M17" s="803">
        <v>0</v>
      </c>
      <c r="N17" s="803">
        <v>8.6258319999999999E-3</v>
      </c>
      <c r="O17" s="803">
        <v>0</v>
      </c>
      <c r="P17" s="803">
        <v>9.8910000000000005E-3</v>
      </c>
      <c r="Q17" s="803">
        <v>0</v>
      </c>
      <c r="R17" s="795">
        <v>0.14505425713861</v>
      </c>
      <c r="S17" s="803">
        <v>0.77411168413939979</v>
      </c>
      <c r="T17" s="803">
        <v>0</v>
      </c>
      <c r="U17" s="803">
        <v>0</v>
      </c>
      <c r="V17" s="804">
        <v>0.77411168413939979</v>
      </c>
      <c r="W17" s="795">
        <v>1.0781659412780098</v>
      </c>
      <c r="X17" s="803">
        <v>0</v>
      </c>
      <c r="Y17" s="803">
        <v>0</v>
      </c>
      <c r="Z17" s="803">
        <v>0.55534467960000011</v>
      </c>
      <c r="AA17" s="796">
        <v>0</v>
      </c>
      <c r="AB17" s="796">
        <v>0</v>
      </c>
      <c r="AC17" s="795">
        <v>1.6335106208780099</v>
      </c>
    </row>
    <row r="18" spans="1:31">
      <c r="A18" s="5"/>
      <c r="B18" s="6" t="s">
        <v>35</v>
      </c>
      <c r="C18" s="803">
        <v>0</v>
      </c>
      <c r="D18" s="803">
        <v>0</v>
      </c>
      <c r="E18" s="803">
        <v>0</v>
      </c>
      <c r="F18" s="795">
        <v>0</v>
      </c>
      <c r="G18" s="803">
        <v>0</v>
      </c>
      <c r="H18" s="803">
        <v>0</v>
      </c>
      <c r="I18" s="803">
        <v>5.6335686174339025E-2</v>
      </c>
      <c r="J18" s="803">
        <v>5.3904584999999996E-3</v>
      </c>
      <c r="K18" s="803">
        <v>0</v>
      </c>
      <c r="L18" s="803">
        <v>0.57135855514844303</v>
      </c>
      <c r="M18" s="803">
        <v>0</v>
      </c>
      <c r="N18" s="803">
        <v>0</v>
      </c>
      <c r="O18" s="803">
        <v>0</v>
      </c>
      <c r="P18" s="803">
        <v>0</v>
      </c>
      <c r="Q18" s="803">
        <v>0</v>
      </c>
      <c r="R18" s="795">
        <v>0.63308469982278204</v>
      </c>
      <c r="S18" s="803">
        <v>4.1271377080324632</v>
      </c>
      <c r="T18" s="803">
        <v>0</v>
      </c>
      <c r="U18" s="803">
        <v>0</v>
      </c>
      <c r="V18" s="804">
        <v>4.1271377080324632</v>
      </c>
      <c r="W18" s="795">
        <v>4.7602224078552453</v>
      </c>
      <c r="X18" s="803">
        <v>0</v>
      </c>
      <c r="Y18" s="803">
        <v>9.0625772814057995E-2</v>
      </c>
      <c r="Z18" s="803">
        <v>6.2075795344411642</v>
      </c>
      <c r="AA18" s="796">
        <v>0</v>
      </c>
      <c r="AB18" s="796">
        <v>0</v>
      </c>
      <c r="AC18" s="795">
        <v>11.058427715110469</v>
      </c>
    </row>
    <row r="19" spans="1:31">
      <c r="A19" s="5"/>
      <c r="B19" s="6" t="s">
        <v>32</v>
      </c>
      <c r="C19" s="803">
        <v>0</v>
      </c>
      <c r="D19" s="803">
        <v>0</v>
      </c>
      <c r="E19" s="803">
        <v>0</v>
      </c>
      <c r="F19" s="795">
        <v>0</v>
      </c>
      <c r="G19" s="803">
        <v>0</v>
      </c>
      <c r="H19" s="803">
        <v>0</v>
      </c>
      <c r="I19" s="803">
        <v>5.0031922519164017E-2</v>
      </c>
      <c r="J19" s="803">
        <v>0.14056598333900899</v>
      </c>
      <c r="K19" s="803">
        <v>0</v>
      </c>
      <c r="L19" s="803">
        <v>5.315704198095724</v>
      </c>
      <c r="M19" s="803">
        <v>0</v>
      </c>
      <c r="N19" s="803">
        <v>0.36903156629871658</v>
      </c>
      <c r="O19" s="803">
        <v>0</v>
      </c>
      <c r="P19" s="803">
        <v>0</v>
      </c>
      <c r="Q19" s="803">
        <v>0</v>
      </c>
      <c r="R19" s="795">
        <v>5.8753336702526138</v>
      </c>
      <c r="S19" s="803">
        <v>4.3812316198954573</v>
      </c>
      <c r="T19" s="803">
        <v>0</v>
      </c>
      <c r="U19" s="803">
        <v>0</v>
      </c>
      <c r="V19" s="804">
        <v>4.3812316198954573</v>
      </c>
      <c r="W19" s="795">
        <v>10.256565290148071</v>
      </c>
      <c r="X19" s="803">
        <v>0</v>
      </c>
      <c r="Y19" s="803">
        <v>0.39919565916799993</v>
      </c>
      <c r="Z19" s="803">
        <v>8.6199128964323961</v>
      </c>
      <c r="AA19" s="796">
        <v>0</v>
      </c>
      <c r="AB19" s="796">
        <v>0</v>
      </c>
      <c r="AC19" s="795">
        <v>19.275673845748468</v>
      </c>
    </row>
    <row r="20" spans="1:31">
      <c r="A20" s="5"/>
      <c r="B20" s="6" t="s">
        <v>40</v>
      </c>
      <c r="C20" s="803">
        <v>0</v>
      </c>
      <c r="D20" s="803">
        <v>0</v>
      </c>
      <c r="E20" s="803">
        <v>0</v>
      </c>
      <c r="F20" s="795">
        <v>0</v>
      </c>
      <c r="G20" s="803">
        <v>0</v>
      </c>
      <c r="H20" s="803">
        <v>0</v>
      </c>
      <c r="I20" s="803">
        <v>2.4597707616717229E-2</v>
      </c>
      <c r="J20" s="803">
        <v>0</v>
      </c>
      <c r="K20" s="803">
        <v>0</v>
      </c>
      <c r="L20" s="803">
        <v>0.70884590804336334</v>
      </c>
      <c r="M20" s="803">
        <v>0</v>
      </c>
      <c r="N20" s="803">
        <v>2.8819907119999998E-2</v>
      </c>
      <c r="O20" s="803">
        <v>0</v>
      </c>
      <c r="P20" s="803">
        <v>0</v>
      </c>
      <c r="Q20" s="803">
        <v>0</v>
      </c>
      <c r="R20" s="795">
        <v>0.76226352278008058</v>
      </c>
      <c r="S20" s="803">
        <v>11.077578343476013</v>
      </c>
      <c r="T20" s="803">
        <v>0</v>
      </c>
      <c r="U20" s="803">
        <v>0</v>
      </c>
      <c r="V20" s="804">
        <v>11.077578343476013</v>
      </c>
      <c r="W20" s="795">
        <v>11.839841866256094</v>
      </c>
      <c r="X20" s="803">
        <v>0</v>
      </c>
      <c r="Y20" s="803">
        <v>0.336470889787159</v>
      </c>
      <c r="Z20" s="803">
        <v>11.606890149427397</v>
      </c>
      <c r="AA20" s="796">
        <v>0</v>
      </c>
      <c r="AB20" s="796">
        <v>0</v>
      </c>
      <c r="AC20" s="795">
        <v>23.783202905470652</v>
      </c>
    </row>
    <row r="21" spans="1:31">
      <c r="A21" s="5"/>
      <c r="B21" s="6" t="s">
        <v>39</v>
      </c>
      <c r="C21" s="803">
        <v>0</v>
      </c>
      <c r="D21" s="803">
        <v>0</v>
      </c>
      <c r="E21" s="803">
        <v>0</v>
      </c>
      <c r="F21" s="795">
        <v>0</v>
      </c>
      <c r="G21" s="803">
        <v>0</v>
      </c>
      <c r="H21" s="803">
        <v>0</v>
      </c>
      <c r="I21" s="803">
        <v>8.1308894739125243E-3</v>
      </c>
      <c r="J21" s="803">
        <v>0</v>
      </c>
      <c r="K21" s="803">
        <v>0</v>
      </c>
      <c r="L21" s="803">
        <v>0.11192276905241763</v>
      </c>
      <c r="M21" s="803">
        <v>0</v>
      </c>
      <c r="N21" s="803">
        <v>0.15357293189065169</v>
      </c>
      <c r="O21" s="803">
        <v>0</v>
      </c>
      <c r="P21" s="803">
        <v>0</v>
      </c>
      <c r="Q21" s="803">
        <v>0</v>
      </c>
      <c r="R21" s="795">
        <v>0.27362659041698184</v>
      </c>
      <c r="S21" s="803">
        <v>1.8254866319741341</v>
      </c>
      <c r="T21" s="803">
        <v>0</v>
      </c>
      <c r="U21" s="803">
        <v>0</v>
      </c>
      <c r="V21" s="804">
        <v>1.8254866319741341</v>
      </c>
      <c r="W21" s="795">
        <v>2.0991132223911158</v>
      </c>
      <c r="X21" s="803">
        <v>0</v>
      </c>
      <c r="Y21" s="803">
        <v>3.5860000000000004E-4</v>
      </c>
      <c r="Z21" s="803">
        <v>2.5973867469485437</v>
      </c>
      <c r="AA21" s="796">
        <v>0</v>
      </c>
      <c r="AB21" s="796">
        <v>0</v>
      </c>
      <c r="AC21" s="795">
        <v>4.6968585693396596</v>
      </c>
    </row>
    <row r="22" spans="1:31">
      <c r="A22" s="5"/>
      <c r="B22" s="6" t="s">
        <v>36</v>
      </c>
      <c r="C22" s="803">
        <v>0</v>
      </c>
      <c r="D22" s="803">
        <v>3.2889999999999864E-3</v>
      </c>
      <c r="E22" s="803">
        <v>0</v>
      </c>
      <c r="F22" s="795">
        <v>3.2889999999999864E-3</v>
      </c>
      <c r="G22" s="803">
        <v>0</v>
      </c>
      <c r="H22" s="803">
        <v>0</v>
      </c>
      <c r="I22" s="803">
        <v>4.6888144312470202E-2</v>
      </c>
      <c r="J22" s="803">
        <v>0</v>
      </c>
      <c r="K22" s="803">
        <v>0</v>
      </c>
      <c r="L22" s="803">
        <v>0.54267855922191643</v>
      </c>
      <c r="M22" s="803">
        <v>0</v>
      </c>
      <c r="N22" s="803">
        <v>0</v>
      </c>
      <c r="O22" s="803">
        <v>0</v>
      </c>
      <c r="P22" s="803">
        <v>0</v>
      </c>
      <c r="Q22" s="803">
        <v>0</v>
      </c>
      <c r="R22" s="795">
        <v>0.58956670353438667</v>
      </c>
      <c r="S22" s="803">
        <v>1.7606658735879126</v>
      </c>
      <c r="T22" s="803">
        <v>0</v>
      </c>
      <c r="U22" s="803">
        <v>0</v>
      </c>
      <c r="V22" s="804">
        <v>1.7606658735879126</v>
      </c>
      <c r="W22" s="795">
        <v>2.3535215771222995</v>
      </c>
      <c r="X22" s="803">
        <v>0</v>
      </c>
      <c r="Y22" s="803">
        <v>0.43815223000000003</v>
      </c>
      <c r="Z22" s="803">
        <v>1.9237730279564551</v>
      </c>
      <c r="AA22" s="796">
        <v>0</v>
      </c>
      <c r="AB22" s="796">
        <v>0</v>
      </c>
      <c r="AC22" s="795">
        <v>4.7154468350787546</v>
      </c>
    </row>
    <row r="23" spans="1:31">
      <c r="A23" s="5"/>
      <c r="B23" s="6" t="s">
        <v>38</v>
      </c>
      <c r="C23" s="803">
        <v>0</v>
      </c>
      <c r="D23" s="803">
        <v>3.0954440000008354E-4</v>
      </c>
      <c r="E23" s="803">
        <v>0</v>
      </c>
      <c r="F23" s="795">
        <v>3.0954440000008354E-4</v>
      </c>
      <c r="G23" s="803">
        <v>0</v>
      </c>
      <c r="H23" s="803">
        <v>0</v>
      </c>
      <c r="I23" s="803">
        <v>2.8396123597800001E-3</v>
      </c>
      <c r="J23" s="803">
        <v>0</v>
      </c>
      <c r="K23" s="803">
        <v>0</v>
      </c>
      <c r="L23" s="803">
        <v>4.9819913746400095E-2</v>
      </c>
      <c r="M23" s="803">
        <v>0</v>
      </c>
      <c r="N23" s="803">
        <v>0</v>
      </c>
      <c r="O23" s="803">
        <v>0</v>
      </c>
      <c r="P23" s="803">
        <v>0</v>
      </c>
      <c r="Q23" s="803">
        <v>0</v>
      </c>
      <c r="R23" s="795">
        <v>5.2659526106180098E-2</v>
      </c>
      <c r="S23" s="803">
        <v>0.51412921448486371</v>
      </c>
      <c r="T23" s="803">
        <v>0</v>
      </c>
      <c r="U23" s="803">
        <v>0</v>
      </c>
      <c r="V23" s="804">
        <v>0.51412921448486371</v>
      </c>
      <c r="W23" s="795">
        <v>0.56709828499104387</v>
      </c>
      <c r="X23" s="803">
        <v>0</v>
      </c>
      <c r="Y23" s="803">
        <v>-8.7371938362752921E-2</v>
      </c>
      <c r="Z23" s="803">
        <v>1.8047580441423929</v>
      </c>
      <c r="AA23" s="796">
        <v>0</v>
      </c>
      <c r="AB23" s="796">
        <v>0</v>
      </c>
      <c r="AC23" s="795">
        <v>2.2844843907706838</v>
      </c>
    </row>
    <row r="24" spans="1:31">
      <c r="A24" s="217"/>
      <c r="B24" s="215" t="s">
        <v>33</v>
      </c>
      <c r="C24" s="803">
        <v>0</v>
      </c>
      <c r="D24" s="803">
        <v>0</v>
      </c>
      <c r="E24" s="803">
        <v>0</v>
      </c>
      <c r="F24" s="795">
        <v>0</v>
      </c>
      <c r="G24" s="803">
        <v>0</v>
      </c>
      <c r="H24" s="803">
        <v>0</v>
      </c>
      <c r="I24" s="803">
        <v>2.3025739836860004</v>
      </c>
      <c r="J24" s="803">
        <v>0</v>
      </c>
      <c r="K24" s="803">
        <v>0</v>
      </c>
      <c r="L24" s="803">
        <v>0.12722379591517002</v>
      </c>
      <c r="M24" s="803">
        <v>0</v>
      </c>
      <c r="N24" s="803">
        <v>0</v>
      </c>
      <c r="O24" s="803">
        <v>0</v>
      </c>
      <c r="P24" s="803">
        <v>0</v>
      </c>
      <c r="Q24" s="803">
        <v>0</v>
      </c>
      <c r="R24" s="795">
        <v>2.4297977796011705</v>
      </c>
      <c r="S24" s="803">
        <v>5.6009155666260426</v>
      </c>
      <c r="T24" s="803">
        <v>0</v>
      </c>
      <c r="U24" s="803">
        <v>0</v>
      </c>
      <c r="V24" s="804">
        <v>5.6009155666260426</v>
      </c>
      <c r="W24" s="795">
        <v>8.0307133462272127</v>
      </c>
      <c r="X24" s="803">
        <v>0</v>
      </c>
      <c r="Y24" s="803">
        <v>7.0020000000000082E-3</v>
      </c>
      <c r="Z24" s="803">
        <v>12.3177448430095</v>
      </c>
      <c r="AA24" s="796">
        <v>0</v>
      </c>
      <c r="AB24" s="796">
        <v>0</v>
      </c>
      <c r="AC24" s="795">
        <v>20.355460189236712</v>
      </c>
    </row>
    <row r="25" spans="1:31">
      <c r="A25" s="5" t="s">
        <v>614</v>
      </c>
      <c r="B25" s="127"/>
      <c r="C25" s="800">
        <f>SUM(C27:C32)</f>
        <v>0</v>
      </c>
      <c r="D25" s="800">
        <f t="shared" ref="D25:Y25" si="0">SUM(D27:D32)</f>
        <v>0.66718946324254313</v>
      </c>
      <c r="E25" s="800">
        <f t="shared" si="0"/>
        <v>0</v>
      </c>
      <c r="F25" s="800">
        <f t="shared" si="0"/>
        <v>0.66718946324254313</v>
      </c>
      <c r="G25" s="800">
        <f t="shared" si="0"/>
        <v>0</v>
      </c>
      <c r="H25" s="800">
        <f t="shared" si="0"/>
        <v>0</v>
      </c>
      <c r="I25" s="800">
        <f t="shared" si="0"/>
        <v>8.2332100818230322E-2</v>
      </c>
      <c r="J25" s="800">
        <f t="shared" si="0"/>
        <v>7.3774555703447611E-2</v>
      </c>
      <c r="K25" s="800">
        <f t="shared" si="0"/>
        <v>0</v>
      </c>
      <c r="L25" s="800">
        <f t="shared" si="0"/>
        <v>8.8749875763195423</v>
      </c>
      <c r="M25" s="800">
        <f t="shared" si="0"/>
        <v>0</v>
      </c>
      <c r="N25" s="800">
        <f t="shared" si="0"/>
        <v>0.4842829880503029</v>
      </c>
      <c r="O25" s="800">
        <f t="shared" si="0"/>
        <v>0</v>
      </c>
      <c r="P25" s="800">
        <f t="shared" si="0"/>
        <v>0</v>
      </c>
      <c r="Q25" s="800">
        <f t="shared" si="0"/>
        <v>0</v>
      </c>
      <c r="R25" s="800">
        <f t="shared" si="0"/>
        <v>9.5153772208915264</v>
      </c>
      <c r="S25" s="800">
        <f t="shared" si="0"/>
        <v>16.794608295796127</v>
      </c>
      <c r="T25" s="800">
        <f t="shared" si="0"/>
        <v>0</v>
      </c>
      <c r="U25" s="800">
        <f t="shared" si="0"/>
        <v>0</v>
      </c>
      <c r="V25" s="800">
        <f t="shared" si="0"/>
        <v>16.794608295796127</v>
      </c>
      <c r="W25" s="800">
        <f t="shared" si="0"/>
        <v>26.97717497993019</v>
      </c>
      <c r="X25" s="800">
        <f t="shared" si="0"/>
        <v>0</v>
      </c>
      <c r="Y25" s="800">
        <f t="shared" si="0"/>
        <v>3.392156919482229</v>
      </c>
      <c r="Z25" s="793">
        <f>SUM(Z27:Z32)</f>
        <v>-2.1740717738267645</v>
      </c>
      <c r="AA25" s="802">
        <f>SUM(AA27:AA32)</f>
        <v>0</v>
      </c>
      <c r="AB25" s="802">
        <f>SUM(AB27:AB32)</f>
        <v>0</v>
      </c>
      <c r="AC25" s="792">
        <f>SUM(AC27:AC32)</f>
        <v>28.195260125585662</v>
      </c>
      <c r="AE25" s="38"/>
    </row>
    <row r="26" spans="1:31">
      <c r="A26" s="5"/>
      <c r="B26" s="127"/>
      <c r="C26" s="805"/>
      <c r="D26" s="806"/>
      <c r="E26" s="805"/>
      <c r="F26" s="795"/>
      <c r="G26" s="806"/>
      <c r="H26" s="806"/>
      <c r="I26" s="806"/>
      <c r="J26" s="806"/>
      <c r="K26" s="806"/>
      <c r="L26" s="806"/>
      <c r="M26" s="806"/>
      <c r="N26" s="806"/>
      <c r="O26" s="806"/>
      <c r="P26" s="806"/>
      <c r="Q26" s="806"/>
      <c r="R26" s="795"/>
      <c r="S26" s="806"/>
      <c r="T26" s="805"/>
      <c r="U26" s="805"/>
      <c r="V26" s="795"/>
      <c r="W26" s="795"/>
      <c r="X26" s="805"/>
      <c r="Y26" s="809"/>
      <c r="Z26" s="809">
        <v>2.5369417941357169</v>
      </c>
      <c r="AA26" s="810"/>
      <c r="AB26" s="807"/>
      <c r="AC26" s="808"/>
      <c r="AE26" s="38"/>
    </row>
    <row r="27" spans="1:31">
      <c r="A27" s="3"/>
      <c r="B27" s="6" t="s">
        <v>157</v>
      </c>
      <c r="C27" s="794">
        <v>0</v>
      </c>
      <c r="D27" s="794">
        <v>0</v>
      </c>
      <c r="E27" s="794">
        <v>0</v>
      </c>
      <c r="F27" s="795">
        <v>0</v>
      </c>
      <c r="G27" s="794">
        <v>0</v>
      </c>
      <c r="H27" s="794">
        <v>0</v>
      </c>
      <c r="I27" s="794">
        <v>6.7039126792656625E-2</v>
      </c>
      <c r="J27" s="794">
        <v>8.8197695726495071E-4</v>
      </c>
      <c r="K27" s="794">
        <v>0</v>
      </c>
      <c r="L27" s="794">
        <v>5.2511406544453303</v>
      </c>
      <c r="M27" s="794">
        <v>0</v>
      </c>
      <c r="N27" s="794">
        <v>0</v>
      </c>
      <c r="O27" s="794">
        <v>0</v>
      </c>
      <c r="P27" s="794">
        <v>0</v>
      </c>
      <c r="Q27" s="794">
        <v>0</v>
      </c>
      <c r="R27" s="795">
        <v>5.319061758195252</v>
      </c>
      <c r="S27" s="794">
        <v>0.36116008804785243</v>
      </c>
      <c r="T27" s="794">
        <v>0</v>
      </c>
      <c r="U27" s="794">
        <v>0</v>
      </c>
      <c r="V27" s="795">
        <v>0.36116008804785243</v>
      </c>
      <c r="W27" s="795">
        <v>5.6802218462431044</v>
      </c>
      <c r="X27" s="794">
        <v>0</v>
      </c>
      <c r="Y27" s="794">
        <v>1.1060116525533619</v>
      </c>
      <c r="Z27" s="794">
        <v>2.0252626143777124</v>
      </c>
      <c r="AA27" s="796">
        <v>0</v>
      </c>
      <c r="AB27" s="796">
        <v>0</v>
      </c>
      <c r="AC27" s="795">
        <v>8.8114961131741794</v>
      </c>
    </row>
    <row r="28" spans="1:31">
      <c r="A28" s="3"/>
      <c r="B28" s="6" t="s">
        <v>158</v>
      </c>
      <c r="C28" s="794">
        <v>0</v>
      </c>
      <c r="D28" s="794">
        <v>9.4079151607059572E-4</v>
      </c>
      <c r="E28" s="794">
        <v>0</v>
      </c>
      <c r="F28" s="795">
        <v>9.4079151607059572E-4</v>
      </c>
      <c r="G28" s="794">
        <v>0</v>
      </c>
      <c r="H28" s="794">
        <v>0</v>
      </c>
      <c r="I28" s="794">
        <v>2.0085550884618676E-3</v>
      </c>
      <c r="J28" s="794">
        <v>5.0412649539907683E-4</v>
      </c>
      <c r="K28" s="794">
        <v>0</v>
      </c>
      <c r="L28" s="794">
        <v>2.0210700048734824</v>
      </c>
      <c r="M28" s="794">
        <v>0</v>
      </c>
      <c r="N28" s="794">
        <v>0</v>
      </c>
      <c r="O28" s="794">
        <v>0</v>
      </c>
      <c r="P28" s="794">
        <v>0</v>
      </c>
      <c r="Q28" s="794">
        <v>0</v>
      </c>
      <c r="R28" s="795">
        <v>2.0235826864573432</v>
      </c>
      <c r="S28" s="794">
        <v>0.2630457614049051</v>
      </c>
      <c r="T28" s="794">
        <v>0</v>
      </c>
      <c r="U28" s="794">
        <v>0</v>
      </c>
      <c r="V28" s="795">
        <v>0.2630457614049051</v>
      </c>
      <c r="W28" s="795">
        <v>2.2875692393783185</v>
      </c>
      <c r="X28" s="794">
        <v>0</v>
      </c>
      <c r="Y28" s="794">
        <v>1.9699718320673718</v>
      </c>
      <c r="Z28" s="794">
        <v>-3.3949877277054639E-2</v>
      </c>
      <c r="AA28" s="796">
        <v>0</v>
      </c>
      <c r="AB28" s="796">
        <v>0</v>
      </c>
      <c r="AC28" s="795">
        <v>4.2235911941686357</v>
      </c>
    </row>
    <row r="29" spans="1:31">
      <c r="A29" s="3"/>
      <c r="B29" s="6" t="s">
        <v>159</v>
      </c>
      <c r="C29" s="794">
        <v>0</v>
      </c>
      <c r="D29" s="794">
        <v>0.62831966102044223</v>
      </c>
      <c r="E29" s="794">
        <v>0</v>
      </c>
      <c r="F29" s="795">
        <v>0.62831966102044223</v>
      </c>
      <c r="G29" s="794">
        <v>0</v>
      </c>
      <c r="H29" s="794">
        <v>0</v>
      </c>
      <c r="I29" s="794">
        <v>8.3028336878296517E-3</v>
      </c>
      <c r="J29" s="794">
        <v>3.1842797165714579E-3</v>
      </c>
      <c r="K29" s="794">
        <v>0</v>
      </c>
      <c r="L29" s="794">
        <v>0.81539887469298489</v>
      </c>
      <c r="M29" s="794">
        <v>0</v>
      </c>
      <c r="N29" s="794">
        <v>0.45160798773803712</v>
      </c>
      <c r="O29" s="794">
        <v>0</v>
      </c>
      <c r="P29" s="794">
        <v>0</v>
      </c>
      <c r="Q29" s="794">
        <v>0</v>
      </c>
      <c r="R29" s="795">
        <v>1.2784939758354232</v>
      </c>
      <c r="S29" s="794">
        <v>16.074579566344553</v>
      </c>
      <c r="T29" s="794">
        <v>0</v>
      </c>
      <c r="U29" s="794">
        <v>0</v>
      </c>
      <c r="V29" s="795">
        <v>16.074579566344553</v>
      </c>
      <c r="W29" s="795">
        <v>17.981393203200419</v>
      </c>
      <c r="X29" s="794">
        <v>0</v>
      </c>
      <c r="Y29" s="794">
        <v>0.31066855054149506</v>
      </c>
      <c r="Z29" s="794">
        <v>-4.8665107628476179</v>
      </c>
      <c r="AA29" s="796">
        <v>0</v>
      </c>
      <c r="AB29" s="796">
        <v>0</v>
      </c>
      <c r="AC29" s="795">
        <v>13.425550990894298</v>
      </c>
    </row>
    <row r="30" spans="1:31">
      <c r="A30" s="3"/>
      <c r="B30" s="6" t="s">
        <v>160</v>
      </c>
      <c r="C30" s="794">
        <v>0</v>
      </c>
      <c r="D30" s="794">
        <v>3.7929010706030317E-2</v>
      </c>
      <c r="E30" s="794">
        <v>0</v>
      </c>
      <c r="F30" s="795">
        <v>3.7929010706030317E-2</v>
      </c>
      <c r="G30" s="794">
        <v>0</v>
      </c>
      <c r="H30" s="794">
        <v>0</v>
      </c>
      <c r="I30" s="794">
        <v>4.9797171481661675E-3</v>
      </c>
      <c r="J30" s="794">
        <v>4.1520646445345338E-3</v>
      </c>
      <c r="K30" s="794">
        <v>0</v>
      </c>
      <c r="L30" s="794">
        <v>0.77775893524823325</v>
      </c>
      <c r="M30" s="794">
        <v>0</v>
      </c>
      <c r="N30" s="794">
        <v>3.2675000312265806E-2</v>
      </c>
      <c r="O30" s="794">
        <v>0</v>
      </c>
      <c r="P30" s="794">
        <v>0</v>
      </c>
      <c r="Q30" s="794">
        <v>0</v>
      </c>
      <c r="R30" s="795">
        <v>0.81956571735319972</v>
      </c>
      <c r="S30" s="794">
        <v>9.5822879998815572E-2</v>
      </c>
      <c r="T30" s="794">
        <v>0</v>
      </c>
      <c r="U30" s="794">
        <v>0</v>
      </c>
      <c r="V30" s="795">
        <v>9.5822879998815572E-2</v>
      </c>
      <c r="W30" s="795">
        <v>0.95331760805804555</v>
      </c>
      <c r="X30" s="794">
        <v>0</v>
      </c>
      <c r="Y30" s="794">
        <v>5.5048843200000011E-3</v>
      </c>
      <c r="Z30" s="794">
        <v>0.70108842362419588</v>
      </c>
      <c r="AA30" s="796">
        <v>0</v>
      </c>
      <c r="AB30" s="796">
        <v>0</v>
      </c>
      <c r="AC30" s="795">
        <v>1.6599109160022414</v>
      </c>
    </row>
    <row r="31" spans="1:31">
      <c r="A31" s="3"/>
      <c r="B31" s="6" t="s">
        <v>161</v>
      </c>
      <c r="C31" s="794">
        <v>0</v>
      </c>
      <c r="D31" s="794">
        <v>0</v>
      </c>
      <c r="E31" s="794">
        <v>0</v>
      </c>
      <c r="F31" s="795">
        <v>0</v>
      </c>
      <c r="G31" s="794">
        <v>0</v>
      </c>
      <c r="H31" s="794">
        <v>0</v>
      </c>
      <c r="I31" s="794">
        <v>1.868101116E-6</v>
      </c>
      <c r="J31" s="794">
        <v>6.2926152827176202E-2</v>
      </c>
      <c r="K31" s="794">
        <v>0</v>
      </c>
      <c r="L31" s="794">
        <v>7.1454159665429295E-3</v>
      </c>
      <c r="M31" s="794">
        <v>0</v>
      </c>
      <c r="N31" s="794">
        <v>0</v>
      </c>
      <c r="O31" s="794">
        <v>0</v>
      </c>
      <c r="P31" s="794">
        <v>0</v>
      </c>
      <c r="Q31" s="794">
        <v>0</v>
      </c>
      <c r="R31" s="795">
        <v>7.0073436894835139E-2</v>
      </c>
      <c r="S31" s="794">
        <v>0</v>
      </c>
      <c r="T31" s="794">
        <v>0</v>
      </c>
      <c r="U31" s="794">
        <v>0</v>
      </c>
      <c r="V31" s="795">
        <v>0</v>
      </c>
      <c r="W31" s="795">
        <v>7.0073436894835139E-2</v>
      </c>
      <c r="X31" s="794">
        <v>0</v>
      </c>
      <c r="Y31" s="794">
        <v>0</v>
      </c>
      <c r="Z31" s="794">
        <v>0</v>
      </c>
      <c r="AA31" s="796">
        <v>0</v>
      </c>
      <c r="AB31" s="796">
        <v>0</v>
      </c>
      <c r="AC31" s="795">
        <v>7.0073436894835139E-2</v>
      </c>
    </row>
    <row r="32" spans="1:31">
      <c r="A32" s="4"/>
      <c r="B32" s="126" t="s">
        <v>162</v>
      </c>
      <c r="C32" s="812">
        <v>0</v>
      </c>
      <c r="D32" s="812">
        <v>0</v>
      </c>
      <c r="E32" s="812">
        <v>0</v>
      </c>
      <c r="F32" s="811">
        <v>0</v>
      </c>
      <c r="G32" s="812">
        <v>0</v>
      </c>
      <c r="H32" s="812">
        <v>0</v>
      </c>
      <c r="I32" s="812">
        <v>0</v>
      </c>
      <c r="J32" s="812">
        <v>2.12595506250139E-3</v>
      </c>
      <c r="K32" s="812">
        <v>0</v>
      </c>
      <c r="L32" s="812">
        <v>2.4736910929695002E-3</v>
      </c>
      <c r="M32" s="812">
        <v>0</v>
      </c>
      <c r="N32" s="812">
        <v>0</v>
      </c>
      <c r="O32" s="812">
        <v>0</v>
      </c>
      <c r="P32" s="812">
        <v>0</v>
      </c>
      <c r="Q32" s="812">
        <v>0</v>
      </c>
      <c r="R32" s="811">
        <v>4.5996461554708903E-3</v>
      </c>
      <c r="S32" s="812">
        <v>0</v>
      </c>
      <c r="T32" s="812">
        <v>0</v>
      </c>
      <c r="U32" s="812">
        <v>0</v>
      </c>
      <c r="V32" s="811">
        <v>0</v>
      </c>
      <c r="W32" s="811">
        <v>4.5996461554708903E-3</v>
      </c>
      <c r="X32" s="812">
        <v>0</v>
      </c>
      <c r="Y32" s="812">
        <v>0</v>
      </c>
      <c r="Z32" s="812">
        <v>3.7828296000000008E-5</v>
      </c>
      <c r="AA32" s="813">
        <v>0</v>
      </c>
      <c r="AB32" s="813">
        <v>0</v>
      </c>
      <c r="AC32" s="811">
        <v>4.6374744514708901E-3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0" t="s">
        <v>456</v>
      </c>
      <c r="B2" s="1151"/>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29" t="s">
        <v>458</v>
      </c>
      <c r="C6" s="160" t="s">
        <v>474</v>
      </c>
    </row>
    <row r="7" spans="1:3" s="11" customFormat="1">
      <c r="A7" s="131"/>
      <c r="B7" s="132"/>
      <c r="C7" s="133"/>
    </row>
    <row r="8" spans="1:3" s="11" customFormat="1" ht="60">
      <c r="A8" s="113" t="s">
        <v>148</v>
      </c>
      <c r="B8" s="129" t="s">
        <v>458</v>
      </c>
      <c r="C8" s="303" t="s">
        <v>475</v>
      </c>
    </row>
    <row r="9" spans="1:3" s="11" customFormat="1">
      <c r="A9" s="131"/>
      <c r="B9" s="132"/>
      <c r="C9" s="133"/>
    </row>
    <row r="10" spans="1:3" s="11" customFormat="1" ht="60">
      <c r="A10" s="113" t="s">
        <v>149</v>
      </c>
      <c r="B10" s="129" t="s">
        <v>458</v>
      </c>
      <c r="C10" s="303" t="s">
        <v>475</v>
      </c>
    </row>
    <row r="11" spans="1:3" s="11" customFormat="1">
      <c r="A11" s="131"/>
      <c r="B11" s="132"/>
      <c r="C11" s="133"/>
    </row>
    <row r="12" spans="1:3" s="11" customFormat="1" ht="60">
      <c r="A12" s="113" t="s">
        <v>375</v>
      </c>
      <c r="B12" s="129" t="s">
        <v>458</v>
      </c>
      <c r="C12" s="303" t="s">
        <v>475</v>
      </c>
    </row>
    <row r="13" spans="1:3" s="11" customFormat="1">
      <c r="A13" s="131"/>
      <c r="B13" s="132"/>
      <c r="C13" s="133"/>
    </row>
    <row r="14" spans="1:3" s="11" customFormat="1" ht="60">
      <c r="A14" s="113" t="s">
        <v>105</v>
      </c>
      <c r="B14" s="129" t="s">
        <v>476</v>
      </c>
      <c r="C14" s="303" t="s">
        <v>475</v>
      </c>
    </row>
    <row r="15" spans="1:3" s="11" customFormat="1" ht="63">
      <c r="A15" s="123"/>
      <c r="B15" s="129" t="s">
        <v>477</v>
      </c>
      <c r="C15" s="303" t="s">
        <v>481</v>
      </c>
    </row>
    <row r="16" spans="1:3" s="11" customFormat="1">
      <c r="A16" s="131"/>
      <c r="B16" s="132"/>
      <c r="C16" s="133"/>
    </row>
    <row r="17" spans="1:3" s="11" customFormat="1" ht="45">
      <c r="A17" s="113" t="s">
        <v>457</v>
      </c>
      <c r="B17" s="129" t="s">
        <v>526</v>
      </c>
      <c r="C17" s="160" t="s">
        <v>527</v>
      </c>
    </row>
    <row r="18" spans="1:3" s="11" customFormat="1">
      <c r="A18" s="131"/>
      <c r="B18" s="132"/>
      <c r="C18" s="133"/>
    </row>
    <row r="19" spans="1:3" s="11" customFormat="1" ht="60">
      <c r="A19" s="113" t="s">
        <v>378</v>
      </c>
      <c r="B19" s="302" t="s">
        <v>524</v>
      </c>
      <c r="C19" s="160" t="s">
        <v>525</v>
      </c>
    </row>
    <row r="20" spans="1:3" s="11" customFormat="1">
      <c r="A20" s="113"/>
      <c r="B20" s="129"/>
      <c r="C20" s="130"/>
    </row>
    <row r="21" spans="1:3" ht="21">
      <c r="A21" s="125" t="s">
        <v>460</v>
      </c>
      <c r="B21" s="124"/>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2" customFormat="1" ht="17.25" thickTop="1" thickBot="1">
      <c r="A1" s="1152" t="s">
        <v>187</v>
      </c>
      <c r="B1" s="1153" t="s">
        <v>188</v>
      </c>
      <c r="C1" s="1154"/>
      <c r="D1" s="1154"/>
      <c r="E1" s="1154"/>
      <c r="F1" s="1154"/>
      <c r="G1" s="1154"/>
      <c r="H1" s="1154"/>
      <c r="I1" s="1154"/>
      <c r="J1" s="1154"/>
      <c r="K1" s="1154"/>
      <c r="L1" s="1154"/>
      <c r="M1" s="1154"/>
      <c r="N1" s="1154"/>
      <c r="O1" s="1154"/>
      <c r="P1" s="1154"/>
    </row>
    <row r="2" spans="1:16" s="322" customFormat="1" ht="15.75" customHeight="1" thickTop="1">
      <c r="A2" s="1152"/>
      <c r="B2" s="1155" t="s">
        <v>20</v>
      </c>
      <c r="C2" s="1155" t="s">
        <v>189</v>
      </c>
      <c r="D2" s="1157" t="s">
        <v>190</v>
      </c>
      <c r="E2" s="1158"/>
      <c r="F2" s="1158"/>
      <c r="G2" s="1158"/>
      <c r="H2" s="1158"/>
      <c r="I2" s="1158"/>
      <c r="J2" s="1158"/>
      <c r="K2" s="1159"/>
      <c r="L2" s="1157" t="s">
        <v>191</v>
      </c>
      <c r="M2" s="1158"/>
      <c r="N2" s="1158"/>
      <c r="O2" s="1158"/>
      <c r="P2" s="1159"/>
    </row>
    <row r="3" spans="1:16" s="322"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3457.279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522</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461</v>
      </c>
      <c r="B8" s="21">
        <f>MAX((B5+B6),0)</f>
        <v>3457.279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0.18985386689719377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656.37778709246322</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16" activePane="bottomRight" state="frozen"/>
      <selection activeCell="B35" sqref="B35"/>
      <selection pane="topRight" activeCell="B35" sqref="B35"/>
      <selection pane="bottomLeft" activeCell="B35" sqref="B35"/>
      <selection pane="bottomRight" activeCell="B19" sqref="B1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2" customFormat="1" ht="17.25" thickTop="1" thickBot="1">
      <c r="A1" s="1152" t="s">
        <v>148</v>
      </c>
      <c r="B1" s="1153" t="s">
        <v>188</v>
      </c>
      <c r="C1" s="1154"/>
      <c r="D1" s="1154"/>
      <c r="E1" s="1154"/>
      <c r="F1" s="1154"/>
      <c r="G1" s="1154"/>
      <c r="H1" s="1154"/>
      <c r="I1" s="1154"/>
      <c r="J1" s="1154"/>
      <c r="K1" s="1154"/>
      <c r="L1" s="1154"/>
      <c r="M1" s="1154"/>
      <c r="N1" s="1154"/>
      <c r="O1" s="1154"/>
      <c r="P1" s="1154"/>
    </row>
    <row r="2" spans="1:16" s="322" customFormat="1" ht="15.75" customHeight="1" thickTop="1">
      <c r="A2" s="1152"/>
      <c r="B2" s="1155" t="s">
        <v>20</v>
      </c>
      <c r="C2" s="1155" t="s">
        <v>189</v>
      </c>
      <c r="D2" s="1157" t="s">
        <v>190</v>
      </c>
      <c r="E2" s="1158"/>
      <c r="F2" s="1158"/>
      <c r="G2" s="1158"/>
      <c r="H2" s="1158"/>
      <c r="I2" s="1158"/>
      <c r="J2" s="1158"/>
      <c r="K2" s="1159"/>
      <c r="L2" s="1157" t="s">
        <v>191</v>
      </c>
      <c r="M2" s="1158"/>
      <c r="N2" s="1158"/>
      <c r="O2" s="1158"/>
      <c r="P2" s="1159"/>
    </row>
    <row r="3" spans="1:16" s="322"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70467.278512575707</v>
      </c>
      <c r="C5" s="17">
        <f>IF(ISERROR('Eigen informatie GS &amp; warmtenet'!B57),0,'Eigen informatie GS &amp; warmtenet'!B57)</f>
        <v>0</v>
      </c>
      <c r="D5" s="30">
        <f>(SUM(HH_hh_gas_kWh,HH_rest_gas_kWh)/1000)*0.902</f>
        <v>130108.6742561203</v>
      </c>
      <c r="E5" s="17">
        <f>B32*B41</f>
        <v>5085.0651009019093</v>
      </c>
      <c r="F5" s="17">
        <f>B36*B45</f>
        <v>117867.85277587596</v>
      </c>
      <c r="G5" s="18"/>
      <c r="H5" s="17"/>
      <c r="I5" s="17"/>
      <c r="J5" s="17">
        <f>B35*B44+C35*C44</f>
        <v>605.73693827833586</v>
      </c>
      <c r="K5" s="17"/>
      <c r="L5" s="17"/>
      <c r="M5" s="17"/>
      <c r="N5" s="17">
        <f>B34*B43+C34*C43</f>
        <v>27020.163244092379</v>
      </c>
      <c r="O5" s="17">
        <f>B52*B53*B54</f>
        <v>906.73333333333335</v>
      </c>
      <c r="P5" s="17">
        <f>B60*B61*B62/1000-B60*B61*B62/1000/B63</f>
        <v>2726.5333333333333</v>
      </c>
    </row>
    <row r="6" spans="1:16">
      <c r="A6" s="16" t="s">
        <v>582</v>
      </c>
      <c r="B6" s="716">
        <f>kWh_PV_kleiner_dan_10kW</f>
        <v>9229.3700022278463</v>
      </c>
      <c r="C6" s="717"/>
      <c r="D6" s="717"/>
      <c r="E6" s="718"/>
      <c r="F6" s="718"/>
      <c r="G6" s="718"/>
      <c r="H6" s="718"/>
      <c r="I6" s="718"/>
      <c r="J6" s="718"/>
      <c r="K6" s="718"/>
      <c r="L6" s="718"/>
      <c r="M6" s="718"/>
      <c r="N6" s="718"/>
      <c r="O6" s="718"/>
      <c r="P6" s="718"/>
    </row>
    <row r="7" spans="1:16">
      <c r="B7" s="19"/>
      <c r="C7" s="19"/>
      <c r="D7" s="19"/>
      <c r="E7" s="19"/>
      <c r="F7" s="19"/>
      <c r="G7" s="19"/>
      <c r="H7" s="19"/>
      <c r="I7" s="19"/>
      <c r="J7" s="19"/>
      <c r="K7" s="19"/>
      <c r="L7" s="19"/>
      <c r="M7" s="19"/>
      <c r="N7" s="19"/>
      <c r="O7" s="19"/>
      <c r="P7" s="19"/>
    </row>
    <row r="8" spans="1:16" s="8" customFormat="1">
      <c r="A8" s="20" t="s">
        <v>205</v>
      </c>
      <c r="B8" s="21">
        <f>B5+B6</f>
        <v>79696.648514803557</v>
      </c>
      <c r="C8" s="21">
        <f>C5</f>
        <v>0</v>
      </c>
      <c r="D8" s="21">
        <f>D5</f>
        <v>130108.6742561203</v>
      </c>
      <c r="E8" s="21">
        <f>E5</f>
        <v>5085.0651009019093</v>
      </c>
      <c r="F8" s="21">
        <f>F5</f>
        <v>117867.85277587596</v>
      </c>
      <c r="G8" s="21"/>
      <c r="H8" s="21"/>
      <c r="I8" s="21"/>
      <c r="J8" s="21">
        <f>J5</f>
        <v>605.73693827833586</v>
      </c>
      <c r="K8" s="21"/>
      <c r="L8" s="21">
        <f>L5</f>
        <v>0</v>
      </c>
      <c r="M8" s="21">
        <f>M5</f>
        <v>0</v>
      </c>
      <c r="N8" s="21">
        <f>N5</f>
        <v>27020.163244092379</v>
      </c>
      <c r="O8" s="21">
        <f>O5</f>
        <v>906.73333333333335</v>
      </c>
      <c r="P8" s="21">
        <f>P5</f>
        <v>2726.5333333333333</v>
      </c>
    </row>
    <row r="9" spans="1:16">
      <c r="B9" s="19"/>
      <c r="C9" s="19"/>
      <c r="D9" s="253"/>
      <c r="E9" s="19"/>
      <c r="F9" s="19"/>
      <c r="G9" s="19"/>
      <c r="H9" s="19"/>
      <c r="I9" s="19"/>
      <c r="J9" s="19"/>
      <c r="K9" s="19"/>
      <c r="L9" s="19"/>
      <c r="M9" s="19"/>
      <c r="N9" s="19"/>
      <c r="O9" s="19"/>
      <c r="P9" s="19"/>
    </row>
    <row r="10" spans="1:16">
      <c r="A10" s="24" t="s">
        <v>207</v>
      </c>
      <c r="B10" s="25">
        <f ca="1">'EF ele_warmte'!B12</f>
        <v>0.18985386689719377</v>
      </c>
      <c r="C10" s="25">
        <f ca="1">'EF ele_warmte'!B22</f>
        <v>0.17078684180239098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15130.71689928195</v>
      </c>
      <c r="C12" s="23">
        <f ca="1">C10*C8</f>
        <v>0</v>
      </c>
      <c r="D12" s="23">
        <f>D8*D10</f>
        <v>26281.952199736301</v>
      </c>
      <c r="E12" s="23">
        <f>E10*E8</f>
        <v>1154.3097779047334</v>
      </c>
      <c r="F12" s="23">
        <f>F10*F8</f>
        <v>31470.716691158883</v>
      </c>
      <c r="G12" s="23"/>
      <c r="H12" s="23"/>
      <c r="I12" s="23"/>
      <c r="J12" s="23">
        <f>J10*J8</f>
        <v>214.43087615053088</v>
      </c>
      <c r="K12" s="23"/>
      <c r="L12" s="23">
        <f>L10*L8</f>
        <v>0</v>
      </c>
      <c r="M12" s="23">
        <f>M10*M8</f>
        <v>0</v>
      </c>
      <c r="N12" s="23">
        <f>N10*N8</f>
        <v>0</v>
      </c>
      <c r="O12" s="23">
        <f>O10*O8</f>
        <v>0</v>
      </c>
      <c r="P12" s="23">
        <f>P10*P8</f>
        <v>0</v>
      </c>
    </row>
    <row r="15" spans="1:16">
      <c r="A15" s="189" t="s">
        <v>472</v>
      </c>
      <c r="B15" s="199"/>
      <c r="C15" s="199"/>
      <c r="D15" s="221"/>
    </row>
    <row r="16" spans="1:16">
      <c r="A16" s="3"/>
      <c r="B16" s="43"/>
      <c r="C16" s="43"/>
      <c r="D16" s="170"/>
    </row>
    <row r="17" spans="1:5">
      <c r="A17" s="222" t="s">
        <v>853</v>
      </c>
      <c r="B17" s="198" t="s">
        <v>846</v>
      </c>
      <c r="C17" s="198" t="s">
        <v>847</v>
      </c>
      <c r="D17" s="223" t="s">
        <v>175</v>
      </c>
      <c r="E17" s="15"/>
    </row>
    <row r="18" spans="1:5">
      <c r="A18" s="240" t="s">
        <v>77</v>
      </c>
      <c r="B18" s="1015">
        <v>0.6623209293729907</v>
      </c>
      <c r="C18" s="1015"/>
      <c r="D18" s="292" t="s">
        <v>857</v>
      </c>
      <c r="E18" s="15"/>
    </row>
    <row r="19" spans="1:5">
      <c r="A19" s="240" t="s">
        <v>848</v>
      </c>
      <c r="B19" s="1015">
        <v>8.3355270927208541E-3</v>
      </c>
      <c r="C19" s="1015"/>
      <c r="D19" s="225"/>
      <c r="E19" s="15"/>
    </row>
    <row r="20" spans="1:5">
      <c r="A20" s="240" t="s">
        <v>849</v>
      </c>
      <c r="B20" s="1015"/>
      <c r="C20" s="1015"/>
      <c r="D20" s="225"/>
      <c r="E20" s="15"/>
    </row>
    <row r="21" spans="1:5">
      <c r="A21" s="240" t="s">
        <v>850</v>
      </c>
      <c r="B21" s="1015">
        <v>1.1012833043552148E-2</v>
      </c>
      <c r="C21" s="1015"/>
      <c r="D21" s="225"/>
      <c r="E21" s="15"/>
    </row>
    <row r="22" spans="1:5">
      <c r="A22" s="240" t="s">
        <v>851</v>
      </c>
      <c r="B22" s="1015">
        <v>0.22896604721436239</v>
      </c>
      <c r="C22" s="1015"/>
      <c r="D22" s="225"/>
      <c r="E22" s="15"/>
    </row>
    <row r="23" spans="1:5">
      <c r="A23" s="240" t="s">
        <v>78</v>
      </c>
      <c r="B23" s="1015"/>
      <c r="C23" s="1015"/>
      <c r="D23" s="224"/>
      <c r="E23" s="52"/>
    </row>
    <row r="24" spans="1:5">
      <c r="A24" s="240" t="s">
        <v>852</v>
      </c>
      <c r="B24" s="1015">
        <v>8.9364663276373893E-2</v>
      </c>
      <c r="C24" s="1015">
        <v>0.1771246387571549</v>
      </c>
      <c r="D24" s="224"/>
      <c r="E24" s="15"/>
    </row>
    <row r="25" spans="1:5" s="15" customFormat="1">
      <c r="A25" s="167"/>
      <c r="B25" s="29"/>
      <c r="C25" s="36"/>
      <c r="D25" s="224"/>
    </row>
    <row r="26" spans="1:5" s="15" customFormat="1">
      <c r="A26" s="226" t="s">
        <v>735</v>
      </c>
      <c r="B26" s="37">
        <f>aantalHuishoudens</f>
        <v>17919</v>
      </c>
      <c r="C26" s="36"/>
      <c r="D26" s="224"/>
    </row>
    <row r="27" spans="1:5" s="15" customFormat="1">
      <c r="A27" s="226" t="s">
        <v>736</v>
      </c>
      <c r="B27" s="37">
        <f>SUM(HH_hh_gas_aantal,HH_rest_gas_aantal)</f>
        <v>9730</v>
      </c>
      <c r="C27" s="36"/>
      <c r="D27" s="224"/>
    </row>
    <row r="28" spans="1:5" s="15" customFormat="1">
      <c r="A28" s="227"/>
      <c r="B28" s="29"/>
      <c r="C28" s="36"/>
      <c r="D28" s="228"/>
    </row>
    <row r="29" spans="1:5">
      <c r="A29" s="3"/>
      <c r="B29" s="43"/>
      <c r="C29" s="43"/>
      <c r="D29" s="170"/>
    </row>
    <row r="30" spans="1:5">
      <c r="A30" s="168" t="s">
        <v>464</v>
      </c>
      <c r="B30" s="165" t="s">
        <v>732</v>
      </c>
      <c r="C30" s="165" t="s">
        <v>733</v>
      </c>
      <c r="D30" s="170"/>
    </row>
    <row r="31" spans="1:5">
      <c r="A31" s="167" t="s">
        <v>854</v>
      </c>
      <c r="B31" s="33">
        <f>B27-0.05*B27</f>
        <v>9243.5</v>
      </c>
      <c r="C31" s="34" t="s">
        <v>104</v>
      </c>
      <c r="D31" s="170"/>
    </row>
    <row r="32" spans="1:5">
      <c r="A32" s="167" t="s">
        <v>72</v>
      </c>
      <c r="B32" s="33">
        <f>IF((B21*($B$26-($B$27-0.05*$B$27)-$B$60))&lt;0,0,B21*($B$26-($B$27-0.05*$B$27)-$B$60))</f>
        <v>93.966997944108698</v>
      </c>
      <c r="C32" s="34" t="s">
        <v>104</v>
      </c>
      <c r="D32" s="170"/>
    </row>
    <row r="33" spans="1:6">
      <c r="A33" s="167" t="s">
        <v>73</v>
      </c>
      <c r="B33" s="33">
        <f>IF((B22*($B$26-($B$27-0.05*$B$27)-$B$60))&lt;0,0,B22*($B$26-($B$27-0.05*$B$27)-$B$60))</f>
        <v>1953.6527978565471</v>
      </c>
      <c r="C33" s="34" t="s">
        <v>104</v>
      </c>
      <c r="D33" s="170"/>
    </row>
    <row r="34" spans="1:6">
      <c r="A34" s="167" t="s">
        <v>74</v>
      </c>
      <c r="B34" s="33">
        <f>IF((B24*($B$26-($B$27-0.05*$B$27)-$B$60))&lt;0,0,B24*($B$26-($B$27-0.05*$B$27)-$B$60))</f>
        <v>762.50398940566026</v>
      </c>
      <c r="C34" s="33">
        <f>B26*C24</f>
        <v>3173.8964018894585</v>
      </c>
      <c r="D34" s="229"/>
    </row>
    <row r="35" spans="1:6">
      <c r="A35" s="167" t="s">
        <v>76</v>
      </c>
      <c r="B35" s="33">
        <f>IF((B19*($B$26-($B$27-0.05*$B$27)-$B$60))&lt;0,0,B19*($B$26-($B$27-0.05*$B$27)-$B$60))</f>
        <v>71.122884918640693</v>
      </c>
      <c r="C35" s="33">
        <f>B35/2</f>
        <v>35.561442459320347</v>
      </c>
      <c r="D35" s="229"/>
    </row>
    <row r="36" spans="1:6">
      <c r="A36" s="167" t="s">
        <v>77</v>
      </c>
      <c r="B36" s="33">
        <f>IF((B18*($B$26-($B$27-0.05*$B$27)-$B$60))&lt;0,0,B18*($B$26-($B$27-0.05*$B$27)-$B$60))</f>
        <v>5651.2533298750432</v>
      </c>
      <c r="C36" s="34" t="s">
        <v>104</v>
      </c>
      <c r="D36" s="170"/>
    </row>
    <row r="37" spans="1:6">
      <c r="A37" s="167" t="s">
        <v>78</v>
      </c>
      <c r="B37" s="33">
        <f>B60</f>
        <v>143</v>
      </c>
      <c r="C37" s="34" t="s">
        <v>104</v>
      </c>
      <c r="D37" s="170"/>
    </row>
    <row r="38" spans="1:6" s="1009" customFormat="1">
      <c r="A38" s="240"/>
      <c r="B38" s="29"/>
      <c r="C38" s="28"/>
      <c r="D38" s="228"/>
    </row>
    <row r="39" spans="1:6">
      <c r="A39" s="168" t="s">
        <v>467</v>
      </c>
      <c r="B39" s="164" t="s">
        <v>693</v>
      </c>
      <c r="C39" s="164" t="s">
        <v>694</v>
      </c>
      <c r="D39" s="292" t="s">
        <v>857</v>
      </c>
      <c r="E39" s="161"/>
      <c r="F39" s="161"/>
    </row>
    <row r="40" spans="1:6">
      <c r="A40" s="167" t="s">
        <v>70</v>
      </c>
      <c r="B40" s="162">
        <v>14.537133783431392</v>
      </c>
      <c r="C40" s="166" t="s">
        <v>104</v>
      </c>
      <c r="D40" s="169"/>
      <c r="E40" s="162"/>
      <c r="F40" s="162"/>
    </row>
    <row r="41" spans="1:6">
      <c r="A41" s="167" t="s">
        <v>72</v>
      </c>
      <c r="B41" s="162">
        <v>54.115436399559037</v>
      </c>
      <c r="C41" s="166" t="s">
        <v>104</v>
      </c>
      <c r="D41" s="169"/>
      <c r="E41" s="162"/>
      <c r="F41" s="162"/>
    </row>
    <row r="42" spans="1:6">
      <c r="A42" s="167" t="s">
        <v>73</v>
      </c>
      <c r="B42" s="162">
        <v>9.4189877874637187</v>
      </c>
      <c r="C42" s="166" t="s">
        <v>104</v>
      </c>
      <c r="D42" s="169"/>
      <c r="E42" s="162"/>
      <c r="F42" s="162"/>
    </row>
    <row r="43" spans="1:6">
      <c r="A43" s="167" t="s">
        <v>74</v>
      </c>
      <c r="B43" s="166">
        <v>10.311758060807419</v>
      </c>
      <c r="C43" s="166">
        <v>6.035926873207365</v>
      </c>
      <c r="D43" s="169"/>
      <c r="E43" s="162"/>
      <c r="F43" s="162"/>
    </row>
    <row r="44" spans="1:6">
      <c r="A44" s="167" t="s">
        <v>76</v>
      </c>
      <c r="B44" s="162">
        <v>6.8413904507982028</v>
      </c>
      <c r="C44" s="166">
        <v>3.3507502598927257</v>
      </c>
      <c r="D44" s="169"/>
      <c r="E44" s="162"/>
      <c r="F44" s="162"/>
    </row>
    <row r="45" spans="1:6">
      <c r="A45" s="167" t="s">
        <v>77</v>
      </c>
      <c r="B45" s="166">
        <v>20.856940203472028</v>
      </c>
      <c r="C45" s="166" t="s">
        <v>104</v>
      </c>
      <c r="D45" s="170"/>
      <c r="E45" s="162"/>
      <c r="F45" s="162"/>
    </row>
    <row r="46" spans="1:6">
      <c r="A46" s="167" t="s">
        <v>78</v>
      </c>
      <c r="B46" s="166" t="s">
        <v>855</v>
      </c>
      <c r="C46" s="166" t="s">
        <v>104</v>
      </c>
      <c r="D46" s="170"/>
      <c r="E46" s="162"/>
      <c r="F46" s="162"/>
    </row>
    <row r="47" spans="1:6">
      <c r="A47" s="171"/>
      <c r="B47" s="230"/>
      <c r="C47" s="230"/>
      <c r="D47" s="172"/>
      <c r="E47" s="162"/>
      <c r="F47" s="162"/>
    </row>
    <row r="48" spans="1:6">
      <c r="E48" s="15"/>
      <c r="F48" s="15"/>
    </row>
    <row r="49" spans="1:4">
      <c r="A49" s="190" t="s">
        <v>465</v>
      </c>
      <c r="B49" s="199"/>
      <c r="C49" s="199"/>
      <c r="D49" s="200"/>
    </row>
    <row r="50" spans="1:4" s="15" customFormat="1">
      <c r="A50" s="168"/>
      <c r="B50" s="32"/>
      <c r="C50" s="32"/>
      <c r="D50" s="201"/>
    </row>
    <row r="51" spans="1:4" s="15" customFormat="1">
      <c r="A51" s="202"/>
      <c r="B51" s="203"/>
      <c r="C51" s="204" t="s">
        <v>363</v>
      </c>
      <c r="D51" s="218" t="s">
        <v>175</v>
      </c>
    </row>
    <row r="52" spans="1:4">
      <c r="A52" s="167" t="s">
        <v>254</v>
      </c>
      <c r="B52" s="309">
        <f>aantalZB_NB_wonen+aantalZB_NB_wonen_met_kantoor+ZB_HH_bestaande_bouw</f>
        <v>580</v>
      </c>
      <c r="C52" s="43"/>
      <c r="D52" s="169"/>
    </row>
    <row r="53" spans="1:4">
      <c r="A53" s="167" t="s">
        <v>462</v>
      </c>
      <c r="B53" s="305">
        <v>4.2</v>
      </c>
      <c r="C53" s="43"/>
      <c r="D53" s="299" t="s">
        <v>492</v>
      </c>
    </row>
    <row r="54" spans="1:4">
      <c r="A54" s="240" t="s">
        <v>463</v>
      </c>
      <c r="B54" s="310">
        <f>1.34/3.6</f>
        <v>0.37222222222222223</v>
      </c>
      <c r="C54" s="43" t="s">
        <v>208</v>
      </c>
      <c r="D54" s="299" t="s">
        <v>492</v>
      </c>
    </row>
    <row r="55" spans="1:4">
      <c r="A55" s="171"/>
      <c r="B55" s="241"/>
      <c r="C55" s="174"/>
      <c r="D55" s="175"/>
    </row>
    <row r="56" spans="1:4">
      <c r="D56" s="163"/>
    </row>
    <row r="57" spans="1:4">
      <c r="A57" s="190" t="s">
        <v>466</v>
      </c>
      <c r="B57" s="199"/>
      <c r="C57" s="199"/>
      <c r="D57" s="200"/>
    </row>
    <row r="58" spans="1:4">
      <c r="A58" s="168"/>
      <c r="B58" s="32"/>
      <c r="C58" s="32"/>
      <c r="D58" s="205"/>
    </row>
    <row r="59" spans="1:4">
      <c r="A59" s="179"/>
      <c r="B59" s="178"/>
      <c r="C59" s="204" t="s">
        <v>363</v>
      </c>
      <c r="D59" s="219" t="s">
        <v>175</v>
      </c>
    </row>
    <row r="60" spans="1:4">
      <c r="A60" s="167" t="s">
        <v>254</v>
      </c>
      <c r="B60" s="309">
        <f>aantalWP_NB_wonen+aantalWP_NB_wonen_met_kantoor+WP_HH_bestaande_bouw</f>
        <v>143</v>
      </c>
      <c r="C60" s="32"/>
      <c r="D60" s="173"/>
    </row>
    <row r="61" spans="1:4">
      <c r="A61" s="167" t="s">
        <v>432</v>
      </c>
      <c r="B61" s="305">
        <v>13</v>
      </c>
      <c r="C61" s="32" t="s">
        <v>251</v>
      </c>
      <c r="D61" s="299" t="s">
        <v>492</v>
      </c>
    </row>
    <row r="62" spans="1:4">
      <c r="A62" s="167" t="s">
        <v>433</v>
      </c>
      <c r="B62" s="305">
        <v>2000</v>
      </c>
      <c r="C62" s="32" t="s">
        <v>253</v>
      </c>
      <c r="D62" s="299" t="s">
        <v>492</v>
      </c>
    </row>
    <row r="63" spans="1:4">
      <c r="A63" s="167" t="s">
        <v>395</v>
      </c>
      <c r="B63" s="305">
        <v>3.75</v>
      </c>
      <c r="C63" s="43"/>
      <c r="D63" s="299" t="s">
        <v>492</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149</v>
      </c>
      <c r="B1" s="1153" t="s">
        <v>188</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247</v>
      </c>
      <c r="B5" s="30">
        <f>SUM(B6:B12)</f>
        <v>63332.33730484749</v>
      </c>
      <c r="C5" s="17">
        <f>IF(ISERROR('Eigen informatie GS &amp; warmtenet'!B58),0,'Eigen informatie GS &amp; warmtenet'!B58)</f>
        <v>0</v>
      </c>
      <c r="D5" s="30">
        <f>SUM(D6:D12)</f>
        <v>163900.72110630805</v>
      </c>
      <c r="E5" s="17">
        <f>SUM(E6:E12)</f>
        <v>916.86108091783922</v>
      </c>
      <c r="F5" s="17">
        <f>SUM(F6:F12)</f>
        <v>9509.2918734243212</v>
      </c>
      <c r="G5" s="18"/>
      <c r="H5" s="17"/>
      <c r="I5" s="17"/>
      <c r="J5" s="17">
        <f>SUM(J6:J12)</f>
        <v>5.6001173174900207E-2</v>
      </c>
      <c r="K5" s="17"/>
      <c r="L5" s="17"/>
      <c r="M5" s="17"/>
      <c r="N5" s="17">
        <f>SUM(N6:N12)</f>
        <v>2391.2233157676183</v>
      </c>
      <c r="O5" s="17">
        <f>B38*B39*B40</f>
        <v>12.506666666666668</v>
      </c>
      <c r="P5" s="17">
        <f>B46*B47*B48/1000-B46*B47*B48/1000/B49</f>
        <v>171.6</v>
      </c>
      <c r="R5" s="32"/>
    </row>
    <row r="6" spans="1:18">
      <c r="A6" s="32" t="s">
        <v>53</v>
      </c>
      <c r="B6" s="37">
        <f>B26</f>
        <v>16207.521992593571</v>
      </c>
      <c r="C6" s="33"/>
      <c r="D6" s="37">
        <f>IF(ISERROR(TER_kantoor_gas_kWh/1000),0,TER_kantoor_gas_kWh/1000)*0.902</f>
        <v>15078.216981778767</v>
      </c>
      <c r="E6" s="33">
        <f>$C$26*'E Balans VL '!I12/100/3.6*1000000</f>
        <v>-1.3308485225730015E-3</v>
      </c>
      <c r="F6" s="33">
        <f>$C$26*('E Balans VL '!L12+'E Balans VL '!N12)/100/3.6*1000000</f>
        <v>2054.0016368167471</v>
      </c>
      <c r="G6" s="34"/>
      <c r="H6" s="33"/>
      <c r="I6" s="33"/>
      <c r="J6" s="33">
        <f>$C$26*('E Balans VL '!D12+'E Balans VL '!E12)/100/3.6*1000000</f>
        <v>0</v>
      </c>
      <c r="K6" s="33"/>
      <c r="L6" s="33"/>
      <c r="M6" s="33"/>
      <c r="N6" s="33">
        <f>$C$26*'E Balans VL '!Y12/100/3.6*1000000</f>
        <v>19.87948438654675</v>
      </c>
      <c r="O6" s="33"/>
      <c r="P6" s="33"/>
      <c r="R6" s="32"/>
    </row>
    <row r="7" spans="1:18">
      <c r="A7" s="32" t="s">
        <v>52</v>
      </c>
      <c r="B7" s="37">
        <f t="shared" ref="B7:B12" si="0">B27</f>
        <v>4798.2389111578123</v>
      </c>
      <c r="C7" s="33"/>
      <c r="D7" s="37">
        <f>IF(ISERROR(TER_horeca_gas_kWh/1000),0,TER_horeca_gas_kWh/1000)*0.902</f>
        <v>6494.4132498950403</v>
      </c>
      <c r="E7" s="33">
        <f>$C$27*'E Balans VL '!I9/100/3.6*1000000</f>
        <v>55.23007974786033</v>
      </c>
      <c r="F7" s="33">
        <f>$C$27*('E Balans VL '!L9+'E Balans VL '!N9)/100/3.6*1000000</f>
        <v>618.65535273662124</v>
      </c>
      <c r="G7" s="34"/>
      <c r="H7" s="33"/>
      <c r="I7" s="33"/>
      <c r="J7" s="33">
        <f>$C$27*('E Balans VL '!D9+'E Balans VL '!E9)/100/3.6*1000000</f>
        <v>0</v>
      </c>
      <c r="K7" s="33"/>
      <c r="L7" s="33"/>
      <c r="M7" s="33"/>
      <c r="N7" s="33">
        <f>$C$27*'E Balans VL '!Y9/100/3.6*1000000</f>
        <v>50.644312140364086</v>
      </c>
      <c r="O7" s="33"/>
      <c r="P7" s="33"/>
      <c r="R7" s="32"/>
    </row>
    <row r="8" spans="1:18">
      <c r="A8" s="6" t="s">
        <v>51</v>
      </c>
      <c r="B8" s="37">
        <f t="shared" si="0"/>
        <v>24207.618658629559</v>
      </c>
      <c r="C8" s="33"/>
      <c r="D8" s="37">
        <f>IF(ISERROR(TER_handel_gas_kWh/1000),0,TER_handel_gas_kWh/1000)*0.902</f>
        <v>11695.080476278348</v>
      </c>
      <c r="E8" s="33">
        <f>$C$28*'E Balans VL '!I13/100/3.6*1000000</f>
        <v>683.0035565971383</v>
      </c>
      <c r="F8" s="33">
        <f>$C$28*('E Balans VL '!L13+'E Balans VL '!N13)/100/3.6*1000000</f>
        <v>2434.7674547198403</v>
      </c>
      <c r="G8" s="34"/>
      <c r="H8" s="33"/>
      <c r="I8" s="33"/>
      <c r="J8" s="33">
        <f>$C$28*('E Balans VL '!D13+'E Balans VL '!E13)/100/3.6*1000000</f>
        <v>0</v>
      </c>
      <c r="K8" s="33"/>
      <c r="L8" s="33"/>
      <c r="M8" s="33"/>
      <c r="N8" s="33">
        <f>$C$28*'E Balans VL '!Y13/100/3.6*1000000</f>
        <v>33.41590603147543</v>
      </c>
      <c r="O8" s="33"/>
      <c r="P8" s="33"/>
      <c r="R8" s="32"/>
    </row>
    <row r="9" spans="1:18">
      <c r="A9" s="32" t="s">
        <v>50</v>
      </c>
      <c r="B9" s="37">
        <f t="shared" si="0"/>
        <v>7100.4068047018754</v>
      </c>
      <c r="C9" s="33"/>
      <c r="D9" s="37">
        <f>IF(ISERROR(TER_gezond_gas_kWh/1000),0,TER_gezond_gas_kWh/1000)*0.902</f>
        <v>11855.717497435799</v>
      </c>
      <c r="E9" s="33">
        <f>$C$29*'E Balans VL '!I10/100/3.6*1000000</f>
        <v>14.184426821226454</v>
      </c>
      <c r="F9" s="33">
        <f>$C$29*('E Balans VL '!L10+'E Balans VL '!N10)/100/3.6*1000000</f>
        <v>622.13806332818194</v>
      </c>
      <c r="G9" s="34"/>
      <c r="H9" s="33"/>
      <c r="I9" s="33"/>
      <c r="J9" s="33">
        <f>$C$29*('E Balans VL '!D10+'E Balans VL '!E10)/100/3.6*1000000</f>
        <v>0</v>
      </c>
      <c r="K9" s="33"/>
      <c r="L9" s="33"/>
      <c r="M9" s="33"/>
      <c r="N9" s="33">
        <f>$C$29*'E Balans VL '!Y10/100/3.6*1000000</f>
        <v>107.40385920579575</v>
      </c>
      <c r="O9" s="33"/>
      <c r="P9" s="33"/>
      <c r="R9" s="32"/>
    </row>
    <row r="10" spans="1:18">
      <c r="A10" s="32" t="s">
        <v>49</v>
      </c>
      <c r="B10" s="37">
        <f t="shared" si="0"/>
        <v>4052.6672403395301</v>
      </c>
      <c r="C10" s="33"/>
      <c r="D10" s="37">
        <f>IF(ISERROR(TER_ander_gas_kWh/1000),0,TER_ander_gas_kWh/1000)*0.902</f>
        <v>10238.15264128729</v>
      </c>
      <c r="E10" s="33">
        <f>$C$30*'E Balans VL '!I14/100/3.6*1000000</f>
        <v>57.092301904867576</v>
      </c>
      <c r="F10" s="33">
        <f>$C$30*('E Balans VL '!L14+'E Balans VL '!N14)/100/3.6*1000000</f>
        <v>2458.3999066678248</v>
      </c>
      <c r="G10" s="34"/>
      <c r="H10" s="33"/>
      <c r="I10" s="33"/>
      <c r="J10" s="33">
        <f>$C$30*('E Balans VL '!D14+'E Balans VL '!E14)/100/3.6*1000000</f>
        <v>4.4490495552302979E-2</v>
      </c>
      <c r="K10" s="33"/>
      <c r="L10" s="33"/>
      <c r="M10" s="33"/>
      <c r="N10" s="33">
        <f>$C$30*'E Balans VL '!Y14/100/3.6*1000000</f>
        <v>1713.9996061897505</v>
      </c>
      <c r="O10" s="33"/>
      <c r="P10" s="33"/>
      <c r="R10" s="32"/>
    </row>
    <row r="11" spans="1:18">
      <c r="A11" s="32" t="s">
        <v>54</v>
      </c>
      <c r="B11" s="37">
        <f t="shared" si="0"/>
        <v>1312.6285938584999</v>
      </c>
      <c r="C11" s="33"/>
      <c r="D11" s="37">
        <f>IF(ISERROR(TER_onderwijs_gas_kWh/1000),0,TER_onderwijs_gas_kWh/1000)*0.902</f>
        <v>3249.4463394564805</v>
      </c>
      <c r="E11" s="33">
        <f>$C$31*'E Balans VL '!I11/100/3.6*1000000</f>
        <v>34.260251500253645</v>
      </c>
      <c r="F11" s="33">
        <f>$C$31*('E Balans VL '!L11+'E Balans VL '!N11)/100/3.6*1000000</f>
        <v>161.52997858052228</v>
      </c>
      <c r="G11" s="34"/>
      <c r="H11" s="33"/>
      <c r="I11" s="33"/>
      <c r="J11" s="33">
        <f>$C$31*('E Balans VL '!D11+'E Balans VL '!E11)/100/3.6*1000000</f>
        <v>0</v>
      </c>
      <c r="K11" s="33"/>
      <c r="L11" s="33"/>
      <c r="M11" s="33"/>
      <c r="N11" s="33">
        <f>$C$31*'E Balans VL '!Y11/100/3.6*1000000</f>
        <v>4.1567074965655735</v>
      </c>
      <c r="O11" s="33"/>
      <c r="P11" s="33"/>
      <c r="R11" s="32"/>
    </row>
    <row r="12" spans="1:18">
      <c r="A12" s="32" t="s">
        <v>248</v>
      </c>
      <c r="B12" s="37">
        <f t="shared" si="0"/>
        <v>5653.2551035666502</v>
      </c>
      <c r="C12" s="33"/>
      <c r="D12" s="37">
        <f>IF(ISERROR(TER_rest_gas_kWh/1000),0,TER_rest_gas_kWh/1000)*0.902</f>
        <v>105289.69392017633</v>
      </c>
      <c r="E12" s="33">
        <f>$C$32*'E Balans VL '!I8/100/3.6*1000000</f>
        <v>73.09179519501555</v>
      </c>
      <c r="F12" s="33">
        <f>$C$32*('E Balans VL '!L8+'E Balans VL '!N8)/100/3.6*1000000</f>
        <v>1159.7994805745834</v>
      </c>
      <c r="G12" s="34"/>
      <c r="H12" s="33"/>
      <c r="I12" s="33"/>
      <c r="J12" s="33">
        <f>$C$32*('E Balans VL '!D8+'E Balans VL '!E8)/100/3.6*1000000</f>
        <v>1.1510677622597226E-2</v>
      </c>
      <c r="K12" s="33"/>
      <c r="L12" s="33"/>
      <c r="M12" s="33"/>
      <c r="N12" s="33">
        <f>$C$32*'E Balans VL '!Y8/100/3.6*1000000</f>
        <v>461.72344031712026</v>
      </c>
      <c r="O12" s="33"/>
      <c r="P12" s="33"/>
      <c r="R12" s="32"/>
    </row>
    <row r="13" spans="1:18">
      <c r="A13" s="16" t="s">
        <v>473</v>
      </c>
      <c r="B13" s="242">
        <f ca="1">'lokale energieproductie'!N43+'lokale energieproductie'!N36</f>
        <v>0</v>
      </c>
      <c r="C13" s="242">
        <f ca="1">'lokale energieproductie'!O43+'lokale energieproductie'!O36</f>
        <v>0</v>
      </c>
      <c r="D13" s="300">
        <f ca="1">('lokale energieproductie'!P36+'lokale energieproductie'!P43)*(-1)</f>
        <v>0</v>
      </c>
      <c r="E13" s="243"/>
      <c r="F13" s="300">
        <f ca="1">('lokale energieproductie'!S36+'lokale energieproductie'!S43)*(-1)</f>
        <v>0</v>
      </c>
      <c r="G13" s="244"/>
      <c r="H13" s="243"/>
      <c r="I13" s="243"/>
      <c r="J13" s="243"/>
      <c r="K13" s="243"/>
      <c r="L13" s="300">
        <f ca="1">('lokale energieproductie'!U36+'lokale energieproductie'!T36+'lokale energieproductie'!U43+'lokale energieproductie'!T43)*(-1)</f>
        <v>0</v>
      </c>
      <c r="M13" s="243"/>
      <c r="N13" s="300">
        <f ca="1">('lokale energieproductie'!Q36+'lokale energieproductie'!R36+'lokale energieproductie'!V36+'lokale energieproductie'!Q43+'lokale energieproductie'!R43+'lokale energieproductie'!V43)*(-1)</f>
        <v>0</v>
      </c>
      <c r="O13" s="243"/>
      <c r="P13" s="243"/>
      <c r="R13" s="32"/>
    </row>
    <row r="14" spans="1:18">
      <c r="A14" s="16" t="s">
        <v>487</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249</v>
      </c>
      <c r="B16" s="21">
        <f t="shared" ref="B16:N16" ca="1" si="1">MAX((B5+B13+B14),0)</f>
        <v>63332.33730484749</v>
      </c>
      <c r="C16" s="21">
        <f t="shared" ca="1" si="1"/>
        <v>0</v>
      </c>
      <c r="D16" s="21">
        <f t="shared" ca="1" si="1"/>
        <v>163900.72110630805</v>
      </c>
      <c r="E16" s="21">
        <f t="shared" si="1"/>
        <v>916.86108091783922</v>
      </c>
      <c r="F16" s="21">
        <f t="shared" ca="1" si="1"/>
        <v>9509.2918734243212</v>
      </c>
      <c r="G16" s="21">
        <f t="shared" si="1"/>
        <v>0</v>
      </c>
      <c r="H16" s="21">
        <f t="shared" si="1"/>
        <v>0</v>
      </c>
      <c r="I16" s="21">
        <f t="shared" si="1"/>
        <v>0</v>
      </c>
      <c r="J16" s="21">
        <f t="shared" si="1"/>
        <v>5.6001173174900207E-2</v>
      </c>
      <c r="K16" s="21">
        <f t="shared" si="1"/>
        <v>0</v>
      </c>
      <c r="L16" s="21">
        <f t="shared" ca="1" si="1"/>
        <v>0</v>
      </c>
      <c r="M16" s="21">
        <f t="shared" si="1"/>
        <v>0</v>
      </c>
      <c r="N16" s="21">
        <f t="shared" ca="1" si="1"/>
        <v>2391.2233157676183</v>
      </c>
      <c r="O16" s="21">
        <f>O5</f>
        <v>12.506666666666668</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0.18985386689719377</v>
      </c>
      <c r="C18" s="25">
        <f ca="1">'EF ele_warmte'!B22</f>
        <v>0.17078684180239098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12023.889136962694</v>
      </c>
      <c r="C20" s="23">
        <f t="shared" ref="C20:P20" ca="1" si="2">C16*C18</f>
        <v>0</v>
      </c>
      <c r="D20" s="23">
        <f t="shared" ca="1" si="2"/>
        <v>33107.945663474231</v>
      </c>
      <c r="E20" s="23">
        <f t="shared" si="2"/>
        <v>208.1274653683495</v>
      </c>
      <c r="F20" s="23">
        <f t="shared" ca="1" si="2"/>
        <v>2538.9809302042941</v>
      </c>
      <c r="G20" s="23">
        <f t="shared" si="2"/>
        <v>0</v>
      </c>
      <c r="H20" s="23">
        <f t="shared" si="2"/>
        <v>0</v>
      </c>
      <c r="I20" s="23">
        <f t="shared" si="2"/>
        <v>0</v>
      </c>
      <c r="J20" s="23">
        <f t="shared" si="2"/>
        <v>1.9824415303914673E-2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472</v>
      </c>
      <c r="B23" s="199"/>
      <c r="C23" s="199"/>
      <c r="D23" s="221"/>
    </row>
    <row r="24" spans="1:18">
      <c r="A24" s="231"/>
      <c r="B24" s="32"/>
      <c r="C24" s="32"/>
      <c r="D24" s="232"/>
    </row>
    <row r="25" spans="1:18">
      <c r="A25" s="233"/>
      <c r="B25" s="220" t="s">
        <v>255</v>
      </c>
      <c r="C25" s="220" t="s">
        <v>256</v>
      </c>
      <c r="D25" s="234" t="s">
        <v>175</v>
      </c>
    </row>
    <row r="26" spans="1:18">
      <c r="A26" s="227" t="s">
        <v>53</v>
      </c>
      <c r="B26" s="33">
        <f>IF(ISERROR(TER_kantoor_ele_kWh/1000),0,TER_kantoor_ele_kWh/1000)</f>
        <v>16207.521992593571</v>
      </c>
      <c r="C26" s="39">
        <f>IF(ISERROR(B26*3.6/1000000/'E Balans VL '!Z12*100),0,B26*3.6/1000000/'E Balans VL '!Z12*100)</f>
        <v>0.43939984993410891</v>
      </c>
      <c r="D26" s="232" t="s">
        <v>700</v>
      </c>
      <c r="F26" s="6"/>
    </row>
    <row r="27" spans="1:18">
      <c r="A27" s="227" t="s">
        <v>52</v>
      </c>
      <c r="B27" s="33">
        <f>IF(ISERROR(TER_horeca_ele_kWh/1000),0,TER_horeca_ele_kWh/1000)</f>
        <v>4798.2389111578123</v>
      </c>
      <c r="C27" s="39">
        <f>IF(ISERROR(B27*3.6/1000000/'E Balans VL '!Z9*100),0,B27*3.6/1000000/'E Balans VL '!Z9*100)</f>
        <v>0.37114881303680713</v>
      </c>
      <c r="D27" s="232" t="s">
        <v>700</v>
      </c>
      <c r="F27" s="6"/>
    </row>
    <row r="28" spans="1:18">
      <c r="A28" s="167" t="s">
        <v>51</v>
      </c>
      <c r="B28" s="33">
        <f>IF(ISERROR(TER_handel_ele_kWh/1000),0,TER_handel_ele_kWh/1000)</f>
        <v>24207.618658629559</v>
      </c>
      <c r="C28" s="39">
        <f>IF(ISERROR(B28*3.6/1000000/'E Balans VL '!Z13*100),0,B28*3.6/1000000/'E Balans VL '!Z13*100)</f>
        <v>0.70014693992555965</v>
      </c>
      <c r="D28" s="232" t="s">
        <v>700</v>
      </c>
      <c r="F28" s="6"/>
    </row>
    <row r="29" spans="1:18">
      <c r="A29" s="227" t="s">
        <v>50</v>
      </c>
      <c r="B29" s="33">
        <f>IF(ISERROR(TER_gezond_ele_kWh/1000),0,TER_gezond_ele_kWh/1000)</f>
        <v>7100.4068047018754</v>
      </c>
      <c r="C29" s="39">
        <f>IF(ISERROR(B29*3.6/1000000/'E Balans VL '!Z10*100),0,B29*3.6/1000000/'E Balans VL '!Z10*100)</f>
        <v>0.73127226729693462</v>
      </c>
      <c r="D29" s="232" t="s">
        <v>700</v>
      </c>
      <c r="F29" s="6"/>
    </row>
    <row r="30" spans="1:18">
      <c r="A30" s="227" t="s">
        <v>49</v>
      </c>
      <c r="B30" s="33">
        <f>IF(ISERROR(TER_ander_ele_kWh/1000),0,TER_ander_ele_kWh/1000)</f>
        <v>4052.6672403395301</v>
      </c>
      <c r="C30" s="39">
        <f>IF(ISERROR(B30*3.6/1000000/'E Balans VL '!Z14*100),0,B30*3.6/1000000/'E Balans VL '!Z14*100)</f>
        <v>0.18221363366130913</v>
      </c>
      <c r="D30" s="232" t="s">
        <v>700</v>
      </c>
      <c r="F30" s="6"/>
    </row>
    <row r="31" spans="1:18">
      <c r="A31" s="227" t="s">
        <v>54</v>
      </c>
      <c r="B31" s="33">
        <f>IF(ISERROR(TER_onderwijs_ele_kWh/1000),0,TER_onderwijs_ele_kWh/1000)</f>
        <v>1312.6285938584999</v>
      </c>
      <c r="C31" s="39">
        <f>IF(ISERROR(B31*3.6/1000000/'E Balans VL '!Z11*100),0,B31*3.6/1000000/'E Balans VL '!Z11*100)</f>
        <v>0.36683628112552391</v>
      </c>
      <c r="D31" s="232" t="s">
        <v>700</v>
      </c>
    </row>
    <row r="32" spans="1:18">
      <c r="A32" s="227" t="s">
        <v>248</v>
      </c>
      <c r="B32" s="33">
        <f>IF(ISERROR(TER_rest_ele_kWh/1000),0,TER_rest_ele_kWh/1000)</f>
        <v>5653.2551035666502</v>
      </c>
      <c r="C32" s="39">
        <f>IF(ISERROR(B32*3.6/1000000/'E Balans VL '!Z8*100),0,B32*3.6/1000000/'E Balans VL '!Z8*100)</f>
        <v>4.7142706986746309E-2</v>
      </c>
      <c r="D32" s="232" t="s">
        <v>700</v>
      </c>
    </row>
    <row r="33" spans="1:4">
      <c r="A33" s="235"/>
      <c r="B33" s="176"/>
      <c r="C33" s="176"/>
      <c r="D33" s="236"/>
    </row>
    <row r="34" spans="1:4">
      <c r="A34" s="32"/>
      <c r="B34" s="32"/>
      <c r="C34" s="32"/>
    </row>
    <row r="35" spans="1:4">
      <c r="A35" s="189" t="s">
        <v>465</v>
      </c>
      <c r="B35" s="199"/>
      <c r="C35" s="199"/>
      <c r="D35" s="221"/>
    </row>
    <row r="36" spans="1:4">
      <c r="A36" s="231"/>
      <c r="B36" s="32"/>
      <c r="C36" s="32"/>
      <c r="D36" s="228"/>
    </row>
    <row r="37" spans="1:4">
      <c r="A37" s="237"/>
      <c r="B37" s="238"/>
      <c r="C37" s="220" t="s">
        <v>363</v>
      </c>
      <c r="D37" s="239" t="s">
        <v>175</v>
      </c>
    </row>
    <row r="38" spans="1:4">
      <c r="A38" s="167" t="s">
        <v>254</v>
      </c>
      <c r="B38" s="309">
        <f>aantalZB_NB_ander+aantalZB_NB_ander_met_kantoor+aantalZB_NB_kantoor+aantalZB_NB_school+ZB_NHH_bestaande_bouw+aantalZB_NB_NIET_RESIDENTIEEL_EPN</f>
        <v>8</v>
      </c>
      <c r="C38" s="43"/>
      <c r="D38" s="228"/>
    </row>
    <row r="39" spans="1:4">
      <c r="A39" s="167" t="s">
        <v>462</v>
      </c>
      <c r="B39" s="305">
        <v>4.2</v>
      </c>
      <c r="C39" s="43"/>
      <c r="D39" s="299" t="s">
        <v>492</v>
      </c>
    </row>
    <row r="40" spans="1:4">
      <c r="A40" s="6" t="s">
        <v>463</v>
      </c>
      <c r="B40" s="310">
        <f>1.34/3.6</f>
        <v>0.37222222222222223</v>
      </c>
      <c r="C40" s="43" t="s">
        <v>208</v>
      </c>
      <c r="D40" s="299" t="s">
        <v>492</v>
      </c>
    </row>
    <row r="41" spans="1:4">
      <c r="A41" s="235"/>
      <c r="B41" s="176"/>
      <c r="C41" s="176"/>
      <c r="D41" s="236"/>
    </row>
    <row r="43" spans="1:4">
      <c r="A43" s="190" t="s">
        <v>466</v>
      </c>
      <c r="B43" s="199"/>
      <c r="C43" s="199"/>
      <c r="D43" s="221"/>
    </row>
    <row r="44" spans="1:4">
      <c r="A44" s="226"/>
      <c r="B44" s="32"/>
      <c r="C44" s="32"/>
      <c r="D44" s="228"/>
    </row>
    <row r="45" spans="1:4">
      <c r="A45" s="237"/>
      <c r="B45" s="238"/>
      <c r="C45" s="220" t="s">
        <v>363</v>
      </c>
      <c r="D45" s="239" t="s">
        <v>175</v>
      </c>
    </row>
    <row r="46" spans="1:4">
      <c r="A46" s="167" t="s">
        <v>254</v>
      </c>
      <c r="B46" s="521">
        <f>aantalWP_NB_ander+antalWP_NB_ander_met_kantoor+aantalWP_NB_kantoor+aantalWP_NB_school+WP_NHH_bestaande_bouw+aantalWP_NB_NIET_RESIDENTIEEL_EPN</f>
        <v>9</v>
      </c>
      <c r="C46" s="32"/>
      <c r="D46" s="228"/>
    </row>
    <row r="47" spans="1:4">
      <c r="A47" s="167" t="s">
        <v>432</v>
      </c>
      <c r="B47" s="522">
        <v>13</v>
      </c>
      <c r="C47" s="32" t="s">
        <v>251</v>
      </c>
      <c r="D47" s="299" t="s">
        <v>492</v>
      </c>
    </row>
    <row r="48" spans="1:4">
      <c r="A48" s="167" t="s">
        <v>433</v>
      </c>
      <c r="B48" s="522">
        <v>2000</v>
      </c>
      <c r="C48" s="32" t="s">
        <v>253</v>
      </c>
      <c r="D48" s="299" t="s">
        <v>492</v>
      </c>
    </row>
    <row r="49" spans="1:4">
      <c r="A49" s="167" t="s">
        <v>395</v>
      </c>
      <c r="B49" s="522">
        <v>3.75</v>
      </c>
      <c r="C49" s="32"/>
      <c r="D49" s="299" t="s">
        <v>492</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156</v>
      </c>
      <c r="B1" s="1153" t="s">
        <v>188</v>
      </c>
      <c r="C1" s="1154"/>
      <c r="D1" s="1154"/>
      <c r="E1" s="1154"/>
      <c r="F1" s="1154"/>
      <c r="G1" s="1154"/>
      <c r="H1" s="1154"/>
      <c r="I1" s="1154"/>
      <c r="J1" s="1154"/>
      <c r="K1" s="1154"/>
      <c r="L1" s="1154"/>
      <c r="M1" s="1154"/>
      <c r="N1" s="1154"/>
      <c r="O1" s="1154"/>
      <c r="P1" s="1154"/>
      <c r="R1" s="701"/>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c r="R2" s="701"/>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01"/>
    </row>
    <row r="4" spans="1:18" ht="15.75">
      <c r="A4" s="13"/>
      <c r="B4" s="14"/>
      <c r="C4" s="14"/>
      <c r="D4" s="14"/>
      <c r="E4" s="14"/>
      <c r="F4" s="14"/>
      <c r="G4" s="14"/>
      <c r="H4" s="14"/>
      <c r="I4" s="14"/>
      <c r="J4" s="14"/>
      <c r="K4" s="14"/>
      <c r="L4" s="14"/>
      <c r="M4" s="14"/>
      <c r="N4" s="14"/>
      <c r="O4" s="14"/>
      <c r="P4" s="14"/>
      <c r="R4" s="6"/>
    </row>
    <row r="5" spans="1:18">
      <c r="A5" s="16" t="s">
        <v>257</v>
      </c>
      <c r="B5" s="30">
        <f>SUM(B6:B15)</f>
        <v>88951.247994410369</v>
      </c>
      <c r="C5" s="17">
        <f>IF(ISERROR('Eigen informatie GS &amp; warmtenet'!B59),0,'Eigen informatie GS &amp; warmtenet'!B59)</f>
        <v>0</v>
      </c>
      <c r="D5" s="30">
        <f>SUM(D6:D15)</f>
        <v>89164.23376478671</v>
      </c>
      <c r="E5" s="17">
        <f>SUM(E6:E15)</f>
        <v>1242.4363784083405</v>
      </c>
      <c r="F5" s="17">
        <f>SUM(F6:F15)</f>
        <v>20726.948631358253</v>
      </c>
      <c r="G5" s="18"/>
      <c r="H5" s="17"/>
      <c r="I5" s="17"/>
      <c r="J5" s="17">
        <f>SUM(J6:J15)</f>
        <v>65.28870812124228</v>
      </c>
      <c r="K5" s="17"/>
      <c r="L5" s="17"/>
      <c r="M5" s="17"/>
      <c r="N5" s="17">
        <f>SUM(N6:N15)</f>
        <v>3176.0443744253075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3277.1186997348209</v>
      </c>
      <c r="C8" s="33"/>
      <c r="D8" s="37">
        <f>IF( ISERROR(IND_metaal_Gas_kWH/1000),0,IND_metaal_Gas_kWH/1000)*0.902</f>
        <v>1488.1284063146215</v>
      </c>
      <c r="E8" s="33">
        <f>C30*'E Balans VL '!I18/100/3.6*1000000</f>
        <v>29.740856254842832</v>
      </c>
      <c r="F8" s="33">
        <f>C30*'E Balans VL '!L18/100/3.6*1000000+C30*'E Balans VL '!N18/100/3.6*1000000</f>
        <v>301.6328336901438</v>
      </c>
      <c r="G8" s="34"/>
      <c r="H8" s="33"/>
      <c r="I8" s="33"/>
      <c r="J8" s="40">
        <f>C30*'E Balans VL '!D18/100/3.6*1000000+C30*'E Balans VL '!E18/100/3.6*1000000</f>
        <v>0</v>
      </c>
      <c r="K8" s="33"/>
      <c r="L8" s="33"/>
      <c r="M8" s="33"/>
      <c r="N8" s="33">
        <f>C30*'E Balans VL '!Y18/100/3.6*1000000</f>
        <v>47.843352327439106</v>
      </c>
      <c r="O8" s="33"/>
      <c r="P8" s="33"/>
      <c r="R8" s="32"/>
    </row>
    <row r="9" spans="1:18">
      <c r="A9" s="6" t="s">
        <v>32</v>
      </c>
      <c r="B9" s="37">
        <f t="shared" si="0"/>
        <v>20921.052169704064</v>
      </c>
      <c r="C9" s="33"/>
      <c r="D9" s="37">
        <f>IF( ISERROR(IND_andere_gas_kWh/1000),0,IND_andere_gas_kWh/1000)*0.902</f>
        <v>3674.8820112895</v>
      </c>
      <c r="E9" s="33">
        <f>C31*'E Balans VL '!I19/100/3.6*1000000</f>
        <v>121.43051487297953</v>
      </c>
      <c r="F9" s="33">
        <f>C31*'E Balans VL '!L19/100/3.6*1000000+C31*'E Balans VL '!N19/100/3.6*1000000</f>
        <v>13797.198988762586</v>
      </c>
      <c r="G9" s="34"/>
      <c r="H9" s="33"/>
      <c r="I9" s="33"/>
      <c r="J9" s="40">
        <f>C31*'E Balans VL '!D19/100/3.6*1000000+C31*'E Balans VL '!E19/100/3.6*1000000</f>
        <v>0</v>
      </c>
      <c r="K9" s="33"/>
      <c r="L9" s="33"/>
      <c r="M9" s="33"/>
      <c r="N9" s="33">
        <f>C31*'E Balans VL '!Y19/100/3.6*1000000</f>
        <v>968.87211178545454</v>
      </c>
      <c r="O9" s="33"/>
      <c r="P9" s="33"/>
      <c r="R9" s="32"/>
    </row>
    <row r="10" spans="1:18">
      <c r="A10" s="6" t="s">
        <v>40</v>
      </c>
      <c r="B10" s="37">
        <f t="shared" si="0"/>
        <v>41573.440136389974</v>
      </c>
      <c r="C10" s="33"/>
      <c r="D10" s="37">
        <f>IF( ISERROR(IND_voed_gas_kWh/1000),0,IND_voed_gas_kWh/1000)*0.902</f>
        <v>10098.756032696063</v>
      </c>
      <c r="E10" s="33">
        <f>C32*'E Balans VL '!I20/100/3.6*1000000</f>
        <v>88.103816951043186</v>
      </c>
      <c r="F10" s="33">
        <f>C32*'E Balans VL '!L20/100/3.6*1000000+C32*'E Balans VL '!N20/100/3.6*1000000</f>
        <v>2642.1638537578742</v>
      </c>
      <c r="G10" s="34"/>
      <c r="H10" s="33"/>
      <c r="I10" s="33"/>
      <c r="J10" s="40">
        <f>C32*'E Balans VL '!D20/100/3.6*1000000+C32*'E Balans VL '!E20/100/3.6*1000000</f>
        <v>0</v>
      </c>
      <c r="K10" s="33"/>
      <c r="L10" s="33"/>
      <c r="M10" s="33"/>
      <c r="N10" s="33">
        <f>C32*'E Balans VL '!Y20/100/3.6*1000000</f>
        <v>1205.1679833374153</v>
      </c>
      <c r="O10" s="33"/>
      <c r="P10" s="33"/>
      <c r="R10" s="32"/>
    </row>
    <row r="11" spans="1:18">
      <c r="A11" s="6" t="s">
        <v>39</v>
      </c>
      <c r="B11" s="37">
        <f t="shared" si="0"/>
        <v>2019.8725187661598</v>
      </c>
      <c r="C11" s="33"/>
      <c r="D11" s="37">
        <f>IF( ISERROR(IND_textiel_gas_kWh/1000),0,IND_textiel_gas_kWh/1000)*0.902</f>
        <v>0</v>
      </c>
      <c r="E11" s="33">
        <f>C33*'E Balans VL '!I21/100/3.6*1000000</f>
        <v>6.3230322633991278</v>
      </c>
      <c r="F11" s="33">
        <f>C33*'E Balans VL '!L21/100/3.6*1000000+C33*'E Balans VL '!N21/100/3.6*1000000</f>
        <v>206.46423595387986</v>
      </c>
      <c r="G11" s="34"/>
      <c r="H11" s="33"/>
      <c r="I11" s="33"/>
      <c r="J11" s="40">
        <f>C33*'E Balans VL '!D21/100/3.6*1000000+C33*'E Balans VL '!E21/100/3.6*1000000</f>
        <v>0</v>
      </c>
      <c r="K11" s="33"/>
      <c r="L11" s="33"/>
      <c r="M11" s="33"/>
      <c r="N11" s="33">
        <f>C33*'E Balans VL '!Y21/100/3.6*1000000</f>
        <v>0.27886732158023697</v>
      </c>
      <c r="O11" s="33"/>
      <c r="P11" s="33"/>
      <c r="R11" s="32"/>
    </row>
    <row r="12" spans="1:18">
      <c r="A12" s="6" t="s">
        <v>36</v>
      </c>
      <c r="B12" s="37">
        <f t="shared" si="0"/>
        <v>2521.4450628533</v>
      </c>
      <c r="C12" s="33"/>
      <c r="D12" s="37">
        <f>IF( ISERROR(IND_min_gas_kWh/1000),0,IND_min_gas_kWh/1000)*0.902</f>
        <v>119.13011634131</v>
      </c>
      <c r="E12" s="33">
        <f>C34*'E Balans VL '!I22/100/3.6*1000000</f>
        <v>61.45521236911069</v>
      </c>
      <c r="F12" s="33">
        <f>C34*'E Balans VL '!L22/100/3.6*1000000+C34*'E Balans VL '!N22/100/3.6*1000000</f>
        <v>711.27630649857326</v>
      </c>
      <c r="G12" s="34"/>
      <c r="H12" s="33"/>
      <c r="I12" s="33"/>
      <c r="J12" s="40">
        <f>C34*'E Balans VL '!D22/100/3.6*1000000+C34*'E Balans VL '!E22/100/3.6*1000000</f>
        <v>4.3108166562319568</v>
      </c>
      <c r="K12" s="33"/>
      <c r="L12" s="33"/>
      <c r="M12" s="33"/>
      <c r="N12" s="33">
        <f>C34*'E Balans VL '!Y22/100/3.6*1000000</f>
        <v>574.27605079026546</v>
      </c>
      <c r="O12" s="33"/>
      <c r="P12" s="33"/>
      <c r="R12" s="32"/>
    </row>
    <row r="13" spans="1:18">
      <c r="A13" s="6" t="s">
        <v>38</v>
      </c>
      <c r="B13" s="37">
        <f t="shared" si="0"/>
        <v>1386.1940915564439</v>
      </c>
      <c r="C13" s="33"/>
      <c r="D13" s="37">
        <f>IF( ISERROR(IND_papier_gas_kWh/1000),0,IND_papier_gas_kWh/1000)*0.902</f>
        <v>385.58429626965943</v>
      </c>
      <c r="E13" s="33">
        <f>C35*'E Balans VL '!I23/100/3.6*1000000</f>
        <v>2.0461113750092479</v>
      </c>
      <c r="F13" s="33">
        <f>C35*'E Balans VL '!L23/100/3.6*1000000+C35*'E Balans VL '!N23/100/3.6*1000000</f>
        <v>35.89824219048915</v>
      </c>
      <c r="G13" s="34"/>
      <c r="H13" s="33"/>
      <c r="I13" s="33"/>
      <c r="J13" s="40">
        <f>C35*'E Balans VL '!D23/100/3.6*1000000+C35*'E Balans VL '!E23/100/3.6*1000000</f>
        <v>0.22304534480884344</v>
      </c>
      <c r="K13" s="33"/>
      <c r="L13" s="33"/>
      <c r="M13" s="33"/>
      <c r="N13" s="33">
        <f>C35*'E Balans VL '!Y23/100/3.6*1000000</f>
        <v>-62.956732923393147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17252.125315405596</v>
      </c>
      <c r="C15" s="33"/>
      <c r="D15" s="37">
        <f>IF( ISERROR(IND_rest_gas_kWh/1000),0,IND_rest_gas_kWh/1000)*0.902</f>
        <v>73397.752901875559</v>
      </c>
      <c r="E15" s="33">
        <f>C37*'E Balans VL '!I15/100/3.6*1000000</f>
        <v>933.33683432195585</v>
      </c>
      <c r="F15" s="33">
        <f>C37*'E Balans VL '!L15/100/3.6*1000000+C37*'E Balans VL '!N15/100/3.6*1000000</f>
        <v>3032.314170504706</v>
      </c>
      <c r="G15" s="34"/>
      <c r="H15" s="33"/>
      <c r="I15" s="33"/>
      <c r="J15" s="40">
        <f>C37*'E Balans VL '!D15/100/3.6*1000000+C37*'E Balans VL '!E15/100/3.6*1000000</f>
        <v>60.754846120201478</v>
      </c>
      <c r="K15" s="33"/>
      <c r="L15" s="33"/>
      <c r="M15" s="33"/>
      <c r="N15" s="33">
        <f>C37*'E Balans VL '!Y15/100/3.6*1000000</f>
        <v>442.56274178654604</v>
      </c>
      <c r="O15" s="33"/>
      <c r="P15" s="33"/>
      <c r="R15" s="32"/>
    </row>
    <row r="16" spans="1:18">
      <c r="A16" s="16" t="s">
        <v>473</v>
      </c>
      <c r="B16" s="242">
        <f>'lokale energieproductie'!N42+'lokale energieproductie'!N35</f>
        <v>0</v>
      </c>
      <c r="C16" s="242">
        <f>'lokale energieproductie'!O42+'lokale energieproductie'!O35</f>
        <v>0</v>
      </c>
      <c r="D16" s="300">
        <f>('lokale energieproductie'!P35+'lokale energieproductie'!P42)*(-1)</f>
        <v>0</v>
      </c>
      <c r="E16" s="243"/>
      <c r="F16" s="300">
        <f>('lokale energieproductie'!S35+'lokale energieproductie'!S42)*(-1)</f>
        <v>0</v>
      </c>
      <c r="G16" s="244"/>
      <c r="H16" s="243"/>
      <c r="I16" s="243"/>
      <c r="J16" s="243"/>
      <c r="K16" s="243"/>
      <c r="L16" s="300">
        <f>('lokale energieproductie'!T35+'lokale energieproductie'!U35+'lokale energieproductie'!T42+'lokale energieproductie'!U42)*(-1)</f>
        <v>0</v>
      </c>
      <c r="M16" s="243"/>
      <c r="N16" s="300">
        <f>('lokale energieproductie'!Q35+'lokale energieproductie'!R35+'lokale energieproductie'!V35+'lokale energieproductie'!Q42+'lokale energieproductie'!R42+'lokale energieproductie'!V42)*(-1)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266</v>
      </c>
      <c r="B18" s="21">
        <f>B5+B16</f>
        <v>88951.247994410369</v>
      </c>
      <c r="C18" s="21">
        <f>C5+C16</f>
        <v>0</v>
      </c>
      <c r="D18" s="21">
        <f>MAX((D5+D16),0)</f>
        <v>89164.23376478671</v>
      </c>
      <c r="E18" s="21">
        <f>MAX((E5+E16),0)</f>
        <v>1242.4363784083405</v>
      </c>
      <c r="F18" s="21">
        <f>MAX((F5+F16),0)</f>
        <v>20726.948631358253</v>
      </c>
      <c r="G18" s="21"/>
      <c r="H18" s="21"/>
      <c r="I18" s="21"/>
      <c r="J18" s="21">
        <f>MAX((J5+J16),0)</f>
        <v>65.28870812124228</v>
      </c>
      <c r="K18" s="21"/>
      <c r="L18" s="21">
        <f>MAX((L5+L16),0)</f>
        <v>0</v>
      </c>
      <c r="M18" s="21"/>
      <c r="N18" s="21">
        <f>MAX((N5+N16),0)</f>
        <v>3176.0443744253075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0.18985386689719377</v>
      </c>
      <c r="C20" s="25">
        <f ca="1">'EF ele_warmte'!B22</f>
        <v>0.17078684180239098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16887.738397070061</v>
      </c>
      <c r="C22" s="23">
        <f ca="1">C18*C20</f>
        <v>0</v>
      </c>
      <c r="D22" s="23">
        <f>D18*D20</f>
        <v>18011.175220486915</v>
      </c>
      <c r="E22" s="23">
        <f>E18*E20</f>
        <v>282.0330578986933</v>
      </c>
      <c r="F22" s="23">
        <f>F18*F20</f>
        <v>5534.0952845726542</v>
      </c>
      <c r="G22" s="23"/>
      <c r="H22" s="23"/>
      <c r="I22" s="23"/>
      <c r="J22" s="23">
        <f>J18*J20</f>
        <v>23.112202674919764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472</v>
      </c>
      <c r="B25" s="199"/>
      <c r="C25" s="199"/>
      <c r="D25" s="221"/>
    </row>
    <row r="26" spans="1:18">
      <c r="A26" s="231"/>
      <c r="B26" s="32"/>
      <c r="C26" s="32"/>
      <c r="D26" s="232"/>
    </row>
    <row r="27" spans="1:18">
      <c r="A27" s="233"/>
      <c r="B27" s="220" t="s">
        <v>255</v>
      </c>
      <c r="C27" s="220" t="s">
        <v>256</v>
      </c>
      <c r="D27" s="234" t="s">
        <v>175</v>
      </c>
    </row>
    <row r="28" spans="1:18">
      <c r="A28" s="167" t="s">
        <v>34</v>
      </c>
      <c r="B28" s="37"/>
      <c r="C28" s="39"/>
      <c r="D28" s="232" t="s">
        <v>700</v>
      </c>
    </row>
    <row r="29" spans="1:18">
      <c r="A29" s="167" t="s">
        <v>37</v>
      </c>
      <c r="B29" s="37">
        <f>IF( ISERROR(IND_nonf_ele_kWh/1000),0,IND_nonf_ele_kWh/1000)</f>
        <v>0</v>
      </c>
      <c r="C29" s="39">
        <f>IF(ISERROR(B29*3.6/1000000/'E Balans VL '!Z17*100),0,B29*3.6/1000000/'E Balans VL '!Z17*100)</f>
        <v>0</v>
      </c>
      <c r="D29" s="232" t="s">
        <v>700</v>
      </c>
    </row>
    <row r="30" spans="1:18">
      <c r="A30" s="167" t="s">
        <v>35</v>
      </c>
      <c r="B30" s="37">
        <f>IF( ISERROR(IND_metaal_ele_kWh/1000),0,IND_metaal_ele_kWh/1000)</f>
        <v>3277.1186997348209</v>
      </c>
      <c r="C30" s="39">
        <f>IF(ISERROR(B30*3.6/1000000/'E Balans VL '!Z18*100),0,B30*3.6/1000000/'E Balans VL '!Z18*100)</f>
        <v>0.1900519720059847</v>
      </c>
      <c r="D30" s="232" t="s">
        <v>700</v>
      </c>
    </row>
    <row r="31" spans="1:18">
      <c r="A31" s="6" t="s">
        <v>32</v>
      </c>
      <c r="B31" s="37">
        <f>IF( ISERROR(IND_ander_ele_kWh/1000),0,IND_ander_ele_kWh/1000)</f>
        <v>20921.052169704064</v>
      </c>
      <c r="C31" s="39">
        <f>IF(ISERROR(B31*3.6/1000000/'E Balans VL '!Z19*100),0,B31*3.6/1000000/'E Balans VL '!Z19*100)</f>
        <v>0.87374186625605332</v>
      </c>
      <c r="D31" s="232" t="s">
        <v>700</v>
      </c>
    </row>
    <row r="32" spans="1:18">
      <c r="A32" s="167" t="s">
        <v>40</v>
      </c>
      <c r="B32" s="37">
        <f>IF( ISERROR(IND_voed_ele_kWh/1000),0,IND_voed_ele_kWh/1000)</f>
        <v>41573.440136389974</v>
      </c>
      <c r="C32" s="39">
        <f>IF(ISERROR(B32*3.6/1000000/'E Balans VL '!Z20*100),0,B32*3.6/1000000/'E Balans VL '!Z20*100)</f>
        <v>1.2894443090631587</v>
      </c>
      <c r="D32" s="232" t="s">
        <v>700</v>
      </c>
    </row>
    <row r="33" spans="1:5">
      <c r="A33" s="167" t="s">
        <v>39</v>
      </c>
      <c r="B33" s="37">
        <f>IF( ISERROR(IND_textiel_ele_kWh/1000),0,IND_textiel_ele_kWh/1000)</f>
        <v>2019.8725187661598</v>
      </c>
      <c r="C33" s="39">
        <f>IF(ISERROR(B33*3.6/1000000/'E Balans VL '!Z21*100),0,B33*3.6/1000000/'E Balans VL '!Z21*100)</f>
        <v>0.2799560395116712</v>
      </c>
      <c r="D33" s="232" t="s">
        <v>700</v>
      </c>
    </row>
    <row r="34" spans="1:5">
      <c r="A34" s="167" t="s">
        <v>36</v>
      </c>
      <c r="B34" s="37">
        <f>IF( ISERROR(IND_min_ele_kWh/1000),0,IND_min_ele_kWh/1000)</f>
        <v>2521.4450628533</v>
      </c>
      <c r="C34" s="39">
        <f>IF(ISERROR(B34*3.6/1000000/'E Balans VL '!Z22*100),0,B34*3.6/1000000/'E Balans VL '!Z22*100)</f>
        <v>0.47184372035375816</v>
      </c>
      <c r="D34" s="232" t="s">
        <v>700</v>
      </c>
    </row>
    <row r="35" spans="1:5">
      <c r="A35" s="167" t="s">
        <v>38</v>
      </c>
      <c r="B35" s="37">
        <f>IF( ISERROR(IND_papier_ele_kWh/1000),0,IND_papier_ele_kWh/1000)</f>
        <v>1386.1940915564439</v>
      </c>
      <c r="C35" s="39">
        <f>IF(ISERROR(B35*3.6/1000000/'E Balans VL '!Z22*100),0,B35*3.6/1000000/'E Balans VL '!Z22*100)</f>
        <v>0.25940163715176873</v>
      </c>
      <c r="D35" s="232" t="s">
        <v>700</v>
      </c>
    </row>
    <row r="36" spans="1:5">
      <c r="A36" s="167" t="s">
        <v>33</v>
      </c>
      <c r="B36" s="37">
        <f>IF( ISERROR(IND_chemie_ele_kWh/1000),0,IND_chemie_ele_kWh/1000)</f>
        <v>0</v>
      </c>
      <c r="C36" s="39">
        <f>IF(ISERROR(B36*3.6/1000000/'E Balans VL '!Z24*100),0,B36*3.6/1000000/'E Balans VL '!Z24*100)</f>
        <v>0</v>
      </c>
      <c r="D36" s="232" t="s">
        <v>700</v>
      </c>
    </row>
    <row r="37" spans="1:5">
      <c r="A37" s="167" t="s">
        <v>258</v>
      </c>
      <c r="B37" s="37">
        <f>IF( ISERROR(IND_rest_ele_kWh/1000),0,IND_rest_ele_kWh/1000)</f>
        <v>17252.125315405596</v>
      </c>
      <c r="C37" s="39">
        <f>IF(ISERROR(B37*3.6/1000000/'E Balans VL '!Z15*100),0,B37*3.6/1000000/'E Balans VL '!Z15*100)</f>
        <v>0.13451377860718733</v>
      </c>
      <c r="D37" s="232" t="s">
        <v>700</v>
      </c>
    </row>
    <row r="38" spans="1:5">
      <c r="A38" s="235"/>
      <c r="B38" s="176"/>
      <c r="C38" s="176"/>
      <c r="D38" s="236"/>
    </row>
    <row r="39" spans="1:5">
      <c r="A39" s="227"/>
      <c r="B39" s="32"/>
      <c r="C39" s="32"/>
      <c r="D39" s="32"/>
      <c r="E39" s="32"/>
    </row>
    <row r="40" spans="1:5">
      <c r="A40" s="189" t="s">
        <v>465</v>
      </c>
      <c r="B40" s="199"/>
      <c r="C40" s="199"/>
      <c r="D40" s="221"/>
    </row>
    <row r="41" spans="1:5">
      <c r="A41" s="231"/>
      <c r="B41" s="32"/>
      <c r="C41" s="32"/>
      <c r="D41" s="228"/>
    </row>
    <row r="42" spans="1:5">
      <c r="A42" s="237"/>
      <c r="B42" s="238"/>
      <c r="C42" s="220" t="s">
        <v>363</v>
      </c>
      <c r="D42" s="239" t="s">
        <v>175</v>
      </c>
    </row>
    <row r="43" spans="1:5">
      <c r="A43" s="167" t="s">
        <v>254</v>
      </c>
      <c r="B43" s="309">
        <f>aantalZB_NB_industrie+aantalZB_NB_industrie_met_kantoor</f>
        <v>0</v>
      </c>
      <c r="C43" s="43"/>
      <c r="D43" s="228"/>
    </row>
    <row r="44" spans="1:5">
      <c r="A44" s="167" t="s">
        <v>462</v>
      </c>
      <c r="B44" s="305">
        <v>4.2</v>
      </c>
      <c r="C44" s="43"/>
      <c r="D44" s="299" t="s">
        <v>492</v>
      </c>
    </row>
    <row r="45" spans="1:5">
      <c r="A45" s="6" t="s">
        <v>463</v>
      </c>
      <c r="B45" s="310">
        <f>1.34/3.6</f>
        <v>0.37222222222222223</v>
      </c>
      <c r="C45" s="43" t="s">
        <v>208</v>
      </c>
      <c r="D45" s="299" t="s">
        <v>492</v>
      </c>
    </row>
    <row r="46" spans="1:5" s="32" customFormat="1">
      <c r="A46" s="171"/>
      <c r="B46" s="241"/>
      <c r="C46" s="176"/>
      <c r="D46" s="236"/>
    </row>
    <row r="48" spans="1:5">
      <c r="A48" s="190" t="s">
        <v>466</v>
      </c>
      <c r="B48" s="199"/>
      <c r="C48" s="199"/>
      <c r="D48" s="221"/>
    </row>
    <row r="49" spans="1:4">
      <c r="A49" s="226"/>
      <c r="B49" s="32"/>
      <c r="C49" s="32"/>
      <c r="D49" s="228"/>
    </row>
    <row r="50" spans="1:4">
      <c r="A50" s="237"/>
      <c r="B50" s="238"/>
      <c r="C50" s="220" t="s">
        <v>363</v>
      </c>
      <c r="D50" s="239" t="s">
        <v>175</v>
      </c>
    </row>
    <row r="51" spans="1:4">
      <c r="A51" s="167" t="s">
        <v>254</v>
      </c>
      <c r="B51" s="309">
        <f>aantalWP_NB_industrie+AantalWP_NB_industrie_met_kantoor</f>
        <v>0</v>
      </c>
      <c r="C51" s="32"/>
      <c r="D51" s="228"/>
    </row>
    <row r="52" spans="1:4">
      <c r="A52" s="167" t="s">
        <v>250</v>
      </c>
      <c r="B52" s="305">
        <v>13</v>
      </c>
      <c r="C52" s="32" t="s">
        <v>251</v>
      </c>
      <c r="D52" s="299" t="s">
        <v>492</v>
      </c>
    </row>
    <row r="53" spans="1:4">
      <c r="A53" s="167" t="s">
        <v>252</v>
      </c>
      <c r="B53" s="305">
        <v>2000</v>
      </c>
      <c r="C53" s="32" t="s">
        <v>253</v>
      </c>
      <c r="D53" s="299" t="s">
        <v>492</v>
      </c>
    </row>
    <row r="54" spans="1:4">
      <c r="A54" s="167" t="s">
        <v>395</v>
      </c>
      <c r="B54" s="305">
        <v>3.75</v>
      </c>
      <c r="C54" s="32"/>
      <c r="D54" s="299" t="s">
        <v>492</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6" customFormat="1" ht="17.25" thickTop="1" thickBot="1">
      <c r="A1" s="1152" t="s">
        <v>259</v>
      </c>
      <c r="B1" s="1153" t="s">
        <v>188</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8700.6679359847058</v>
      </c>
      <c r="C5" s="17">
        <f>'Eigen informatie GS &amp; warmtenet'!B60</f>
        <v>0</v>
      </c>
      <c r="D5" s="30">
        <f>IF(ISERROR(SUM(LB_lb_gas_kWh,LB_rest_gas_kWh)/1000),0,SUM(LB_lb_gas_kWh,LB_rest_gas_kWh)/1000)*0.902</f>
        <v>80833.957423592321</v>
      </c>
      <c r="E5" s="17">
        <f>B17*'E Balans VL '!I25/3.6*1000000/100</f>
        <v>282.36527591894571</v>
      </c>
      <c r="F5" s="17">
        <f>B17*('E Balans VL '!L25/3.6*1000000+'E Balans VL '!N25/3.6*1000000)/100</f>
        <v>32098.452353874502</v>
      </c>
      <c r="G5" s="18"/>
      <c r="H5" s="17"/>
      <c r="I5" s="17"/>
      <c r="J5" s="17">
        <f>('E Balans VL '!D25+'E Balans VL '!E25)/3.6*1000000*landbouw!B17/100</f>
        <v>2288.1857137912311</v>
      </c>
      <c r="K5" s="17"/>
      <c r="L5" s="17">
        <f>L6*(-1)</f>
        <v>0</v>
      </c>
      <c r="M5" s="17"/>
      <c r="N5" s="17">
        <f>N6*(-1)</f>
        <v>72102.857142857145</v>
      </c>
      <c r="O5" s="17"/>
      <c r="P5" s="17"/>
      <c r="R5" s="32"/>
    </row>
    <row r="6" spans="1:18">
      <c r="A6" s="16" t="s">
        <v>473</v>
      </c>
      <c r="B6" s="17" t="s">
        <v>204</v>
      </c>
      <c r="C6" s="17">
        <f>'lokale energieproductie'!O44+'lokale energieproductie'!O37</f>
        <v>128140.71428571429</v>
      </c>
      <c r="D6" s="300">
        <f>('lokale energieproductie'!P37+'lokale energieproductie'!P44)*(-1)</f>
        <v>-184178.57142857145</v>
      </c>
      <c r="E6" s="243"/>
      <c r="F6" s="300">
        <f>('lokale energieproductie'!S37+'lokale energieproductie'!S44)*(-1)</f>
        <v>0</v>
      </c>
      <c r="G6" s="244"/>
      <c r="H6" s="243"/>
      <c r="I6" s="243"/>
      <c r="J6" s="243"/>
      <c r="K6" s="243"/>
      <c r="L6" s="300">
        <f>('lokale energieproductie'!T37+'lokale energieproductie'!U37+'lokale energieproductie'!T44+'lokale energieproductie'!U44)*(-1)</f>
        <v>0</v>
      </c>
      <c r="M6" s="243"/>
      <c r="N6" s="300">
        <f>('lokale energieproductie'!V37+'lokale energieproductie'!R37+'lokale energieproductie'!Q37+'lokale energieproductie'!Q44+'lokale energieproductie'!R44+'lokale energieproductie'!V44)*(-1)</f>
        <v>-72102.857142857145</v>
      </c>
      <c r="O6" s="243"/>
      <c r="P6" s="243"/>
      <c r="R6" s="32"/>
    </row>
    <row r="7" spans="1:18">
      <c r="A7" s="32"/>
      <c r="B7" s="29"/>
      <c r="C7" s="29"/>
      <c r="D7" s="245"/>
      <c r="E7" s="29"/>
      <c r="F7" s="29"/>
      <c r="G7" s="28"/>
      <c r="H7" s="29"/>
      <c r="I7" s="29"/>
      <c r="J7" s="29"/>
      <c r="K7" s="29"/>
      <c r="L7" s="29"/>
      <c r="M7" s="29"/>
      <c r="N7" s="29"/>
      <c r="O7" s="29"/>
      <c r="P7" s="29"/>
      <c r="R7" s="32"/>
    </row>
    <row r="8" spans="1:18">
      <c r="A8" s="20" t="s">
        <v>261</v>
      </c>
      <c r="B8" s="21">
        <f>B5</f>
        <v>8700.6679359847058</v>
      </c>
      <c r="C8" s="21">
        <f>C5+C6</f>
        <v>128140.71428571429</v>
      </c>
      <c r="D8" s="21">
        <f>MAX((D5+D6),0)</f>
        <v>0</v>
      </c>
      <c r="E8" s="21">
        <f>MAX((E5+E6),0)</f>
        <v>282.36527591894571</v>
      </c>
      <c r="F8" s="21">
        <f>MAX((F5+F6),0)</f>
        <v>32098.452353874502</v>
      </c>
      <c r="G8" s="21"/>
      <c r="H8" s="21"/>
      <c r="I8" s="21"/>
      <c r="J8" s="21">
        <f>MAX((J5+J6),0)</f>
        <v>2288.1857137912311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0.18985386689719377</v>
      </c>
      <c r="C10" s="31">
        <f ca="1">'EF ele_warmte'!B22</f>
        <v>0.17078684180239098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1651.8554522351219</v>
      </c>
      <c r="C12" s="23">
        <f ca="1">C8*C10</f>
        <v>21884.747899159669</v>
      </c>
      <c r="D12" s="23">
        <f>D8*D10</f>
        <v>0</v>
      </c>
      <c r="E12" s="23">
        <f>E8*E10</f>
        <v>64.096917633600683</v>
      </c>
      <c r="F12" s="23">
        <f>F8*F10</f>
        <v>8570.286778484493</v>
      </c>
      <c r="G12" s="23"/>
      <c r="H12" s="23"/>
      <c r="I12" s="23"/>
      <c r="J12" s="23">
        <f>J8*J10</f>
        <v>810.01774268209579</v>
      </c>
      <c r="K12" s="23"/>
      <c r="L12" s="23">
        <f>L8*L10</f>
        <v>0</v>
      </c>
      <c r="M12" s="23">
        <f>M8*M10</f>
        <v>0</v>
      </c>
      <c r="N12" s="23">
        <f>N8*N10</f>
        <v>0</v>
      </c>
      <c r="O12" s="23"/>
      <c r="P12" s="23"/>
    </row>
    <row r="14" spans="1:18">
      <c r="A14" s="189" t="s">
        <v>479</v>
      </c>
      <c r="B14" s="199"/>
      <c r="C14" s="221"/>
    </row>
    <row r="15" spans="1:18">
      <c r="A15" s="231"/>
      <c r="B15" s="32"/>
      <c r="C15" s="232"/>
    </row>
    <row r="16" spans="1:18">
      <c r="A16" s="250"/>
      <c r="B16" s="42" t="s">
        <v>280</v>
      </c>
      <c r="C16" s="234" t="s">
        <v>175</v>
      </c>
    </row>
    <row r="17" spans="1:4">
      <c r="A17" s="251" t="s">
        <v>105</v>
      </c>
      <c r="B17" s="249">
        <f>IF(ISERROR(SUM(LB_lb_ele_kWh,LB_rest_ele_kWh)*3.6/1000000000/'E Balans VL '!Z26*100),0,SUM(LB_lb_ele_kWh,LB_rest_ele_kWh)*3.6/1000000000/'E Balans VL '!Z26*100)</f>
        <v>1.2346520776293897</v>
      </c>
      <c r="C17" s="232" t="s">
        <v>697</v>
      </c>
      <c r="D17" s="247"/>
    </row>
    <row r="18" spans="1:4">
      <c r="A18" s="235"/>
      <c r="B18" s="248"/>
      <c r="C18" s="236"/>
    </row>
    <row r="19" spans="1:4">
      <c r="A19" s="32"/>
      <c r="B19" s="48"/>
      <c r="C19" s="32"/>
    </row>
    <row r="20" spans="1:4">
      <c r="A20" s="32"/>
      <c r="B20" s="48"/>
      <c r="C20" s="32"/>
    </row>
    <row r="21" spans="1:4" ht="15.75" thickBot="1">
      <c r="B21" s="32"/>
    </row>
    <row r="22" spans="1:4" ht="15.75" customHeight="1">
      <c r="A22" s="1160" t="s">
        <v>291</v>
      </c>
      <c r="B22" s="1163" t="s">
        <v>292</v>
      </c>
      <c r="C22" s="1163" t="s">
        <v>478</v>
      </c>
    </row>
    <row r="23" spans="1:4">
      <c r="A23" s="1161"/>
      <c r="B23" s="1164"/>
      <c r="C23" s="1164"/>
    </row>
    <row r="24" spans="1:4" ht="15.75" thickBot="1">
      <c r="A24" s="1162"/>
      <c r="B24" s="1165"/>
      <c r="C24" s="1165"/>
    </row>
    <row r="25" spans="1:4" ht="15.75">
      <c r="A25" s="13"/>
      <c r="B25" s="32"/>
    </row>
    <row r="26" spans="1:4">
      <c r="A26" s="41" t="s">
        <v>262</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1355.0582482290361</v>
      </c>
      <c r="C26" s="242">
        <f>B26*'GWP N2O_CH4'!B5</f>
        <v>28456.223212809757</v>
      </c>
      <c r="D26" s="50"/>
    </row>
    <row r="27" spans="1:4">
      <c r="A27" s="41" t="s">
        <v>263</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623.73140394082668</v>
      </c>
      <c r="C27" s="242">
        <f>B27*'GWP N2O_CH4'!B5</f>
        <v>13098.35948275736</v>
      </c>
      <c r="D27" s="50"/>
    </row>
    <row r="28" spans="1:4">
      <c r="A28" s="41" t="s">
        <v>264</v>
      </c>
      <c r="B28" s="242">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20.645826717138238</v>
      </c>
      <c r="C28" s="242">
        <f>B28*'GWP N2O_CH4'!B4</f>
        <v>6400.2062823128535</v>
      </c>
      <c r="D28" s="50"/>
    </row>
    <row r="29" spans="1:4">
      <c r="A29" s="41" t="s">
        <v>265</v>
      </c>
      <c r="B29" s="242">
        <f>B34*'ha_N2O bodem landbouw'!B4</f>
        <v>52.703149614809931</v>
      </c>
      <c r="C29" s="242">
        <f>B29*'GWP N2O_CH4'!B4</f>
        <v>16337.976380591079</v>
      </c>
      <c r="D29" s="50"/>
    </row>
    <row r="31" spans="1:4">
      <c r="A31" s="189" t="s">
        <v>480</v>
      </c>
      <c r="B31" s="199"/>
      <c r="C31" s="221"/>
    </row>
    <row r="32" spans="1:4">
      <c r="A32" s="231"/>
      <c r="B32" s="32"/>
      <c r="C32" s="232"/>
    </row>
    <row r="33" spans="1:5">
      <c r="A33" s="233"/>
      <c r="B33" s="220" t="s">
        <v>585</v>
      </c>
      <c r="C33" s="234" t="s">
        <v>175</v>
      </c>
    </row>
    <row r="34" spans="1:5">
      <c r="A34" s="252" t="s">
        <v>105</v>
      </c>
      <c r="B34" s="35">
        <f>IF(ISERROR(aantalCultuurgronden/'ha_N2O bodem landbouw'!B5),0,aantalCultuurgronden/'ha_N2O bodem landbouw'!B5)</f>
        <v>1.2026677118966171E-2</v>
      </c>
      <c r="C34" s="862" t="s">
        <v>734</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6" customFormat="1" ht="17.25" thickTop="1" thickBot="1">
      <c r="A1" s="1152" t="s">
        <v>482</v>
      </c>
      <c r="B1" s="1153" t="s">
        <v>530</v>
      </c>
      <c r="C1" s="1154"/>
      <c r="D1" s="1154"/>
      <c r="E1" s="1154"/>
      <c r="F1" s="1154"/>
      <c r="G1" s="1154"/>
      <c r="H1" s="1154"/>
      <c r="I1" s="1154"/>
      <c r="J1" s="1154"/>
      <c r="K1" s="1154"/>
      <c r="L1" s="1154"/>
      <c r="M1" s="1154"/>
      <c r="N1" s="1154"/>
      <c r="O1" s="1154"/>
      <c r="P1" s="1154"/>
    </row>
    <row r="2" spans="1:18" s="306" customFormat="1" ht="15.75" thickTop="1">
      <c r="A2" s="1152"/>
      <c r="B2" s="1155" t="s">
        <v>20</v>
      </c>
      <c r="C2" s="1155" t="s">
        <v>189</v>
      </c>
      <c r="D2" s="1157" t="s">
        <v>190</v>
      </c>
      <c r="E2" s="1158"/>
      <c r="F2" s="1158"/>
      <c r="G2" s="1158"/>
      <c r="H2" s="1158"/>
      <c r="I2" s="1158"/>
      <c r="J2" s="1158"/>
      <c r="K2" s="1159"/>
      <c r="L2" s="1157" t="s">
        <v>191</v>
      </c>
      <c r="M2" s="1158"/>
      <c r="N2" s="1158"/>
      <c r="O2" s="1158"/>
      <c r="P2" s="1159"/>
    </row>
    <row r="3" spans="1:18" s="306" customFormat="1" ht="45">
      <c r="A3" s="1152"/>
      <c r="B3" s="1156"/>
      <c r="C3" s="1156"/>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79" t="s">
        <v>316</v>
      </c>
      <c r="B5" s="412">
        <f>SUM(B6:B11)</f>
        <v>8.7227401871485522E-4</v>
      </c>
      <c r="C5" s="427" t="s">
        <v>204</v>
      </c>
      <c r="D5" s="412">
        <f>SUM(D6:D11)</f>
        <v>1.3931545840234708E-3</v>
      </c>
      <c r="E5" s="412">
        <f>SUM(E6:E11)</f>
        <v>2.6208836059217651E-3</v>
      </c>
      <c r="F5" s="425" t="s">
        <v>204</v>
      </c>
      <c r="G5" s="412">
        <f>SUM(G6:G11)</f>
        <v>1.2490512681618795</v>
      </c>
      <c r="H5" s="412">
        <f>SUM(H6:H11)</f>
        <v>0.24483858573818276</v>
      </c>
      <c r="I5" s="427" t="s">
        <v>204</v>
      </c>
      <c r="J5" s="427" t="s">
        <v>204</v>
      </c>
      <c r="K5" s="427" t="s">
        <v>204</v>
      </c>
      <c r="L5" s="427" t="s">
        <v>204</v>
      </c>
      <c r="M5" s="412">
        <f>SUM(M6:M11)</f>
        <v>8.018444768963337E-2</v>
      </c>
      <c r="N5" s="427" t="s">
        <v>204</v>
      </c>
      <c r="O5" s="427" t="s">
        <v>204</v>
      </c>
      <c r="P5" s="428" t="s">
        <v>204</v>
      </c>
    </row>
    <row r="6" spans="1:18">
      <c r="A6" s="256" t="s">
        <v>618</v>
      </c>
      <c r="B6" s="81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2.7967663710365566E-4</v>
      </c>
      <c r="C6" s="413"/>
      <c r="D6" s="81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4.7255885252872723E-4</v>
      </c>
      <c r="E6" s="818">
        <f>vkm_GW_PW*SUMIFS(TableVerdeelsleutelVkm[LPG],TableVerdeelsleutelVkm[Voertuigtype],"Lichte voertuigen")*SUMIFS(TableECFTransport[EnergieConsumptieFactor (PJ per km)],TableECFTransport[Index],CONCATENATE($A6,"_LPG_LPG"))</f>
        <v>8.2144930890802983E-4</v>
      </c>
      <c r="F6" s="415"/>
      <c r="G6" s="8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0.24879521002830396</v>
      </c>
      <c r="H6" s="81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8.1932826930636346E-2</v>
      </c>
      <c r="I6" s="413"/>
      <c r="J6" s="413"/>
      <c r="K6" s="413"/>
      <c r="L6" s="413"/>
      <c r="M6" s="41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1.6948145711278596E-2</v>
      </c>
      <c r="N6" s="413"/>
      <c r="O6" s="413"/>
      <c r="P6" s="414"/>
    </row>
    <row r="7" spans="1:18">
      <c r="A7" s="256" t="s">
        <v>619</v>
      </c>
      <c r="B7" s="81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5.1202356992528018E-6</v>
      </c>
      <c r="C7" s="413"/>
      <c r="D7" s="818">
        <f>vkm_GW_ZV*SUMIFS(TableVerdeelsleutelVkm[CNG],TableVerdeelsleutelVkm[Voertuigtype],"Zware voertuigen")*SUMIFS(TableECFTransport[EnergieConsumptieFactor (PJ per km)],TableECFTransport[Index],CONCATENATE($A7,"_CNG_CNG"))</f>
        <v>0</v>
      </c>
      <c r="E7" s="818">
        <f>vkm_GW_ZV*SUMIFS(TableVerdeelsleutelVkm[LPG],TableVerdeelsleutelVkm[Voertuigtype],"Zware voertuigen")*SUMIFS(TableECFTransport[EnergieConsumptieFactor (PJ per km)],TableECFTransport[Index],CONCATENATE($A7,"_LPG_LPG"))</f>
        <v>0</v>
      </c>
      <c r="F7" s="415"/>
      <c r="G7" s="8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0.16446320343630305</v>
      </c>
      <c r="H7" s="81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3.2811916232887644E-6</v>
      </c>
      <c r="I7" s="413"/>
      <c r="J7" s="413"/>
      <c r="K7" s="413"/>
      <c r="L7" s="413"/>
      <c r="M7" s="41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9.6088697100675368E-3</v>
      </c>
      <c r="N7" s="413"/>
      <c r="O7" s="413"/>
      <c r="P7" s="414"/>
      <c r="R7" s="815"/>
    </row>
    <row r="8" spans="1:18">
      <c r="A8" s="256" t="s">
        <v>620</v>
      </c>
      <c r="B8" s="41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1.647386487178031E-4</v>
      </c>
      <c r="C8" s="413"/>
      <c r="D8" s="415">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3.5637666431379114E-4</v>
      </c>
      <c r="E8" s="415">
        <f>vkm_NGW_PW*SUMIFS(TableVerdeelsleutelVkm[LPG],TableVerdeelsleutelVkm[Voertuigtype],"Lichte voertuigen")*SUMIFS(TableECFTransport[EnergieConsumptieFactor (PJ per km)],TableECFTransport[Index],CONCATENATE($A8,"_LPG_LPG"))</f>
        <v>5.9140299955995693E-4</v>
      </c>
      <c r="F8" s="415"/>
      <c r="G8" s="41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0.1672838442170371</v>
      </c>
      <c r="H8" s="81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6.0362996498960916E-2</v>
      </c>
      <c r="I8" s="413"/>
      <c r="J8" s="413"/>
      <c r="K8" s="413"/>
      <c r="L8" s="413"/>
      <c r="M8" s="41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1.1550779124924112E-2</v>
      </c>
      <c r="N8" s="413"/>
      <c r="O8" s="413"/>
      <c r="P8" s="414"/>
      <c r="R8" s="815"/>
    </row>
    <row r="9" spans="1:18">
      <c r="A9" s="256" t="s">
        <v>621</v>
      </c>
      <c r="B9" s="41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1.3073427332165889E-6</v>
      </c>
      <c r="C9" s="413"/>
      <c r="D9" s="415">
        <f>vkm_NGW_ZV*SUMIFS(TableVerdeelsleutelVkm[CNG],TableVerdeelsleutelVkm[Voertuigtype],"Zware voertuigen")*SUMIFS(TableECFTransport[EnergieConsumptieFactor (PJ per km)],TableECFTransport[Index],CONCATENATE($A9,"_CNG_CNG"))</f>
        <v>0</v>
      </c>
      <c r="E9" s="415">
        <f>vkm_NGW_ZV*SUMIFS(TableVerdeelsleutelVkm[LPG],TableVerdeelsleutelVkm[Voertuigtype],"Zware voertuigen")*SUMIFS(TableECFTransport[EnergieConsumptieFactor (PJ per km)],TableECFTransport[Index],CONCATENATE($A9,"_LPG_LPG"))</f>
        <v>0</v>
      </c>
      <c r="F9" s="415"/>
      <c r="G9" s="41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5.3878725721088372E-2</v>
      </c>
      <c r="H9" s="81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1.0112244095940522E-6</v>
      </c>
      <c r="I9" s="413"/>
      <c r="J9" s="413"/>
      <c r="K9" s="413"/>
      <c r="L9" s="413"/>
      <c r="M9" s="41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3.1478977443621659E-3</v>
      </c>
      <c r="N9" s="413"/>
      <c r="O9" s="413"/>
      <c r="P9" s="414"/>
      <c r="R9" s="815"/>
    </row>
    <row r="10" spans="1:18">
      <c r="A10" s="256" t="s">
        <v>622</v>
      </c>
      <c r="B10" s="41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4.121528767588548E-4</v>
      </c>
      <c r="C10" s="413"/>
      <c r="D10" s="415">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5.6421906718095256E-4</v>
      </c>
      <c r="E10" s="415">
        <f>vkm_SW_PW*SUMIFS(TableVerdeelsleutelVkm[LPG],TableVerdeelsleutelVkm[Voertuigtype],"Lichte voertuigen")*SUMIFS(TableECFTransport[EnergieConsumptieFactor (PJ per km)],TableECFTransport[Index],CONCATENATE($A10,"_LPG_LPG"))</f>
        <v>1.208031297453778E-3</v>
      </c>
      <c r="F10" s="415"/>
      <c r="G10" s="41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0.33077066163414437</v>
      </c>
      <c r="H10" s="81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0.10253235006129907</v>
      </c>
      <c r="I10" s="413"/>
      <c r="J10" s="413"/>
      <c r="K10" s="413"/>
      <c r="L10" s="413"/>
      <c r="M10" s="41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2.2344058710942971E-2</v>
      </c>
      <c r="N10" s="413"/>
      <c r="O10" s="413"/>
      <c r="P10" s="414"/>
      <c r="R10" s="815"/>
    </row>
    <row r="11" spans="1:18">
      <c r="A11" s="4" t="s">
        <v>623</v>
      </c>
      <c r="B11" s="41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9.2782777020722836E-6</v>
      </c>
      <c r="C11" s="416"/>
      <c r="D11" s="417">
        <f>vkm_SW_ZV*SUMIFS(TableVerdeelsleutelVkm[CNG],TableVerdeelsleutelVkm[Voertuigtype],"Zware voertuigen")*SUMIFS(TableECFTransport[EnergieConsumptieFactor (PJ per km)],TableECFTransport[Index],CONCATENATE($A11,"_CNG_CNG"))</f>
        <v>0</v>
      </c>
      <c r="E11" s="417">
        <f>vkm_SW_ZV*SUMIFS(TableVerdeelsleutelVkm[LPG],TableVerdeelsleutelVkm[Voertuigtype],"Zware voertuigen")*SUMIFS(TableECFTransport[EnergieConsumptieFactor (PJ per km)],TableECFTransport[Index],CONCATENATE($A11,"_LPG_LPG"))</f>
        <v>0</v>
      </c>
      <c r="F11" s="417"/>
      <c r="G11" s="41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0.28385962312500262</v>
      </c>
      <c r="H11" s="81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6.119831253534776E-6</v>
      </c>
      <c r="I11" s="416"/>
      <c r="J11" s="416"/>
      <c r="K11" s="416"/>
      <c r="L11" s="416"/>
      <c r="M11" s="41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1.6584696688057985E-2</v>
      </c>
      <c r="N11" s="416"/>
      <c r="O11" s="416"/>
      <c r="P11" s="418"/>
      <c r="R11" s="815"/>
    </row>
    <row r="12" spans="1:18">
      <c r="A12" s="321" t="s">
        <v>528</v>
      </c>
      <c r="B12" s="426">
        <f>('Eigen vloot'!B27)*(-1)</f>
        <v>0</v>
      </c>
      <c r="C12" s="426"/>
      <c r="D12" s="426">
        <f>('Eigen vloot'!D27)*(-1)</f>
        <v>0</v>
      </c>
      <c r="E12" s="426">
        <f>('Eigen vloot'!E27)*(-1)</f>
        <v>0</v>
      </c>
      <c r="F12" s="419"/>
      <c r="G12" s="426">
        <f>('Eigen vloot'!G27)*(-1)</f>
        <v>0</v>
      </c>
      <c r="H12" s="426">
        <f>('Eigen vloot'!H27)*(-1)</f>
        <v>0</v>
      </c>
      <c r="I12" s="426"/>
      <c r="J12" s="426"/>
      <c r="K12" s="426"/>
      <c r="L12" s="426"/>
      <c r="M12" s="426">
        <f>('Eigen vloot'!M27)*(-1)</f>
        <v>0</v>
      </c>
      <c r="N12" s="426"/>
      <c r="O12" s="426"/>
      <c r="P12" s="429"/>
    </row>
    <row r="13" spans="1:18">
      <c r="B13" s="11"/>
      <c r="C13" s="55"/>
      <c r="D13" s="55"/>
      <c r="E13" s="55"/>
      <c r="F13" s="55"/>
      <c r="G13" s="11"/>
      <c r="H13" s="11"/>
      <c r="I13" s="10"/>
      <c r="J13" s="11"/>
      <c r="K13" s="11"/>
      <c r="L13" s="11"/>
      <c r="M13" s="11"/>
      <c r="N13" s="11"/>
      <c r="O13" s="11"/>
      <c r="P13" s="11"/>
    </row>
    <row r="14" spans="1:18" s="15" customFormat="1">
      <c r="A14" s="20" t="s">
        <v>324</v>
      </c>
      <c r="B14" s="21">
        <f>((B5)*10^9/3600)+B12</f>
        <v>242.29833853190422</v>
      </c>
      <c r="C14" s="21"/>
      <c r="D14" s="21">
        <f t="shared" ref="D14:M14" si="0">((D5)*10^9/3600)+D12</f>
        <v>386.9873844509641</v>
      </c>
      <c r="E14" s="21">
        <f t="shared" si="0"/>
        <v>728.02322386715696</v>
      </c>
      <c r="F14" s="21"/>
      <c r="G14" s="21">
        <f t="shared" si="0"/>
        <v>346958.68560052209</v>
      </c>
      <c r="H14" s="21">
        <f t="shared" si="0"/>
        <v>68010.718260606314</v>
      </c>
      <c r="I14" s="21"/>
      <c r="J14" s="21"/>
      <c r="K14" s="21"/>
      <c r="L14" s="21"/>
      <c r="M14" s="21">
        <f t="shared" si="0"/>
        <v>22273.457691564825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0.18985386689719377</v>
      </c>
      <c r="C16" s="56">
        <f ca="1">'EF ele_warmte'!B22</f>
        <v>0.17078684180239098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46.001276513047344</v>
      </c>
      <c r="C18" s="23"/>
      <c r="D18" s="23">
        <f t="shared" ref="D18:M18" si="1">D14*D16</f>
        <v>78.171451659094757</v>
      </c>
      <c r="E18" s="23">
        <f t="shared" si="1"/>
        <v>165.26127181784463</v>
      </c>
      <c r="F18" s="23"/>
      <c r="G18" s="23">
        <f t="shared" si="1"/>
        <v>92637.969055339403</v>
      </c>
      <c r="H18" s="23">
        <f t="shared" si="1"/>
        <v>16934.668846890971</v>
      </c>
      <c r="I18" s="23"/>
      <c r="J18" s="23"/>
      <c r="K18" s="23"/>
      <c r="L18" s="23"/>
      <c r="M18" s="23">
        <f t="shared" si="1"/>
        <v>0</v>
      </c>
      <c r="N18" s="23"/>
      <c r="O18" s="23"/>
      <c r="P18" s="23"/>
    </row>
    <row r="19" spans="1:18" s="15" customFormat="1">
      <c r="A19" s="42"/>
      <c r="B19" s="301"/>
      <c r="C19" s="54"/>
      <c r="D19" s="54"/>
      <c r="E19" s="54"/>
      <c r="F19" s="54"/>
      <c r="G19" s="54"/>
      <c r="H19" s="54"/>
      <c r="I19" s="54"/>
      <c r="J19" s="54"/>
      <c r="K19" s="54"/>
      <c r="L19" s="54"/>
      <c r="M19" s="54"/>
      <c r="N19" s="54"/>
      <c r="O19" s="54"/>
      <c r="P19" s="54"/>
      <c r="R19" s="32"/>
    </row>
    <row r="20" spans="1:18">
      <c r="A20" s="1"/>
      <c r="B20" s="1"/>
      <c r="E20" s="707"/>
    </row>
    <row r="21" spans="1:18">
      <c r="A21" s="257" t="s">
        <v>484</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296</v>
      </c>
      <c r="B23" s="849" t="s">
        <v>297</v>
      </c>
      <c r="C23" s="849" t="s">
        <v>624</v>
      </c>
      <c r="D23" s="849" t="s">
        <v>625</v>
      </c>
      <c r="E23" s="849" t="s">
        <v>626</v>
      </c>
      <c r="F23" s="849" t="s">
        <v>609</v>
      </c>
      <c r="G23" s="849" t="s">
        <v>627</v>
      </c>
      <c r="H23" s="849" t="s">
        <v>628</v>
      </c>
      <c r="I23" s="849" t="s">
        <v>112</v>
      </c>
      <c r="J23" s="849" t="s">
        <v>629</v>
      </c>
      <c r="K23" s="849" t="s">
        <v>630</v>
      </c>
      <c r="L23" s="850" t="s">
        <v>631</v>
      </c>
      <c r="M23" s="128" t="s">
        <v>175</v>
      </c>
      <c r="N23" s="263" t="s">
        <v>304</v>
      </c>
    </row>
    <row r="24" spans="1:18">
      <c r="A24" s="32" t="s">
        <v>616</v>
      </c>
      <c r="B24" s="1003">
        <v>1.1744852610297558E-3</v>
      </c>
      <c r="C24" s="1003">
        <v>0.75300030716009481</v>
      </c>
      <c r="D24" s="1003" t="s">
        <v>828</v>
      </c>
      <c r="E24" s="1003">
        <v>2.4183854788358016E-4</v>
      </c>
      <c r="F24" s="1004"/>
      <c r="G24" s="1003">
        <v>1.4770756621128669E-3</v>
      </c>
      <c r="H24" s="1003" t="s">
        <v>828</v>
      </c>
      <c r="I24" s="1003">
        <v>2.2853416642858513E-3</v>
      </c>
      <c r="J24" s="1003">
        <v>0.23521087711882394</v>
      </c>
      <c r="K24" s="1003">
        <v>4.8840007886888845E-3</v>
      </c>
      <c r="L24" s="1003">
        <v>1.7260737970802649E-3</v>
      </c>
      <c r="M24" s="994" t="s">
        <v>867</v>
      </c>
      <c r="N24" s="817">
        <f>SUM(B24:L24)</f>
        <v>0.99999999999999989</v>
      </c>
      <c r="O24" s="815"/>
    </row>
    <row r="25" spans="1:18">
      <c r="A25" s="32" t="s">
        <v>617</v>
      </c>
      <c r="B25" s="1003" t="s">
        <v>828</v>
      </c>
      <c r="C25" s="1003">
        <v>0.99990409596836416</v>
      </c>
      <c r="D25" s="1003" t="s">
        <v>828</v>
      </c>
      <c r="E25" s="1003" t="s">
        <v>828</v>
      </c>
      <c r="F25" s="1004"/>
      <c r="G25" s="1003">
        <v>6.5520928984051478E-5</v>
      </c>
      <c r="H25" s="1003" t="s">
        <v>828</v>
      </c>
      <c r="I25" s="1003" t="s">
        <v>828</v>
      </c>
      <c r="J25" s="1003">
        <v>3.0383102651685939E-5</v>
      </c>
      <c r="K25" s="1003" t="s">
        <v>828</v>
      </c>
      <c r="L25" s="1003" t="s">
        <v>828</v>
      </c>
      <c r="M25" s="994" t="s">
        <v>867</v>
      </c>
      <c r="N25" s="817">
        <f>SUM(B25:L25)</f>
        <v>0.99999999999999989</v>
      </c>
    </row>
    <row r="26" spans="1:18">
      <c r="A26" s="235"/>
      <c r="B26" s="176"/>
      <c r="C26" s="176"/>
      <c r="D26" s="176"/>
      <c r="E26" s="176"/>
      <c r="F26" s="176"/>
      <c r="G26" s="176"/>
      <c r="H26" s="176"/>
      <c r="I26" s="176"/>
      <c r="J26" s="176"/>
      <c r="K26" s="176"/>
      <c r="L26" s="174"/>
      <c r="M26" s="174"/>
      <c r="N26" s="172"/>
    </row>
    <row r="27" spans="1:18" s="43" customFormat="1"/>
    <row r="28" spans="1:18">
      <c r="A28" s="257" t="s">
        <v>485</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1" t="s">
        <v>195</v>
      </c>
      <c r="B30" s="268" t="s">
        <v>305</v>
      </c>
      <c r="C30" s="814">
        <v>2016</v>
      </c>
      <c r="D30" s="268" t="s">
        <v>306</v>
      </c>
      <c r="E30" s="238" t="s">
        <v>175</v>
      </c>
      <c r="F30" s="265"/>
      <c r="G30" s="238"/>
      <c r="H30" s="238"/>
      <c r="I30" s="238"/>
      <c r="J30" s="238"/>
      <c r="K30" s="238"/>
      <c r="L30" s="266"/>
    </row>
    <row r="31" spans="1:18">
      <c r="A31" s="269" t="s">
        <v>307</v>
      </c>
      <c r="B31" s="270"/>
      <c r="F31" s="53"/>
      <c r="G31" s="43"/>
      <c r="H31" s="43"/>
      <c r="I31" s="43"/>
      <c r="J31" s="43"/>
      <c r="K31" s="43"/>
      <c r="L31" s="170"/>
    </row>
    <row r="32" spans="1:18">
      <c r="A32" s="271" t="s">
        <v>308</v>
      </c>
      <c r="B32" s="272"/>
      <c r="F32" s="53"/>
      <c r="G32" s="43"/>
      <c r="H32" s="43"/>
      <c r="I32" s="43"/>
      <c r="J32" s="43"/>
      <c r="K32" s="43"/>
      <c r="L32" s="170"/>
    </row>
    <row r="33" spans="1:16">
      <c r="A33" s="271" t="s">
        <v>309</v>
      </c>
      <c r="B33" s="273"/>
      <c r="F33" s="53"/>
      <c r="G33" s="43"/>
      <c r="H33" s="43"/>
      <c r="I33" s="43"/>
      <c r="J33" s="43"/>
      <c r="K33" s="43"/>
      <c r="L33" s="170"/>
    </row>
    <row r="34" spans="1:16">
      <c r="A34" s="271" t="s">
        <v>310</v>
      </c>
      <c r="B34" s="273"/>
      <c r="F34" s="53"/>
      <c r="G34" s="43"/>
      <c r="H34" s="43"/>
      <c r="I34" s="43"/>
      <c r="J34" s="43"/>
      <c r="K34" s="43"/>
      <c r="L34" s="170"/>
    </row>
    <row r="35" spans="1:16">
      <c r="A35" s="271" t="s">
        <v>311</v>
      </c>
      <c r="B35" s="273"/>
      <c r="C35" s="275">
        <v>5.5199999999999999E-2</v>
      </c>
      <c r="D35" s="58"/>
      <c r="E35" s="995" t="s">
        <v>843</v>
      </c>
      <c r="F35" s="53"/>
      <c r="G35" s="43"/>
      <c r="H35" s="43"/>
      <c r="I35" s="43"/>
      <c r="J35" s="43"/>
      <c r="K35" s="43"/>
      <c r="L35" s="170"/>
    </row>
    <row r="36" spans="1:16">
      <c r="A36" s="256"/>
      <c r="B36" s="43"/>
      <c r="C36" s="43"/>
      <c r="D36" s="43"/>
      <c r="E36" s="153"/>
      <c r="F36" s="53"/>
      <c r="G36" s="43"/>
      <c r="H36" s="43"/>
      <c r="I36" s="43"/>
      <c r="J36" s="43"/>
      <c r="K36" s="43"/>
      <c r="L36" s="170"/>
    </row>
    <row r="37" spans="1:16">
      <c r="A37" s="411" t="s">
        <v>113</v>
      </c>
      <c r="B37" s="268" t="s">
        <v>305</v>
      </c>
      <c r="C37" s="814">
        <f>C30</f>
        <v>2016</v>
      </c>
      <c r="D37" s="268" t="s">
        <v>306</v>
      </c>
      <c r="E37" s="848" t="s">
        <v>175</v>
      </c>
      <c r="F37" s="278"/>
      <c r="G37" s="262"/>
      <c r="H37" s="262"/>
      <c r="I37" s="262"/>
      <c r="J37" s="262"/>
      <c r="K37" s="262"/>
      <c r="L37" s="263"/>
    </row>
    <row r="38" spans="1:16">
      <c r="A38" s="271" t="s">
        <v>312</v>
      </c>
      <c r="B38" s="272"/>
      <c r="F38" s="274"/>
      <c r="G38" s="58"/>
      <c r="H38" s="58"/>
      <c r="I38" s="58"/>
      <c r="J38" s="58"/>
      <c r="K38" s="58"/>
      <c r="L38" s="276"/>
    </row>
    <row r="39" spans="1:16">
      <c r="A39" s="271" t="s">
        <v>313</v>
      </c>
      <c r="B39" s="272"/>
      <c r="F39" s="274"/>
      <c r="G39" s="58"/>
      <c r="H39" s="58"/>
      <c r="I39" s="58"/>
      <c r="J39" s="58"/>
      <c r="K39" s="58"/>
      <c r="L39" s="276"/>
    </row>
    <row r="40" spans="1:16">
      <c r="A40" s="271" t="s">
        <v>309</v>
      </c>
      <c r="B40" s="273"/>
      <c r="F40" s="58"/>
      <c r="G40" s="58"/>
      <c r="H40" s="58"/>
      <c r="I40" s="58"/>
      <c r="J40" s="58"/>
      <c r="K40" s="58"/>
      <c r="L40" s="276"/>
    </row>
    <row r="41" spans="1:16">
      <c r="A41" s="271" t="s">
        <v>314</v>
      </c>
      <c r="B41" s="273"/>
      <c r="F41" s="58"/>
      <c r="G41" s="58"/>
      <c r="H41" s="58"/>
      <c r="I41" s="58"/>
      <c r="J41" s="58"/>
      <c r="K41" s="58"/>
      <c r="L41" s="276"/>
    </row>
    <row r="42" spans="1:16">
      <c r="A42" s="271" t="s">
        <v>311</v>
      </c>
      <c r="B42" s="273"/>
      <c r="C42" s="275">
        <v>2.86E-2</v>
      </c>
      <c r="D42" s="274"/>
      <c r="E42" s="996" t="str">
        <f>E35</f>
        <v>Data VMM 2020</v>
      </c>
      <c r="F42" s="58"/>
      <c r="G42" s="277"/>
      <c r="H42" s="58"/>
      <c r="I42" s="58"/>
      <c r="J42" s="58"/>
      <c r="K42" s="58"/>
      <c r="L42" s="276"/>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66" t="s">
        <v>483</v>
      </c>
      <c r="B46" s="1167" t="s">
        <v>529</v>
      </c>
      <c r="C46" s="1168"/>
      <c r="D46" s="1168"/>
      <c r="E46" s="1168"/>
      <c r="F46" s="1168"/>
      <c r="G46" s="1168"/>
      <c r="H46" s="1168"/>
      <c r="I46" s="1168"/>
      <c r="J46" s="1168"/>
      <c r="K46" s="1168"/>
      <c r="L46" s="1168"/>
      <c r="M46" s="1168"/>
      <c r="N46" s="1168"/>
      <c r="O46" s="1168"/>
      <c r="P46" s="1168"/>
    </row>
    <row r="47" spans="1:16" s="15" customFormat="1" ht="15.75" thickTop="1">
      <c r="A47" s="1166"/>
      <c r="B47" s="1169" t="s">
        <v>20</v>
      </c>
      <c r="C47" s="1169" t="s">
        <v>189</v>
      </c>
      <c r="D47" s="1171" t="s">
        <v>190</v>
      </c>
      <c r="E47" s="1172"/>
      <c r="F47" s="1172"/>
      <c r="G47" s="1172"/>
      <c r="H47" s="1172"/>
      <c r="I47" s="1172"/>
      <c r="J47" s="1172"/>
      <c r="K47" s="1173"/>
      <c r="L47" s="1171" t="s">
        <v>191</v>
      </c>
      <c r="M47" s="1172"/>
      <c r="N47" s="1172"/>
      <c r="O47" s="1172"/>
      <c r="P47" s="1173"/>
    </row>
    <row r="48" spans="1:16" s="15" customFormat="1" ht="45">
      <c r="A48" s="1166"/>
      <c r="B48" s="1170"/>
      <c r="C48" s="1170"/>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1" customFormat="1">
      <c r="A50" s="290" t="s">
        <v>319</v>
      </c>
      <c r="B50" s="311">
        <f>SUM(B51:B52)</f>
        <v>8.8666827715479078E-5</v>
      </c>
      <c r="C50" s="311">
        <f t="shared" ref="C50:P50" si="2">SUM(C51:C52)</f>
        <v>0</v>
      </c>
      <c r="D50" s="311">
        <f t="shared" si="2"/>
        <v>0</v>
      </c>
      <c r="E50" s="311">
        <f t="shared" si="2"/>
        <v>0</v>
      </c>
      <c r="F50" s="311">
        <f t="shared" si="2"/>
        <v>0</v>
      </c>
      <c r="G50" s="311">
        <f t="shared" si="2"/>
        <v>8.3293685201413087E-3</v>
      </c>
      <c r="H50" s="311">
        <f t="shared" si="2"/>
        <v>0</v>
      </c>
      <c r="I50" s="311">
        <f t="shared" si="2"/>
        <v>0</v>
      </c>
      <c r="J50" s="311">
        <f t="shared" si="2"/>
        <v>0</v>
      </c>
      <c r="K50" s="311">
        <f t="shared" si="2"/>
        <v>0</v>
      </c>
      <c r="L50" s="311">
        <f t="shared" si="2"/>
        <v>0</v>
      </c>
      <c r="M50" s="311">
        <f t="shared" si="2"/>
        <v>4.7966332427470357E-4</v>
      </c>
      <c r="N50" s="311">
        <f t="shared" si="2"/>
        <v>0</v>
      </c>
      <c r="O50" s="311">
        <f t="shared" si="2"/>
        <v>0</v>
      </c>
      <c r="P50" s="312">
        <f t="shared" si="2"/>
        <v>0</v>
      </c>
    </row>
    <row r="51" spans="1:18">
      <c r="A51" s="256" t="s">
        <v>318</v>
      </c>
      <c r="B51" s="313">
        <f>vkm_bus
*($B$65*(SUMIFS(TableECFTransport[EnergieConsumptieFactor (PJ per km)],TableECFTransport[Index],"BUS_Niet-genummerde wegen_DIESEL HYBRID PHEV_ELECTRIC")*0.5+SUMIFS(TableECFTransport[EnergieConsumptieFactor (PJ per km)],TableECFTransport[Index],"BUS_Genummerde wegen_DIESEL HYBRID PHEV_ELECTRIC")*0.5))</f>
        <v>8.8666827715479078E-5</v>
      </c>
      <c r="C51" s="314"/>
      <c r="D51" s="314"/>
      <c r="E51" s="314"/>
      <c r="F51" s="314"/>
      <c r="G51" s="31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8.3293685201413087E-3</v>
      </c>
      <c r="H51" s="313"/>
      <c r="I51" s="315"/>
      <c r="J51" s="313"/>
      <c r="K51" s="313"/>
      <c r="L51" s="313"/>
      <c r="M51" s="31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4.7966332427470357E-4</v>
      </c>
      <c r="N51" s="313"/>
      <c r="O51" s="313"/>
      <c r="P51" s="316"/>
    </row>
    <row r="52" spans="1:18">
      <c r="A52" s="4" t="s">
        <v>317</v>
      </c>
      <c r="B52" s="819">
        <f>vkm_tram*SUMIFS(TableECFTransport[EnergieConsumptieFactor (PJ per km)],TableECFTransport[Index],"Tram_gemiddeld_Electric_Electric")</f>
        <v>0</v>
      </c>
      <c r="C52" s="318"/>
      <c r="D52" s="318"/>
      <c r="E52" s="318"/>
      <c r="F52" s="318"/>
      <c r="G52" s="317"/>
      <c r="H52" s="317"/>
      <c r="I52" s="319"/>
      <c r="J52" s="317"/>
      <c r="K52" s="317"/>
      <c r="L52" s="317"/>
      <c r="M52" s="317"/>
      <c r="N52" s="317"/>
      <c r="O52" s="317"/>
      <c r="P52" s="320"/>
    </row>
    <row r="53" spans="1:18">
      <c r="B53" s="11"/>
      <c r="C53" s="55"/>
      <c r="D53" s="55"/>
      <c r="E53" s="55"/>
      <c r="F53" s="55"/>
      <c r="G53" s="11"/>
      <c r="H53" s="11"/>
      <c r="I53" s="10"/>
      <c r="J53" s="11"/>
      <c r="K53" s="11"/>
      <c r="L53" s="11"/>
      <c r="M53" s="11"/>
      <c r="N53" s="11"/>
      <c r="O53" s="11"/>
      <c r="P53" s="11"/>
    </row>
    <row r="54" spans="1:18" s="15" customFormat="1">
      <c r="A54" s="20" t="s">
        <v>325</v>
      </c>
      <c r="B54" s="21">
        <f>(B50)*10^9/3600</f>
        <v>24.629674365410857</v>
      </c>
      <c r="C54" s="21">
        <f t="shared" ref="C54:P54" si="3">(C50)*10^9/3600</f>
        <v>0</v>
      </c>
      <c r="D54" s="21">
        <f t="shared" si="3"/>
        <v>0</v>
      </c>
      <c r="E54" s="21">
        <f t="shared" si="3"/>
        <v>0</v>
      </c>
      <c r="F54" s="21">
        <f t="shared" si="3"/>
        <v>0</v>
      </c>
      <c r="G54" s="21">
        <f t="shared" si="3"/>
        <v>2313.7134778170303</v>
      </c>
      <c r="H54" s="21">
        <f t="shared" si="3"/>
        <v>0</v>
      </c>
      <c r="I54" s="21">
        <f t="shared" si="3"/>
        <v>0</v>
      </c>
      <c r="J54" s="21">
        <f t="shared" si="3"/>
        <v>0</v>
      </c>
      <c r="K54" s="21">
        <f t="shared" si="3"/>
        <v>0</v>
      </c>
      <c r="L54" s="21">
        <f t="shared" si="3"/>
        <v>0</v>
      </c>
      <c r="M54" s="21">
        <f t="shared" si="3"/>
        <v>133.23981229852876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0.18985386689719377</v>
      </c>
      <c r="C56" s="56">
        <f ca="1">'EF ele_warmte'!B22</f>
        <v>0.17078684180239098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4.6760389186919387</v>
      </c>
      <c r="C58" s="23">
        <f t="shared" ref="C58:P58" ca="1" si="4">C54*C56</f>
        <v>0</v>
      </c>
      <c r="D58" s="23">
        <f t="shared" si="4"/>
        <v>0</v>
      </c>
      <c r="E58" s="23">
        <f t="shared" si="4"/>
        <v>0</v>
      </c>
      <c r="F58" s="23">
        <f t="shared" si="4"/>
        <v>0</v>
      </c>
      <c r="G58" s="23">
        <f t="shared" si="4"/>
        <v>617.76149857714711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543</v>
      </c>
      <c r="B61" s="259"/>
      <c r="C61" s="260"/>
    </row>
    <row r="62" spans="1:18" s="15" customFormat="1">
      <c r="A62" s="286"/>
      <c r="B62" s="282"/>
      <c r="C62" s="287"/>
    </row>
    <row r="63" spans="1:18">
      <c r="A63" s="288"/>
      <c r="B63" s="132"/>
      <c r="C63" s="289" t="s">
        <v>175</v>
      </c>
    </row>
    <row r="64" spans="1:18">
      <c r="A64" s="280" t="s">
        <v>195</v>
      </c>
      <c r="B64" s="283">
        <f>100%-B65</f>
        <v>0.95640000000000003</v>
      </c>
      <c r="C64" s="170"/>
    </row>
    <row r="65" spans="1:12">
      <c r="A65" s="280" t="s">
        <v>827</v>
      </c>
      <c r="B65" s="1002">
        <v>4.36E-2</v>
      </c>
      <c r="C65" s="170" t="s">
        <v>703</v>
      </c>
    </row>
    <row r="66" spans="1:12" s="15" customFormat="1">
      <c r="A66" s="281"/>
      <c r="B66" s="264"/>
      <c r="C66" s="228"/>
    </row>
    <row r="67" spans="1:12">
      <c r="A67" s="284" t="s">
        <v>304</v>
      </c>
      <c r="B67" s="285">
        <f>SUM(B64:B65)</f>
        <v>1</v>
      </c>
      <c r="C67" s="172"/>
    </row>
    <row r="70" spans="1:12">
      <c r="A70" s="257" t="s">
        <v>485</v>
      </c>
      <c r="B70" s="259"/>
      <c r="C70" s="259"/>
      <c r="D70" s="259"/>
      <c r="E70" s="259"/>
      <c r="F70" s="259"/>
      <c r="G70" s="259"/>
      <c r="H70" s="259"/>
      <c r="I70" s="259"/>
      <c r="J70" s="259"/>
      <c r="K70" s="259"/>
      <c r="L70" s="260"/>
    </row>
    <row r="71" spans="1:12">
      <c r="A71" s="409" t="s">
        <v>544</v>
      </c>
    </row>
    <row r="72" spans="1:12">
      <c r="A72" s="256"/>
      <c r="B72" s="261"/>
      <c r="C72" s="261"/>
      <c r="D72" s="261"/>
      <c r="E72" s="261"/>
    </row>
    <row r="73" spans="1:12">
      <c r="A73" s="267"/>
      <c r="B73" s="268" t="s">
        <v>305</v>
      </c>
      <c r="C73" s="814">
        <f>C30</f>
        <v>2016</v>
      </c>
      <c r="D73" s="268" t="s">
        <v>306</v>
      </c>
      <c r="E73" s="238" t="s">
        <v>175</v>
      </c>
    </row>
    <row r="74" spans="1:12">
      <c r="A74" t="str">
        <f t="shared" ref="A74:A75" si="5">A31</f>
        <v>diesel</v>
      </c>
      <c r="B74" s="408"/>
    </row>
    <row r="75" spans="1:12">
      <c r="A75" t="str">
        <f t="shared" si="5"/>
        <v>biodiesel</v>
      </c>
      <c r="B75" s="408"/>
    </row>
    <row r="76" spans="1:12">
      <c r="A76" t="str">
        <f>A33</f>
        <v>vol% liter</v>
      </c>
      <c r="B76" s="408"/>
    </row>
    <row r="77" spans="1:12">
      <c r="A77" t="str">
        <f>A34</f>
        <v>gew% kg</v>
      </c>
      <c r="B77" s="408"/>
    </row>
    <row r="78" spans="1:12">
      <c r="A78" t="str">
        <f>A35</f>
        <v>J%</v>
      </c>
      <c r="B78" s="408"/>
      <c r="C78" s="410">
        <f>C35</f>
        <v>5.5199999999999999E-2</v>
      </c>
      <c r="D78" s="408"/>
      <c r="E78" t="str">
        <f>E35</f>
        <v>Data VMM 2020</v>
      </c>
    </row>
    <row r="79" spans="1:12">
      <c r="B79" s="408"/>
      <c r="C79" s="408"/>
      <c r="D79" s="40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6"/>
  <sheetViews>
    <sheetView showGridLines="0" zoomScale="70" zoomScaleNormal="70" workbookViewId="0">
      <selection activeCell="A28" sqref="A28:XFD34"/>
    </sheetView>
  </sheetViews>
  <sheetFormatPr defaultColWidth="9.140625" defaultRowHeight="15"/>
  <cols>
    <col min="1" max="1" width="38" style="592" customWidth="1"/>
    <col min="2" max="2" width="27" style="592" customWidth="1"/>
    <col min="3" max="3" width="25.42578125" style="592" customWidth="1"/>
    <col min="4" max="4" width="41.28515625" style="592" customWidth="1"/>
    <col min="5" max="5" width="27.5703125" style="592" customWidth="1"/>
    <col min="6" max="7" width="18" style="592" customWidth="1"/>
    <col min="8" max="8" width="23.42578125" style="592" customWidth="1"/>
    <col min="9" max="9" width="28.5703125" style="592" customWidth="1"/>
    <col min="10" max="10" width="35.28515625" style="592" customWidth="1"/>
    <col min="11" max="11" width="32.7109375" style="592" customWidth="1"/>
    <col min="12" max="14" width="23.85546875" style="592" customWidth="1"/>
    <col min="15" max="15" width="21.140625" style="592" customWidth="1"/>
    <col min="16" max="16" width="17.5703125" style="592" customWidth="1"/>
    <col min="17" max="17" width="22.85546875" style="592" customWidth="1"/>
    <col min="18" max="18" width="19.140625" style="592" customWidth="1"/>
    <col min="19" max="19" width="24.7109375" style="592" customWidth="1"/>
    <col min="20" max="20" width="9.140625" style="592"/>
    <col min="21" max="21" width="21.140625" style="592" customWidth="1"/>
    <col min="22" max="22" width="14.85546875" style="592" customWidth="1"/>
    <col min="23" max="24" width="16.140625" style="592" customWidth="1"/>
    <col min="25" max="25" width="14.7109375" style="592" customWidth="1"/>
    <col min="26" max="27" width="16.140625" style="592" customWidth="1"/>
    <col min="28" max="28" width="17.28515625" style="592" customWidth="1"/>
    <col min="29" max="29" width="16.85546875" style="592" customWidth="1"/>
    <col min="30" max="16384" width="9.140625" style="592"/>
  </cols>
  <sheetData>
    <row r="1" spans="1:21" s="523" customFormat="1" ht="17.45" customHeight="1" thickTop="1" thickBot="1">
      <c r="A1" s="1187" t="s">
        <v>229</v>
      </c>
      <c r="B1" s="1177" t="s">
        <v>230</v>
      </c>
      <c r="C1" s="1195" t="s">
        <v>231</v>
      </c>
      <c r="D1" s="1196"/>
      <c r="E1" s="1196"/>
      <c r="F1" s="1196"/>
      <c r="G1" s="1196"/>
      <c r="H1" s="1196"/>
      <c r="I1" s="1196"/>
      <c r="J1" s="1196"/>
      <c r="K1" s="1196"/>
      <c r="L1" s="1196"/>
      <c r="M1" s="1196"/>
      <c r="N1" s="1197"/>
      <c r="O1" s="1174" t="s">
        <v>232</v>
      </c>
      <c r="P1" s="1177" t="s">
        <v>531</v>
      </c>
      <c r="Q1" s="1174"/>
      <c r="S1" s="1182"/>
      <c r="T1" s="1182"/>
      <c r="U1" s="1182"/>
    </row>
    <row r="2" spans="1:21" s="523" customFormat="1" ht="15.75" thickBot="1">
      <c r="A2" s="1188"/>
      <c r="B2" s="1188"/>
      <c r="C2" s="1190" t="s">
        <v>190</v>
      </c>
      <c r="D2" s="1191"/>
      <c r="E2" s="1191"/>
      <c r="F2" s="1191"/>
      <c r="G2" s="1192"/>
      <c r="H2" s="1193" t="s">
        <v>233</v>
      </c>
      <c r="I2" s="1185" t="s">
        <v>234</v>
      </c>
      <c r="J2" s="1185" t="s">
        <v>222</v>
      </c>
      <c r="K2" s="1185" t="s">
        <v>235</v>
      </c>
      <c r="L2" s="1185" t="s">
        <v>120</v>
      </c>
      <c r="M2" s="1185" t="s">
        <v>780</v>
      </c>
      <c r="N2" s="1198" t="s">
        <v>781</v>
      </c>
      <c r="O2" s="1175"/>
      <c r="P2" s="1178"/>
      <c r="Q2" s="1175"/>
      <c r="S2" s="1182"/>
      <c r="T2" s="1182"/>
      <c r="U2" s="1182"/>
    </row>
    <row r="3" spans="1:21" s="523" customFormat="1" ht="53.45" customHeight="1" thickBot="1">
      <c r="A3" s="1189"/>
      <c r="B3" s="1179"/>
      <c r="C3" s="524" t="s">
        <v>192</v>
      </c>
      <c r="D3" s="924" t="s">
        <v>193</v>
      </c>
      <c r="E3" s="525" t="s">
        <v>194</v>
      </c>
      <c r="F3" s="526" t="s">
        <v>196</v>
      </c>
      <c r="G3" s="527" t="s">
        <v>197</v>
      </c>
      <c r="H3" s="1194"/>
      <c r="I3" s="1186"/>
      <c r="J3" s="1186"/>
      <c r="K3" s="1186"/>
      <c r="L3" s="1186"/>
      <c r="M3" s="1186"/>
      <c r="N3" s="1199"/>
      <c r="O3" s="1176"/>
      <c r="P3" s="1179"/>
      <c r="Q3" s="1176"/>
      <c r="S3" s="1182"/>
      <c r="T3" s="1182"/>
      <c r="U3" s="1182"/>
    </row>
    <row r="4" spans="1:21" s="523" customFormat="1" ht="15.75" thickTop="1">
      <c r="A4" s="528" t="s">
        <v>237</v>
      </c>
      <c r="B4" s="529">
        <f>IF(ISERROR(kWh_wind_land),0,kWh_wind_land)</f>
        <v>0</v>
      </c>
      <c r="C4" s="1200"/>
      <c r="D4" s="1203"/>
      <c r="E4" s="1203"/>
      <c r="F4" s="1206"/>
      <c r="G4" s="1209"/>
      <c r="H4" s="1212"/>
      <c r="I4" s="1203"/>
      <c r="J4" s="1203"/>
      <c r="K4" s="1203"/>
      <c r="L4" s="1203"/>
      <c r="M4" s="1203"/>
      <c r="N4" s="959"/>
      <c r="O4" s="530"/>
      <c r="P4" s="1215"/>
      <c r="Q4" s="1216"/>
      <c r="S4" s="925"/>
      <c r="T4" s="1217"/>
      <c r="U4" s="1217"/>
    </row>
    <row r="5" spans="1:21" s="523" customFormat="1">
      <c r="A5" s="531" t="s">
        <v>238</v>
      </c>
      <c r="B5" s="529">
        <f>IF(ISERROR(kWh_waterkracht),0,kWh_waterkracht)</f>
        <v>0</v>
      </c>
      <c r="C5" s="1201"/>
      <c r="D5" s="1204"/>
      <c r="E5" s="1204"/>
      <c r="F5" s="1207"/>
      <c r="G5" s="1210"/>
      <c r="H5" s="1213"/>
      <c r="I5" s="1204"/>
      <c r="J5" s="1204"/>
      <c r="K5" s="1204"/>
      <c r="L5" s="1204"/>
      <c r="M5" s="1204"/>
      <c r="N5" s="959"/>
      <c r="O5" s="532"/>
      <c r="P5" s="1180"/>
      <c r="Q5" s="1181"/>
      <c r="S5" s="925"/>
      <c r="T5" s="1217"/>
      <c r="U5" s="1217"/>
    </row>
    <row r="6" spans="1:21" s="523" customFormat="1">
      <c r="A6" s="531" t="s">
        <v>239</v>
      </c>
      <c r="B6" s="529">
        <f>IF(ISERROR((kWh_PV_kleiner_dan_10kW+kWh_PV_groter_dan_10kW)),0,(kWh_PV_kleiner_dan_10kW+kWh_PV_groter_dan_10kW))</f>
        <v>14506.905605286898</v>
      </c>
      <c r="C6" s="1201"/>
      <c r="D6" s="1204"/>
      <c r="E6" s="1204"/>
      <c r="F6" s="1207"/>
      <c r="G6" s="1210"/>
      <c r="H6" s="1213"/>
      <c r="I6" s="1204"/>
      <c r="J6" s="1204"/>
      <c r="K6" s="1204"/>
      <c r="L6" s="1204"/>
      <c r="M6" s="1204"/>
      <c r="N6" s="959"/>
      <c r="O6" s="532"/>
      <c r="P6" s="1180"/>
      <c r="Q6" s="1181"/>
      <c r="S6" s="925"/>
      <c r="T6" s="1217"/>
      <c r="U6" s="1217"/>
    </row>
    <row r="7" spans="1:21" s="523" customFormat="1">
      <c r="A7" s="531" t="s">
        <v>778</v>
      </c>
      <c r="B7" s="529"/>
      <c r="C7" s="1202"/>
      <c r="D7" s="1205"/>
      <c r="E7" s="1205"/>
      <c r="F7" s="1208"/>
      <c r="G7" s="1211"/>
      <c r="H7" s="1214"/>
      <c r="I7" s="1205"/>
      <c r="J7" s="1205"/>
      <c r="K7" s="1205"/>
      <c r="L7" s="1205"/>
      <c r="M7" s="1205"/>
      <c r="N7" s="960"/>
      <c r="O7" s="532"/>
      <c r="P7" s="927"/>
      <c r="Q7" s="928"/>
      <c r="S7" s="925"/>
      <c r="T7" s="925"/>
      <c r="U7" s="925"/>
    </row>
    <row r="8" spans="1:21" s="523" customFormat="1">
      <c r="A8" s="533" t="s">
        <v>240</v>
      </c>
      <c r="B8" s="961">
        <f>N34</f>
        <v>89698.5</v>
      </c>
      <c r="C8" s="534">
        <f>B53</f>
        <v>75838.23529411765</v>
      </c>
      <c r="D8" s="962"/>
      <c r="E8" s="962">
        <f>E53</f>
        <v>0</v>
      </c>
      <c r="F8" s="963"/>
      <c r="G8" s="535"/>
      <c r="H8" s="962">
        <f>I53</f>
        <v>0</v>
      </c>
      <c r="I8" s="962">
        <f>G53+F53</f>
        <v>0</v>
      </c>
      <c r="J8" s="962">
        <f>H53+D53+C53</f>
        <v>29689.411764705881</v>
      </c>
      <c r="K8" s="962"/>
      <c r="L8" s="962"/>
      <c r="M8" s="962"/>
      <c r="N8" s="536"/>
      <c r="O8" s="537">
        <f>C8*$C$12+D8*$D$12+E8*$E$12+F8*$F$12+G8*$G$12+H8*$H$12+I8*$I$12+J8*$J$12</f>
        <v>15319.323529411766</v>
      </c>
      <c r="P8" s="1180"/>
      <c r="Q8" s="1181"/>
      <c r="S8" s="925"/>
      <c r="T8" s="1217"/>
      <c r="U8" s="1217"/>
    </row>
    <row r="9" spans="1:21" s="523" customFormat="1" ht="17.45" customHeight="1" thickBot="1">
      <c r="A9" s="538" t="s">
        <v>236</v>
      </c>
      <c r="B9" s="539">
        <f>N41+'Eigen informatie GS &amp; warmtenet'!B12</f>
        <v>0</v>
      </c>
      <c r="C9" s="540">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1">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1">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1">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1">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3"/>
      <c r="N9" s="964"/>
      <c r="O9" s="537">
        <f>C9*$C$12+D9*$D$12+E9*$E$12+F9*$F$12+G9*$G$12+H9*$H$12+I9*$I$12+J9*$J$12</f>
        <v>0</v>
      </c>
      <c r="P9" s="1183"/>
      <c r="Q9" s="1184"/>
      <c r="R9" s="544"/>
      <c r="S9" s="925"/>
      <c r="T9" s="1217"/>
      <c r="U9" s="1217"/>
    </row>
    <row r="10" spans="1:21" s="523" customFormat="1" ht="16.5" thickTop="1" thickBot="1">
      <c r="A10" s="545" t="s">
        <v>109</v>
      </c>
      <c r="B10" s="546">
        <f>SUM(B4:B9)</f>
        <v>104205.4056052869</v>
      </c>
      <c r="C10" s="547">
        <f t="shared" ref="C10:L10" si="0">SUM(C8:C9)</f>
        <v>75838.23529411765</v>
      </c>
      <c r="D10" s="547">
        <f t="shared" si="0"/>
        <v>0</v>
      </c>
      <c r="E10" s="547">
        <f t="shared" si="0"/>
        <v>0</v>
      </c>
      <c r="F10" s="547">
        <f t="shared" si="0"/>
        <v>0</v>
      </c>
      <c r="G10" s="547">
        <f t="shared" si="0"/>
        <v>0</v>
      </c>
      <c r="H10" s="547">
        <f t="shared" si="0"/>
        <v>0</v>
      </c>
      <c r="I10" s="547">
        <f t="shared" si="0"/>
        <v>0</v>
      </c>
      <c r="J10" s="547">
        <f t="shared" si="0"/>
        <v>29689.411764705881</v>
      </c>
      <c r="K10" s="547">
        <f t="shared" si="0"/>
        <v>0</v>
      </c>
      <c r="L10" s="547">
        <f t="shared" si="0"/>
        <v>0</v>
      </c>
      <c r="M10" s="965"/>
      <c r="N10" s="965"/>
      <c r="O10" s="548">
        <f>SUM(O4:O9)</f>
        <v>15319.323529411766</v>
      </c>
      <c r="P10" s="549"/>
      <c r="R10" s="929"/>
      <c r="S10" s="925"/>
      <c r="T10" s="929"/>
      <c r="U10" s="929"/>
    </row>
    <row r="11" spans="1:21" s="552" customFormat="1" ht="15.75" thickTop="1">
      <c r="A11" s="550"/>
      <c r="B11" s="551"/>
      <c r="C11" s="551"/>
      <c r="D11" s="551"/>
      <c r="E11" s="551"/>
      <c r="F11" s="551"/>
      <c r="G11" s="551"/>
      <c r="H11" s="551"/>
      <c r="I11" s="551"/>
      <c r="J11" s="551"/>
      <c r="K11" s="551"/>
      <c r="L11" s="551"/>
      <c r="M11" s="551"/>
      <c r="N11" s="551"/>
      <c r="P11" s="551"/>
      <c r="R11" s="551"/>
    </row>
    <row r="12" spans="1:21" s="552" customFormat="1">
      <c r="A12" s="966" t="s">
        <v>278</v>
      </c>
      <c r="B12" s="967"/>
      <c r="C12" s="967">
        <f>EF_CO2_aardgas</f>
        <v>0.20200000000000001</v>
      </c>
      <c r="D12" s="967">
        <f>EF_VLgas_CO2</f>
        <v>0.22700000000000001</v>
      </c>
      <c r="E12" s="967">
        <f>EF_stookolie_CO2</f>
        <v>0.26700000000000002</v>
      </c>
      <c r="F12" s="967">
        <f>EF_bruinkool_CO2</f>
        <v>0.35099999999999998</v>
      </c>
      <c r="G12" s="967">
        <f>EF_steenkool_CO2</f>
        <v>0.35399999999999998</v>
      </c>
      <c r="H12" s="967">
        <f>'EF brandstof'!M4</f>
        <v>0.33</v>
      </c>
      <c r="I12" s="967">
        <f>'EF brandstof'!J4</f>
        <v>0</v>
      </c>
      <c r="J12" s="967">
        <f>'EF brandstof'!L4</f>
        <v>0</v>
      </c>
      <c r="K12" s="967">
        <f>'EF brandstof'!L4</f>
        <v>0</v>
      </c>
      <c r="L12" s="967"/>
      <c r="M12" s="967"/>
      <c r="N12" s="967"/>
      <c r="P12" s="553"/>
      <c r="Q12" s="553"/>
      <c r="R12" s="553"/>
    </row>
    <row r="13" spans="1:21" s="523" customFormat="1" ht="15.75" thickBot="1">
      <c r="A13" s="554"/>
      <c r="B13" s="553"/>
      <c r="C13" s="553"/>
      <c r="D13" s="553"/>
      <c r="E13" s="553"/>
      <c r="F13" s="553"/>
      <c r="G13" s="553"/>
      <c r="H13" s="553"/>
      <c r="I13" s="553"/>
      <c r="J13" s="553"/>
      <c r="K13" s="553"/>
      <c r="L13" s="553"/>
      <c r="M13" s="553"/>
      <c r="N13" s="553"/>
      <c r="O13" s="553"/>
      <c r="P13" s="553"/>
      <c r="Q13" s="553"/>
      <c r="R13" s="553"/>
    </row>
    <row r="14" spans="1:21" s="523" customFormat="1" ht="17.25" thickTop="1" thickBot="1">
      <c r="A14" s="1187" t="s">
        <v>241</v>
      </c>
      <c r="B14" s="1187" t="s">
        <v>242</v>
      </c>
      <c r="C14" s="1218" t="s">
        <v>243</v>
      </c>
      <c r="D14" s="1219"/>
      <c r="E14" s="1219"/>
      <c r="F14" s="1219"/>
      <c r="G14" s="1219"/>
      <c r="H14" s="1219"/>
      <c r="I14" s="1219"/>
      <c r="J14" s="1219"/>
      <c r="K14" s="1219"/>
      <c r="L14" s="1219"/>
      <c r="M14" s="1219"/>
      <c r="N14" s="1220"/>
      <c r="O14" s="1174" t="s">
        <v>232</v>
      </c>
      <c r="P14" s="1177" t="s">
        <v>244</v>
      </c>
      <c r="Q14" s="1174"/>
      <c r="R14" s="1182"/>
      <c r="S14" s="1182"/>
      <c r="T14" s="1182"/>
    </row>
    <row r="15" spans="1:21" s="523" customFormat="1" ht="15.75" customHeight="1" thickBot="1">
      <c r="A15" s="1188"/>
      <c r="B15" s="1188"/>
      <c r="C15" s="1221" t="s">
        <v>190</v>
      </c>
      <c r="D15" s="1222"/>
      <c r="E15" s="1222"/>
      <c r="F15" s="1222"/>
      <c r="G15" s="1223"/>
      <c r="H15" s="1224" t="s">
        <v>233</v>
      </c>
      <c r="I15" s="1224" t="s">
        <v>234</v>
      </c>
      <c r="J15" s="1224" t="s">
        <v>222</v>
      </c>
      <c r="K15" s="1224" t="s">
        <v>245</v>
      </c>
      <c r="L15" s="1224" t="s">
        <v>120</v>
      </c>
      <c r="M15" s="1224" t="s">
        <v>780</v>
      </c>
      <c r="N15" s="1198" t="s">
        <v>781</v>
      </c>
      <c r="O15" s="1175"/>
      <c r="P15" s="1178"/>
      <c r="Q15" s="1175"/>
      <c r="R15" s="1182"/>
      <c r="S15" s="1182"/>
      <c r="T15" s="1182"/>
    </row>
    <row r="16" spans="1:21" s="523" customFormat="1" ht="40.700000000000003" customHeight="1" thickBot="1">
      <c r="A16" s="1189"/>
      <c r="B16" s="1189"/>
      <c r="C16" s="555" t="s">
        <v>192</v>
      </c>
      <c r="D16" s="924" t="s">
        <v>193</v>
      </c>
      <c r="E16" s="926" t="s">
        <v>194</v>
      </c>
      <c r="F16" s="924" t="s">
        <v>196</v>
      </c>
      <c r="G16" s="556" t="s">
        <v>197</v>
      </c>
      <c r="H16" s="1194"/>
      <c r="I16" s="1194"/>
      <c r="J16" s="1194"/>
      <c r="K16" s="1194"/>
      <c r="L16" s="1194"/>
      <c r="M16" s="1194"/>
      <c r="N16" s="1199"/>
      <c r="O16" s="1176"/>
      <c r="P16" s="1179"/>
      <c r="Q16" s="1176"/>
      <c r="R16" s="1182"/>
      <c r="S16" s="1182"/>
      <c r="T16" s="1182"/>
    </row>
    <row r="17" spans="1:27" s="523" customFormat="1" ht="15.75" thickTop="1">
      <c r="A17" s="557" t="s">
        <v>240</v>
      </c>
      <c r="B17" s="558">
        <f>O34</f>
        <v>128140.71428571429</v>
      </c>
      <c r="C17" s="559">
        <f>B54</f>
        <v>108340.3361344538</v>
      </c>
      <c r="D17" s="560"/>
      <c r="E17" s="560">
        <f>E54</f>
        <v>0</v>
      </c>
      <c r="F17" s="968"/>
      <c r="G17" s="561"/>
      <c r="H17" s="559">
        <f>I54</f>
        <v>0</v>
      </c>
      <c r="I17" s="560">
        <f>G54+F54</f>
        <v>0</v>
      </c>
      <c r="J17" s="560">
        <f>H54+D54+C54</f>
        <v>42413.445378151264</v>
      </c>
      <c r="K17" s="560"/>
      <c r="L17" s="560"/>
      <c r="M17" s="560"/>
      <c r="N17" s="969"/>
      <c r="O17" s="562">
        <f>C17*$C$22+E17*$E$22+H17*$H$22+I17*$I$22+J17*$J$22+D17*$D$22+F17*$F$22+G17*$G$22+K17*$K$22+L17*$L$22</f>
        <v>21884.747899159669</v>
      </c>
      <c r="P17" s="1233"/>
      <c r="Q17" s="1234"/>
      <c r="R17" s="930"/>
      <c r="S17" s="1228"/>
      <c r="T17" s="1228"/>
    </row>
    <row r="18" spans="1:27" s="523" customFormat="1">
      <c r="A18" s="563" t="s">
        <v>246</v>
      </c>
      <c r="B18" s="564">
        <f>'Eigen informatie GS &amp; warmtenet'!B32</f>
        <v>0</v>
      </c>
      <c r="C18" s="962">
        <f>'Eigen informatie GS &amp; warmtenet'!B35</f>
        <v>0</v>
      </c>
      <c r="D18" s="962">
        <f>'Eigen informatie GS &amp; warmtenet'!B36</f>
        <v>0</v>
      </c>
      <c r="E18" s="962">
        <f>'Eigen informatie GS &amp; warmtenet'!B37</f>
        <v>0</v>
      </c>
      <c r="F18" s="962">
        <f>'Eigen informatie GS &amp; warmtenet'!B38</f>
        <v>0</v>
      </c>
      <c r="G18" s="962">
        <f>'Eigen informatie GS &amp; warmtenet'!B39</f>
        <v>0</v>
      </c>
      <c r="H18" s="962">
        <f>'Eigen informatie GS &amp; warmtenet'!B40</f>
        <v>0</v>
      </c>
      <c r="I18" s="962">
        <f>'Eigen informatie GS &amp; warmtenet'!B41</f>
        <v>0</v>
      </c>
      <c r="J18" s="962">
        <f>'Eigen informatie GS &amp; warmtenet'!B42</f>
        <v>0</v>
      </c>
      <c r="K18" s="962">
        <f>'Eigen informatie GS &amp; warmtenet'!B43</f>
        <v>0</v>
      </c>
      <c r="L18" s="962">
        <f>'Eigen informatie GS &amp; warmtenet'!B44</f>
        <v>0</v>
      </c>
      <c r="M18" s="962">
        <f>'Eigen informatie GS &amp; warmtenet'!B45</f>
        <v>0</v>
      </c>
      <c r="N18" s="962">
        <f>'Eigen informatie GS &amp; warmtenet'!B46</f>
        <v>0</v>
      </c>
      <c r="O18" s="562">
        <f>C18*$C$22+E18*$E$22+H18*$H$22+I18*$I$22+J18*$J$22+D18*$D$22+F18*$F$22+G18*$G$22+K18*$K$22+L18*$L$22</f>
        <v>0</v>
      </c>
      <c r="P18" s="1229"/>
      <c r="Q18" s="1230"/>
      <c r="R18" s="925"/>
      <c r="S18" s="1217"/>
      <c r="T18" s="1217"/>
    </row>
    <row r="19" spans="1:27" s="523" customFormat="1" ht="15.75" thickBot="1">
      <c r="A19" s="538" t="s">
        <v>236</v>
      </c>
      <c r="B19" s="564">
        <f>'Eigen informatie GS &amp; warmtenet'!B11</f>
        <v>0</v>
      </c>
      <c r="C19" s="97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97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97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97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97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97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97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97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97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2"/>
      <c r="N19" s="971"/>
      <c r="O19" s="562">
        <f>C19*$C$22+E19*$E$22+H19*$H$22+I19*$I$22+J19*$J$22+D19*$D$22+F19*$F$22+G19*$G$22+K19*$K$22+L19*$L$22</f>
        <v>0</v>
      </c>
      <c r="P19" s="1231"/>
      <c r="Q19" s="1232"/>
      <c r="R19" s="925"/>
      <c r="S19" s="1217"/>
      <c r="T19" s="1217"/>
    </row>
    <row r="20" spans="1:27" s="523" customFormat="1" ht="16.5" thickTop="1" thickBot="1">
      <c r="A20" s="545" t="s">
        <v>109</v>
      </c>
      <c r="B20" s="546">
        <f>SUM(B17:B19)</f>
        <v>128140.71428571429</v>
      </c>
      <c r="C20" s="546">
        <f>SUM(C17:C19)</f>
        <v>108340.3361344538</v>
      </c>
      <c r="D20" s="546">
        <f t="shared" ref="D20:L20" si="1">SUM(D17:D19)</f>
        <v>0</v>
      </c>
      <c r="E20" s="546">
        <f t="shared" si="1"/>
        <v>0</v>
      </c>
      <c r="F20" s="546">
        <f t="shared" si="1"/>
        <v>0</v>
      </c>
      <c r="G20" s="546">
        <f t="shared" si="1"/>
        <v>0</v>
      </c>
      <c r="H20" s="546">
        <f t="shared" si="1"/>
        <v>0</v>
      </c>
      <c r="I20" s="546">
        <f t="shared" si="1"/>
        <v>0</v>
      </c>
      <c r="J20" s="546">
        <f t="shared" si="1"/>
        <v>42413.445378151264</v>
      </c>
      <c r="K20" s="546">
        <f t="shared" si="1"/>
        <v>0</v>
      </c>
      <c r="L20" s="546">
        <f t="shared" si="1"/>
        <v>0</v>
      </c>
      <c r="M20" s="546"/>
      <c r="N20" s="546"/>
      <c r="O20" s="565">
        <f>SUM(O17:O19)</f>
        <v>21884.747899159669</v>
      </c>
      <c r="P20" s="1225"/>
      <c r="Q20" s="1226"/>
      <c r="R20" s="925"/>
      <c r="S20" s="1227"/>
      <c r="T20" s="1227"/>
    </row>
    <row r="21" spans="1:27" s="523" customFormat="1" ht="15.75" thickTop="1">
      <c r="A21" s="930"/>
      <c r="B21" s="925"/>
      <c r="C21" s="925"/>
      <c r="D21" s="925"/>
      <c r="E21" s="925"/>
      <c r="F21" s="925"/>
      <c r="G21" s="925"/>
      <c r="H21" s="925"/>
      <c r="I21" s="925"/>
      <c r="J21" s="925"/>
      <c r="K21" s="925"/>
      <c r="L21" s="925"/>
      <c r="M21" s="925"/>
      <c r="N21" s="925"/>
      <c r="O21" s="925"/>
      <c r="P21" s="929"/>
      <c r="Q21" s="929"/>
      <c r="R21" s="925"/>
      <c r="S21" s="929"/>
      <c r="T21" s="929"/>
    </row>
    <row r="22" spans="1:27" s="552" customFormat="1">
      <c r="A22" s="966" t="s">
        <v>278</v>
      </c>
      <c r="B22" s="967"/>
      <c r="C22" s="967">
        <f>EF_CO2_aardgas</f>
        <v>0.20200000000000001</v>
      </c>
      <c r="D22" s="967">
        <f>EF_VLgas_CO2</f>
        <v>0.22700000000000001</v>
      </c>
      <c r="E22" s="967">
        <f>EF_stookolie_CO2</f>
        <v>0.26700000000000002</v>
      </c>
      <c r="F22" s="967">
        <f>EF_bruinkool_CO2</f>
        <v>0.35099999999999998</v>
      </c>
      <c r="G22" s="967">
        <f>EF_steenkool_CO2</f>
        <v>0.35399999999999998</v>
      </c>
      <c r="H22" s="967">
        <f>'EF brandstof'!M4</f>
        <v>0.33</v>
      </c>
      <c r="I22" s="967">
        <f>'EF brandstof'!J4</f>
        <v>0</v>
      </c>
      <c r="J22" s="967">
        <f>'EF brandstof'!L4</f>
        <v>0</v>
      </c>
      <c r="K22" s="967">
        <f>'EF brandstof'!L4</f>
        <v>0</v>
      </c>
      <c r="L22" s="967"/>
      <c r="M22" s="967"/>
      <c r="N22" s="967"/>
      <c r="O22" s="553"/>
      <c r="P22" s="553"/>
      <c r="Q22" s="553"/>
      <c r="R22" s="553"/>
      <c r="S22" s="523"/>
    </row>
    <row r="23" spans="1:27" s="552" customFormat="1">
      <c r="A23" s="554"/>
      <c r="B23" s="553"/>
      <c r="C23" s="553"/>
      <c r="D23" s="553"/>
      <c r="E23" s="553"/>
      <c r="F23" s="553"/>
      <c r="G23" s="553"/>
      <c r="H23" s="553"/>
      <c r="I23" s="553"/>
      <c r="J23" s="553"/>
      <c r="K23" s="553"/>
      <c r="L23" s="553"/>
      <c r="M23" s="553"/>
      <c r="N23" s="553"/>
      <c r="O23" s="553"/>
      <c r="P23" s="553"/>
      <c r="Q23" s="553"/>
      <c r="R23" s="553"/>
      <c r="S23" s="523"/>
    </row>
    <row r="24" spans="1:27" s="552" customFormat="1">
      <c r="A24" s="554"/>
      <c r="B24" s="553"/>
      <c r="C24" s="553"/>
      <c r="D24" s="566"/>
      <c r="E24" s="566"/>
      <c r="F24" s="566"/>
      <c r="G24" s="553"/>
      <c r="H24" s="553"/>
      <c r="I24" s="553"/>
      <c r="J24" s="553"/>
      <c r="K24" s="553"/>
      <c r="L24" s="553"/>
      <c r="M24" s="553"/>
      <c r="N24" s="553"/>
      <c r="O24" s="553"/>
      <c r="P24" s="553"/>
      <c r="Q24" s="553"/>
      <c r="R24" s="553"/>
    </row>
    <row r="25" spans="1:27" s="552" customFormat="1">
      <c r="A25" s="554"/>
      <c r="B25" s="553"/>
      <c r="C25" s="553"/>
      <c r="D25" s="566"/>
      <c r="E25" s="566"/>
      <c r="F25" s="566"/>
      <c r="G25" s="553"/>
      <c r="H25" s="553"/>
      <c r="I25" s="553"/>
      <c r="J25" s="553"/>
      <c r="K25" s="553"/>
      <c r="L25" s="553"/>
      <c r="M25" s="553"/>
      <c r="N25" s="553"/>
      <c r="O25" s="553"/>
      <c r="P25" s="553"/>
      <c r="Q25" s="553"/>
      <c r="R25" s="553"/>
    </row>
    <row r="26" spans="1:27" s="523" customFormat="1" ht="15.75" thickBot="1">
      <c r="B26" s="566"/>
      <c r="C26" s="566"/>
      <c r="D26" s="566"/>
      <c r="E26" s="566"/>
      <c r="F26" s="566"/>
      <c r="G26" s="566"/>
      <c r="H26" s="566"/>
      <c r="I26" s="566"/>
      <c r="J26" s="566"/>
      <c r="K26" s="566"/>
      <c r="L26" s="566"/>
      <c r="M26" s="566"/>
      <c r="N26" s="566"/>
      <c r="O26" s="566"/>
      <c r="P26" s="566"/>
      <c r="Q26" s="567"/>
      <c r="R26" s="567"/>
    </row>
    <row r="27" spans="1:27" s="523" customFormat="1" ht="45">
      <c r="A27" s="568" t="s">
        <v>267</v>
      </c>
      <c r="B27" s="613" t="s">
        <v>89</v>
      </c>
      <c r="C27" s="613" t="s">
        <v>90</v>
      </c>
      <c r="D27" s="613"/>
      <c r="E27" s="613"/>
      <c r="F27" s="613"/>
      <c r="G27" s="613" t="s">
        <v>91</v>
      </c>
      <c r="H27" s="613" t="s">
        <v>92</v>
      </c>
      <c r="I27" s="613"/>
      <c r="J27" s="613"/>
      <c r="K27" s="613"/>
      <c r="L27" s="613" t="s">
        <v>93</v>
      </c>
      <c r="M27" s="614" t="s">
        <v>286</v>
      </c>
      <c r="N27" s="614" t="s">
        <v>94</v>
      </c>
      <c r="O27" s="614" t="s">
        <v>95</v>
      </c>
      <c r="P27" s="614" t="s">
        <v>518</v>
      </c>
      <c r="Q27" s="614" t="s">
        <v>96</v>
      </c>
      <c r="R27" s="614" t="s">
        <v>97</v>
      </c>
      <c r="S27" s="614" t="s">
        <v>98</v>
      </c>
      <c r="T27" s="614" t="s">
        <v>99</v>
      </c>
      <c r="U27" s="614" t="s">
        <v>100</v>
      </c>
      <c r="V27" s="614" t="s">
        <v>101</v>
      </c>
      <c r="W27" s="613" t="s">
        <v>102</v>
      </c>
      <c r="X27" s="613" t="s">
        <v>877</v>
      </c>
      <c r="Y27" s="613" t="s">
        <v>287</v>
      </c>
      <c r="Z27" s="613" t="s">
        <v>103</v>
      </c>
      <c r="AA27" s="615" t="s">
        <v>288</v>
      </c>
    </row>
    <row r="28" spans="1:27" s="570" customFormat="1" ht="25.5" hidden="1">
      <c r="A28" s="569"/>
      <c r="B28" s="724">
        <v>44049</v>
      </c>
      <c r="C28" s="724">
        <v>9850</v>
      </c>
      <c r="D28" s="617"/>
      <c r="E28" s="616"/>
      <c r="F28" s="616"/>
      <c r="G28" s="616" t="s">
        <v>878</v>
      </c>
      <c r="H28" s="616" t="s">
        <v>879</v>
      </c>
      <c r="I28" s="616"/>
      <c r="J28" s="723"/>
      <c r="K28" s="723"/>
      <c r="L28" s="616" t="s">
        <v>880</v>
      </c>
      <c r="M28" s="616">
        <v>2000</v>
      </c>
      <c r="N28" s="616">
        <v>9000</v>
      </c>
      <c r="O28" s="616">
        <v>12857.142857142857</v>
      </c>
      <c r="P28" s="616">
        <v>25714.285714285717</v>
      </c>
      <c r="Q28" s="616">
        <v>0</v>
      </c>
      <c r="R28" s="616">
        <v>0</v>
      </c>
      <c r="S28" s="616">
        <v>0</v>
      </c>
      <c r="T28" s="616">
        <v>0</v>
      </c>
      <c r="U28" s="616">
        <v>0</v>
      </c>
      <c r="V28" s="616">
        <v>0</v>
      </c>
      <c r="W28" s="616">
        <v>0</v>
      </c>
      <c r="X28" s="616"/>
      <c r="Y28" s="616">
        <v>10</v>
      </c>
      <c r="Z28" s="616" t="s">
        <v>105</v>
      </c>
      <c r="AA28" s="618" t="s">
        <v>105</v>
      </c>
    </row>
    <row r="29" spans="1:27" s="570" customFormat="1" ht="25.5" hidden="1">
      <c r="A29" s="569"/>
      <c r="B29" s="724">
        <v>44049</v>
      </c>
      <c r="C29" s="724">
        <v>9850</v>
      </c>
      <c r="D29" s="617"/>
      <c r="E29" s="616"/>
      <c r="F29" s="616"/>
      <c r="G29" s="616" t="s">
        <v>878</v>
      </c>
      <c r="H29" s="616" t="s">
        <v>879</v>
      </c>
      <c r="I29" s="616"/>
      <c r="J29" s="723"/>
      <c r="K29" s="723"/>
      <c r="L29" s="616" t="s">
        <v>880</v>
      </c>
      <c r="M29" s="616">
        <v>2000</v>
      </c>
      <c r="N29" s="616">
        <v>9000</v>
      </c>
      <c r="O29" s="616">
        <v>12857.142857142857</v>
      </c>
      <c r="P29" s="616">
        <v>25714.285714285717</v>
      </c>
      <c r="Q29" s="616">
        <v>0</v>
      </c>
      <c r="R29" s="616">
        <v>0</v>
      </c>
      <c r="S29" s="616">
        <v>0</v>
      </c>
      <c r="T29" s="616">
        <v>0</v>
      </c>
      <c r="U29" s="616">
        <v>0</v>
      </c>
      <c r="V29" s="616">
        <v>0</v>
      </c>
      <c r="W29" s="616">
        <v>0</v>
      </c>
      <c r="X29" s="616"/>
      <c r="Y29" s="616">
        <v>10</v>
      </c>
      <c r="Z29" s="616" t="s">
        <v>105</v>
      </c>
      <c r="AA29" s="618" t="s">
        <v>105</v>
      </c>
    </row>
    <row r="30" spans="1:27" s="570" customFormat="1" ht="25.5" hidden="1">
      <c r="A30" s="569"/>
      <c r="B30" s="724">
        <v>44049</v>
      </c>
      <c r="C30" s="724">
        <v>9850</v>
      </c>
      <c r="D30" s="617"/>
      <c r="E30" s="616"/>
      <c r="F30" s="616"/>
      <c r="G30" s="616" t="s">
        <v>878</v>
      </c>
      <c r="H30" s="616" t="s">
        <v>879</v>
      </c>
      <c r="I30" s="616"/>
      <c r="J30" s="723"/>
      <c r="K30" s="723"/>
      <c r="L30" s="616" t="s">
        <v>880</v>
      </c>
      <c r="M30" s="616">
        <v>800</v>
      </c>
      <c r="N30" s="616">
        <v>3600</v>
      </c>
      <c r="O30" s="616">
        <v>5142.8571428571431</v>
      </c>
      <c r="P30" s="616">
        <v>10285.714285714286</v>
      </c>
      <c r="Q30" s="616">
        <v>0</v>
      </c>
      <c r="R30" s="616">
        <v>0</v>
      </c>
      <c r="S30" s="616">
        <v>0</v>
      </c>
      <c r="T30" s="616">
        <v>0</v>
      </c>
      <c r="U30" s="616">
        <v>0</v>
      </c>
      <c r="V30" s="616">
        <v>0</v>
      </c>
      <c r="W30" s="616">
        <v>0</v>
      </c>
      <c r="X30" s="616"/>
      <c r="Y30" s="616">
        <v>10</v>
      </c>
      <c r="Z30" s="616" t="s">
        <v>105</v>
      </c>
      <c r="AA30" s="618" t="s">
        <v>105</v>
      </c>
    </row>
    <row r="31" spans="1:27" s="570" customFormat="1" ht="25.5" hidden="1">
      <c r="A31" s="569"/>
      <c r="B31" s="724">
        <v>44011</v>
      </c>
      <c r="C31" s="724">
        <v>9800</v>
      </c>
      <c r="D31" s="617"/>
      <c r="E31" s="616"/>
      <c r="F31" s="616"/>
      <c r="G31" s="616" t="s">
        <v>878</v>
      </c>
      <c r="H31" s="616" t="s">
        <v>879</v>
      </c>
      <c r="I31" s="616"/>
      <c r="J31" s="723"/>
      <c r="K31" s="723"/>
      <c r="L31" s="616" t="s">
        <v>881</v>
      </c>
      <c r="M31" s="616">
        <v>2000</v>
      </c>
      <c r="N31" s="616">
        <v>9000</v>
      </c>
      <c r="O31" s="616">
        <v>12857.142857142857</v>
      </c>
      <c r="P31" s="616">
        <v>25714.285714285717</v>
      </c>
      <c r="Q31" s="616">
        <v>0</v>
      </c>
      <c r="R31" s="616">
        <v>0</v>
      </c>
      <c r="S31" s="616">
        <v>0</v>
      </c>
      <c r="T31" s="616">
        <v>0</v>
      </c>
      <c r="U31" s="616">
        <v>0</v>
      </c>
      <c r="V31" s="616">
        <v>0</v>
      </c>
      <c r="W31" s="616">
        <v>0</v>
      </c>
      <c r="X31" s="616"/>
      <c r="Y31" s="616">
        <v>10</v>
      </c>
      <c r="Z31" s="616" t="s">
        <v>105</v>
      </c>
      <c r="AA31" s="618" t="s">
        <v>105</v>
      </c>
    </row>
    <row r="32" spans="1:27" s="570" customFormat="1" ht="38.25" hidden="1">
      <c r="A32" s="569"/>
      <c r="B32" s="724">
        <v>44011</v>
      </c>
      <c r="C32" s="724">
        <v>9800</v>
      </c>
      <c r="D32" s="617"/>
      <c r="E32" s="616"/>
      <c r="F32" s="616"/>
      <c r="G32" s="616" t="s">
        <v>882</v>
      </c>
      <c r="H32" s="616" t="s">
        <v>879</v>
      </c>
      <c r="I32" s="616"/>
      <c r="J32" s="723"/>
      <c r="K32" s="723"/>
      <c r="L32" s="616" t="s">
        <v>881</v>
      </c>
      <c r="M32" s="616">
        <v>5608</v>
      </c>
      <c r="N32" s="616">
        <v>25236</v>
      </c>
      <c r="O32" s="616">
        <v>36051.428571428572</v>
      </c>
      <c r="P32" s="616">
        <v>0</v>
      </c>
      <c r="Q32" s="616">
        <v>0</v>
      </c>
      <c r="R32" s="616">
        <v>0</v>
      </c>
      <c r="S32" s="616">
        <v>0</v>
      </c>
      <c r="T32" s="616">
        <v>0</v>
      </c>
      <c r="U32" s="616">
        <v>0</v>
      </c>
      <c r="V32" s="616">
        <v>72102.857142857145</v>
      </c>
      <c r="W32" s="616">
        <v>0</v>
      </c>
      <c r="X32" s="616"/>
      <c r="Y32" s="616">
        <v>10</v>
      </c>
      <c r="Z32" s="616" t="s">
        <v>105</v>
      </c>
      <c r="AA32" s="618" t="s">
        <v>105</v>
      </c>
    </row>
    <row r="33" spans="1:28" s="570" customFormat="1" ht="25.5" hidden="1">
      <c r="A33" s="569"/>
      <c r="B33" s="724">
        <v>44011</v>
      </c>
      <c r="C33" s="724">
        <v>9800</v>
      </c>
      <c r="D33" s="617"/>
      <c r="E33" s="616"/>
      <c r="F33" s="616"/>
      <c r="G33" s="616" t="s">
        <v>878</v>
      </c>
      <c r="H33" s="616" t="s">
        <v>879</v>
      </c>
      <c r="I33" s="616"/>
      <c r="J33" s="723"/>
      <c r="K33" s="723"/>
      <c r="L33" s="616" t="s">
        <v>881</v>
      </c>
      <c r="M33" s="616">
        <v>7525</v>
      </c>
      <c r="N33" s="616">
        <v>33862.5</v>
      </c>
      <c r="O33" s="616">
        <v>48375</v>
      </c>
      <c r="P33" s="616">
        <v>96750</v>
      </c>
      <c r="Q33" s="616">
        <v>0</v>
      </c>
      <c r="R33" s="616">
        <v>0</v>
      </c>
      <c r="S33" s="616">
        <v>0</v>
      </c>
      <c r="T33" s="616">
        <v>0</v>
      </c>
      <c r="U33" s="616">
        <v>0</v>
      </c>
      <c r="V33" s="616">
        <v>0</v>
      </c>
      <c r="W33" s="616">
        <v>0</v>
      </c>
      <c r="X33" s="616"/>
      <c r="Y33" s="616">
        <v>10</v>
      </c>
      <c r="Z33" s="616" t="s">
        <v>105</v>
      </c>
      <c r="AA33" s="618" t="s">
        <v>105</v>
      </c>
    </row>
    <row r="34" spans="1:28" s="554" customFormat="1" hidden="1">
      <c r="A34" s="572" t="s">
        <v>268</v>
      </c>
      <c r="B34" s="573"/>
      <c r="C34" s="573"/>
      <c r="D34" s="573"/>
      <c r="E34" s="573"/>
      <c r="F34" s="573"/>
      <c r="G34" s="573"/>
      <c r="H34" s="573"/>
      <c r="I34" s="573"/>
      <c r="J34" s="573"/>
      <c r="K34" s="573"/>
      <c r="L34" s="574"/>
      <c r="M34" s="574">
        <f>SUM(M28:M33)</f>
        <v>19933</v>
      </c>
      <c r="N34" s="574">
        <f>SUM(N28:N33)</f>
        <v>89698.5</v>
      </c>
      <c r="O34" s="574">
        <f>SUM(O28:O33)</f>
        <v>128140.71428571429</v>
      </c>
      <c r="P34" s="574">
        <f>SUM(P28:P33)</f>
        <v>184178.57142857145</v>
      </c>
      <c r="Q34" s="574">
        <f>SUM(Q28:Q33)</f>
        <v>0</v>
      </c>
      <c r="R34" s="574">
        <f>SUM(R28:R33)</f>
        <v>0</v>
      </c>
      <c r="S34" s="574">
        <f>SUM(S28:S33)</f>
        <v>0</v>
      </c>
      <c r="T34" s="574">
        <f>SUM(T28:T33)</f>
        <v>0</v>
      </c>
      <c r="U34" s="574">
        <f>SUM(U28:U33)</f>
        <v>0</v>
      </c>
      <c r="V34" s="574">
        <f>SUM(V28:V33)</f>
        <v>72102.857142857145</v>
      </c>
      <c r="W34" s="574">
        <f>SUM(W28:W33)</f>
        <v>0</v>
      </c>
      <c r="X34" s="574"/>
      <c r="Y34" s="575"/>
      <c r="Z34" s="575"/>
      <c r="AA34" s="576"/>
    </row>
    <row r="35" spans="1:28" s="554" customFormat="1">
      <c r="A35" s="572" t="s">
        <v>275</v>
      </c>
      <c r="B35" s="573"/>
      <c r="C35" s="573"/>
      <c r="D35" s="573"/>
      <c r="E35" s="573"/>
      <c r="F35" s="573"/>
      <c r="G35" s="573"/>
      <c r="H35" s="573"/>
      <c r="I35" s="573"/>
      <c r="J35" s="573"/>
      <c r="K35" s="573"/>
      <c r="L35" s="574"/>
      <c r="M35" s="574">
        <f>SUMIF($AA$28:$AA$33,"industrie",M28:M33)</f>
        <v>0</v>
      </c>
      <c r="N35" s="574">
        <f>SUMIF($AA$28:$AA$33,"industrie",N28:N33)</f>
        <v>0</v>
      </c>
      <c r="O35" s="574">
        <f>SUMIF($AA$28:$AA$33,"industrie",O28:O33)</f>
        <v>0</v>
      </c>
      <c r="P35" s="574">
        <f>SUMIF($AA$28:$AA$33,"industrie",P28:P33)</f>
        <v>0</v>
      </c>
      <c r="Q35" s="574">
        <f>SUMIF($AA$28:$AA$33,"industrie",Q28:Q33)</f>
        <v>0</v>
      </c>
      <c r="R35" s="574">
        <f>SUMIF($AA$28:$AA$33,"industrie",R28:R33)</f>
        <v>0</v>
      </c>
      <c r="S35" s="574">
        <f>SUMIF($AA$28:$AA$33,"industrie",S28:S33)</f>
        <v>0</v>
      </c>
      <c r="T35" s="574">
        <f>SUMIF($AA$28:$AA$33,"industrie",T28:T33)</f>
        <v>0</v>
      </c>
      <c r="U35" s="574">
        <f>SUMIF($AA$28:$AA$33,"industrie",U28:U33)</f>
        <v>0</v>
      </c>
      <c r="V35" s="574">
        <f>SUMIF($AA$28:$AA$33,"industrie",V28:V33)</f>
        <v>0</v>
      </c>
      <c r="W35" s="574">
        <f>SUMIF($AA$28:$AA$33,"industrie",W28:W33)</f>
        <v>0</v>
      </c>
      <c r="X35" s="574"/>
      <c r="Y35" s="575"/>
      <c r="Z35" s="575"/>
      <c r="AA35" s="576"/>
    </row>
    <row r="36" spans="1:28" s="554" customFormat="1">
      <c r="A36" s="572" t="s">
        <v>276</v>
      </c>
      <c r="B36" s="573"/>
      <c r="C36" s="573"/>
      <c r="D36" s="573"/>
      <c r="E36" s="573"/>
      <c r="F36" s="573"/>
      <c r="G36" s="573"/>
      <c r="H36" s="573"/>
      <c r="I36" s="573"/>
      <c r="J36" s="573"/>
      <c r="K36" s="573"/>
      <c r="L36" s="574"/>
      <c r="M36" s="574">
        <f ca="1">SUMIF($AA$28:AD33,"tertiair",M28:M33)</f>
        <v>0</v>
      </c>
      <c r="N36" s="574">
        <f ca="1">SUMIF($AA$28:AE33,"tertiair",N28:N33)</f>
        <v>0</v>
      </c>
      <c r="O36" s="574">
        <f ca="1">SUMIF($AA$28:AF33,"tertiair",O28:O33)</f>
        <v>0</v>
      </c>
      <c r="P36" s="574">
        <f ca="1">SUMIF($AA$28:AG33,"tertiair",P28:P33)</f>
        <v>0</v>
      </c>
      <c r="Q36" s="574">
        <f ca="1">SUMIF($AA$28:AH33,"tertiair",Q28:Q33)</f>
        <v>0</v>
      </c>
      <c r="R36" s="574">
        <f ca="1">SUMIF($AA$28:AI33,"tertiair",R28:R33)</f>
        <v>0</v>
      </c>
      <c r="S36" s="574">
        <f ca="1">SUMIF($AA$28:AJ33,"tertiair",S28:S33)</f>
        <v>0</v>
      </c>
      <c r="T36" s="574">
        <f ca="1">SUMIF($AA$28:AK33,"tertiair",T28:T33)</f>
        <v>0</v>
      </c>
      <c r="U36" s="574">
        <f ca="1">SUMIF($AA$28:AL33,"tertiair",U28:U33)</f>
        <v>0</v>
      </c>
      <c r="V36" s="574">
        <f ca="1">SUMIF($AA$28:AM33,"tertiair",V28:V33)</f>
        <v>0</v>
      </c>
      <c r="W36" s="574">
        <f ca="1">SUMIF($AA$28:AN33,"tertiair",W28:W33)</f>
        <v>0</v>
      </c>
      <c r="X36" s="574"/>
      <c r="Y36" s="575"/>
      <c r="Z36" s="575"/>
      <c r="AA36" s="576"/>
    </row>
    <row r="37" spans="1:28" s="554" customFormat="1" ht="15.75" thickBot="1">
      <c r="A37" s="577" t="s">
        <v>277</v>
      </c>
      <c r="B37" s="578"/>
      <c r="C37" s="578"/>
      <c r="D37" s="578"/>
      <c r="E37" s="578"/>
      <c r="F37" s="578"/>
      <c r="G37" s="578"/>
      <c r="H37" s="578"/>
      <c r="I37" s="578"/>
      <c r="J37" s="578"/>
      <c r="K37" s="578"/>
      <c r="L37" s="579"/>
      <c r="M37" s="579">
        <f>SUMIF($AA$28:$AA$33,"landbouw",M28:M33)</f>
        <v>19933</v>
      </c>
      <c r="N37" s="579">
        <f>SUMIF($AA$28:$AA$33,"landbouw",N28:N33)</f>
        <v>89698.5</v>
      </c>
      <c r="O37" s="579">
        <f>SUMIF($AA$28:$AA$33,"landbouw",O28:O33)</f>
        <v>128140.71428571429</v>
      </c>
      <c r="P37" s="579">
        <f>SUMIF($AA$28:$AA$33,"landbouw",P28:P33)</f>
        <v>184178.57142857145</v>
      </c>
      <c r="Q37" s="579">
        <f>SUMIF($AA$28:$AA$33,"landbouw",Q28:Q33)</f>
        <v>0</v>
      </c>
      <c r="R37" s="579">
        <f>SUMIF($AA$28:$AA$33,"landbouw",R28:R33)</f>
        <v>0</v>
      </c>
      <c r="S37" s="579">
        <f>SUMIF($AA$28:$AA$33,"landbouw",S28:S33)</f>
        <v>0</v>
      </c>
      <c r="T37" s="579">
        <f>SUMIF($AA$28:$AA$33,"landbouw",T28:T33)</f>
        <v>0</v>
      </c>
      <c r="U37" s="579">
        <f>SUMIF($AA$28:$AA$33,"landbouw",U28:U33)</f>
        <v>0</v>
      </c>
      <c r="V37" s="579">
        <f>SUMIF($AA$28:$AA$33,"landbouw",V28:V33)</f>
        <v>72102.857142857145</v>
      </c>
      <c r="W37" s="579">
        <f>SUMIF($AA$28:$AA$33,"landbouw",W28:W33)</f>
        <v>0</v>
      </c>
      <c r="X37" s="579"/>
      <c r="Y37" s="580"/>
      <c r="Z37" s="580"/>
      <c r="AA37" s="581"/>
    </row>
    <row r="38" spans="1:28" s="523" customFormat="1" ht="15.75" thickBot="1">
      <c r="A38" s="582"/>
      <c r="B38" s="583"/>
      <c r="C38" s="583"/>
      <c r="D38" s="583"/>
      <c r="E38" s="583"/>
      <c r="F38" s="583"/>
      <c r="G38" s="583"/>
      <c r="H38" s="583"/>
      <c r="I38" s="583"/>
      <c r="J38" s="583"/>
      <c r="K38" s="583"/>
      <c r="L38" s="566"/>
      <c r="M38" s="566"/>
      <c r="N38" s="566"/>
      <c r="O38" s="567"/>
      <c r="P38" s="567"/>
    </row>
    <row r="39" spans="1:28" s="523" customFormat="1" ht="45">
      <c r="A39" s="584" t="s">
        <v>269</v>
      </c>
      <c r="B39" s="613" t="s">
        <v>89</v>
      </c>
      <c r="C39" s="613" t="s">
        <v>90</v>
      </c>
      <c r="D39" s="613"/>
      <c r="E39" s="613"/>
      <c r="F39" s="613"/>
      <c r="G39" s="613" t="s">
        <v>91</v>
      </c>
      <c r="H39" s="613" t="s">
        <v>92</v>
      </c>
      <c r="I39" s="613"/>
      <c r="J39" s="613"/>
      <c r="K39" s="613"/>
      <c r="L39" s="613" t="s">
        <v>93</v>
      </c>
      <c r="M39" s="614" t="s">
        <v>286</v>
      </c>
      <c r="N39" s="614" t="s">
        <v>94</v>
      </c>
      <c r="O39" s="614" t="s">
        <v>95</v>
      </c>
      <c r="P39" s="614" t="s">
        <v>518</v>
      </c>
      <c r="Q39" s="614" t="s">
        <v>96</v>
      </c>
      <c r="R39" s="614" t="s">
        <v>97</v>
      </c>
      <c r="S39" s="614" t="s">
        <v>98</v>
      </c>
      <c r="T39" s="614" t="s">
        <v>99</v>
      </c>
      <c r="U39" s="614" t="s">
        <v>100</v>
      </c>
      <c r="V39" s="614" t="s">
        <v>101</v>
      </c>
      <c r="W39" s="613" t="s">
        <v>102</v>
      </c>
      <c r="X39" s="613" t="s">
        <v>877</v>
      </c>
      <c r="Y39" s="613" t="s">
        <v>287</v>
      </c>
      <c r="Z39" s="613" t="s">
        <v>103</v>
      </c>
      <c r="AA39" s="615" t="s">
        <v>288</v>
      </c>
    </row>
    <row r="40" spans="1:28" s="585" customFormat="1" ht="12.75" hidden="1">
      <c r="A40" s="571"/>
      <c r="B40" s="724"/>
      <c r="C40" s="724"/>
      <c r="D40" s="619"/>
      <c r="E40" s="619"/>
      <c r="F40" s="619"/>
      <c r="G40" s="619"/>
      <c r="H40" s="619"/>
      <c r="I40" s="619"/>
      <c r="J40" s="723"/>
      <c r="K40" s="723"/>
      <c r="L40" s="619"/>
      <c r="M40" s="619"/>
      <c r="N40" s="619"/>
      <c r="O40" s="619"/>
      <c r="P40" s="619"/>
      <c r="Q40" s="619"/>
      <c r="R40" s="619"/>
      <c r="S40" s="619"/>
      <c r="T40" s="619"/>
      <c r="U40" s="619"/>
      <c r="V40" s="619"/>
      <c r="W40" s="619"/>
      <c r="X40" s="619"/>
      <c r="Y40" s="619"/>
      <c r="Z40" s="619"/>
      <c r="AA40" s="620"/>
    </row>
    <row r="41" spans="1:28" s="554" customFormat="1" hidden="1">
      <c r="A41" s="572" t="s">
        <v>268</v>
      </c>
      <c r="B41" s="573"/>
      <c r="C41" s="573"/>
      <c r="D41" s="573"/>
      <c r="E41" s="573"/>
      <c r="F41" s="573"/>
      <c r="G41" s="573"/>
      <c r="H41" s="573"/>
      <c r="I41" s="573"/>
      <c r="J41" s="573"/>
      <c r="K41" s="573"/>
      <c r="L41" s="574"/>
      <c r="M41" s="574">
        <f>SUM(M40:M40)</f>
        <v>0</v>
      </c>
      <c r="N41" s="574">
        <f>SUM(N40:N40)</f>
        <v>0</v>
      </c>
      <c r="O41" s="574">
        <f>SUM(O40:O40)</f>
        <v>0</v>
      </c>
      <c r="P41" s="574">
        <f>SUM(P40:P40)</f>
        <v>0</v>
      </c>
      <c r="Q41" s="574">
        <f>SUM(Q40:Q40)</f>
        <v>0</v>
      </c>
      <c r="R41" s="574">
        <f>SUM(R40:R40)</f>
        <v>0</v>
      </c>
      <c r="S41" s="574">
        <f>SUM(S40:S40)</f>
        <v>0</v>
      </c>
      <c r="T41" s="574">
        <f>SUM(T40:T40)</f>
        <v>0</v>
      </c>
      <c r="U41" s="574">
        <f>SUM(U40:U40)</f>
        <v>0</v>
      </c>
      <c r="V41" s="574">
        <f>SUM(V40:V40)</f>
        <v>0</v>
      </c>
      <c r="W41" s="574">
        <f>SUM(W40:W40)</f>
        <v>0</v>
      </c>
      <c r="X41" s="574"/>
      <c r="Y41" s="575"/>
      <c r="Z41" s="575"/>
      <c r="AA41" s="576"/>
    </row>
    <row r="42" spans="1:28" s="554" customFormat="1">
      <c r="A42" s="572" t="s">
        <v>275</v>
      </c>
      <c r="B42" s="573"/>
      <c r="C42" s="573"/>
      <c r="D42" s="573"/>
      <c r="E42" s="573"/>
      <c r="F42" s="573"/>
      <c r="G42" s="573"/>
      <c r="H42" s="573"/>
      <c r="I42" s="573"/>
      <c r="J42" s="573"/>
      <c r="K42" s="573"/>
      <c r="L42" s="574"/>
      <c r="M42" s="574">
        <f>SUMIF($AA$40:$AA$40,"industrie",M40:M40)</f>
        <v>0</v>
      </c>
      <c r="N42" s="574">
        <f>SUMIF($AA$40:$AA$40,"industrie",N40:N40)</f>
        <v>0</v>
      </c>
      <c r="O42" s="574">
        <f>SUMIF($AA$40:$AA$40,"industrie",O40:O40)</f>
        <v>0</v>
      </c>
      <c r="P42" s="574">
        <f>SUMIF($AA$40:$AA$40,"industrie",P40:P40)</f>
        <v>0</v>
      </c>
      <c r="Q42" s="574">
        <f>SUMIF($AA$40:$AA$40,"industrie",Q40:Q40)</f>
        <v>0</v>
      </c>
      <c r="R42" s="574">
        <f>SUMIF($AA$40:$AA$40,"industrie",R40:R40)</f>
        <v>0</v>
      </c>
      <c r="S42" s="574">
        <f>SUMIF($AA$40:$AA$40,"industrie",S40:S40)</f>
        <v>0</v>
      </c>
      <c r="T42" s="574">
        <f>SUMIF($AA$40:$AA$40,"industrie",T40:T40)</f>
        <v>0</v>
      </c>
      <c r="U42" s="574">
        <f>SUMIF($AA$40:$AA$40,"industrie",U40:U40)</f>
        <v>0</v>
      </c>
      <c r="V42" s="574">
        <f>SUMIF($AA$40:$AA$40,"industrie",V40:V40)</f>
        <v>0</v>
      </c>
      <c r="W42" s="574">
        <f>SUMIF($AA$40:$AA$40,"industrie",W40:W40)</f>
        <v>0</v>
      </c>
      <c r="X42" s="574"/>
      <c r="Y42" s="575"/>
      <c r="Z42" s="575"/>
      <c r="AA42" s="576"/>
    </row>
    <row r="43" spans="1:28" s="554" customFormat="1">
      <c r="A43" s="572" t="s">
        <v>276</v>
      </c>
      <c r="B43" s="573"/>
      <c r="C43" s="573"/>
      <c r="D43" s="573"/>
      <c r="E43" s="573"/>
      <c r="F43" s="573"/>
      <c r="G43" s="573"/>
      <c r="H43" s="573"/>
      <c r="I43" s="573"/>
      <c r="J43" s="573"/>
      <c r="K43" s="573"/>
      <c r="L43" s="574"/>
      <c r="M43" s="574">
        <f>SUMIF($AA$40:$AA$41,"tertiair",M40:M41)</f>
        <v>0</v>
      </c>
      <c r="N43" s="574">
        <f>SUMIF($AA$40:$AA$41,"tertiair",N40:N41)</f>
        <v>0</v>
      </c>
      <c r="O43" s="574">
        <f>SUMIF($AA$40:$AA$41,"tertiair",O40:O41)</f>
        <v>0</v>
      </c>
      <c r="P43" s="574">
        <f>SUMIF($AA$40:$AA$41,"tertiair",P40:P41)</f>
        <v>0</v>
      </c>
      <c r="Q43" s="574">
        <f>SUMIF($AA$40:$AA$41,"tertiair",Q40:Q41)</f>
        <v>0</v>
      </c>
      <c r="R43" s="574">
        <f>SUMIF($AA$40:$AA$41,"tertiair",R40:R41)</f>
        <v>0</v>
      </c>
      <c r="S43" s="574">
        <f>SUMIF($AA$40:$AA$41,"tertiair",S40:S41)</f>
        <v>0</v>
      </c>
      <c r="T43" s="574">
        <f>SUMIF($AA$40:$AA$41,"tertiair",T40:T41)</f>
        <v>0</v>
      </c>
      <c r="U43" s="574">
        <f>SUMIF($AA$40:$AA$41,"tertiair",U40:U41)</f>
        <v>0</v>
      </c>
      <c r="V43" s="574">
        <f>SUMIF($AA$40:$AA$41,"tertiair",V40:V41)</f>
        <v>0</v>
      </c>
      <c r="W43" s="574">
        <f>SUMIF($AA$40:$AA$41,"tertiair",W40:W41)</f>
        <v>0</v>
      </c>
      <c r="X43" s="574"/>
      <c r="Y43" s="575"/>
      <c r="Z43" s="575"/>
      <c r="AA43" s="576"/>
    </row>
    <row r="44" spans="1:28" s="554" customFormat="1" ht="15.75" thickBot="1">
      <c r="A44" s="577" t="s">
        <v>277</v>
      </c>
      <c r="B44" s="578"/>
      <c r="C44" s="578"/>
      <c r="D44" s="578"/>
      <c r="E44" s="578"/>
      <c r="F44" s="578"/>
      <c r="G44" s="578"/>
      <c r="H44" s="578"/>
      <c r="I44" s="578"/>
      <c r="J44" s="578"/>
      <c r="K44" s="578"/>
      <c r="L44" s="579"/>
      <c r="M44" s="579">
        <f>SUMIF($AA$40:$AA$42,"landbouw",M40:M42)</f>
        <v>0</v>
      </c>
      <c r="N44" s="579">
        <f>SUMIF($AA$40:$AA$42,"landbouw",N40:N42)</f>
        <v>0</v>
      </c>
      <c r="O44" s="579">
        <f>SUMIF($AA$40:$AA$42,"landbouw",O40:O42)</f>
        <v>0</v>
      </c>
      <c r="P44" s="579">
        <f>SUMIF($AA$40:$AA$42,"landbouw",P40:P42)</f>
        <v>0</v>
      </c>
      <c r="Q44" s="579">
        <f>SUMIF($AA$40:$AA$42,"landbouw",Q40:Q42)</f>
        <v>0</v>
      </c>
      <c r="R44" s="579">
        <f>SUMIF($AA$40:$AA$42,"landbouw",R40:R42)</f>
        <v>0</v>
      </c>
      <c r="S44" s="579">
        <f>SUMIF($AA$40:$AA$42,"landbouw",S40:S42)</f>
        <v>0</v>
      </c>
      <c r="T44" s="579">
        <f>SUMIF($AA$40:$AA$42,"landbouw",T40:T42)</f>
        <v>0</v>
      </c>
      <c r="U44" s="579">
        <f>SUMIF($AA$40:$AA$42,"landbouw",U40:U42)</f>
        <v>0</v>
      </c>
      <c r="V44" s="579">
        <f>SUMIF($AA$40:$AA$42,"landbouw",V40:V42)</f>
        <v>0</v>
      </c>
      <c r="W44" s="579">
        <f>SUMIF($AA$40:$AA$42,"landbouw",W40:W42)</f>
        <v>0</v>
      </c>
      <c r="X44" s="579"/>
      <c r="Y44" s="580"/>
      <c r="Z44" s="580"/>
      <c r="AA44" s="581"/>
    </row>
    <row r="45" spans="1:28" s="586" customFormat="1">
      <c r="A45" s="582"/>
      <c r="B45" s="566"/>
      <c r="C45" s="566"/>
      <c r="D45" s="566"/>
      <c r="E45" s="566"/>
      <c r="F45" s="566"/>
      <c r="G45" s="566"/>
      <c r="H45" s="566"/>
      <c r="I45" s="566"/>
      <c r="J45" s="566"/>
      <c r="K45" s="566"/>
      <c r="L45" s="566"/>
      <c r="M45" s="566"/>
      <c r="N45" s="566"/>
      <c r="O45" s="566"/>
      <c r="P45" s="566"/>
      <c r="Q45" s="566"/>
      <c r="R45" s="566"/>
      <c r="S45" s="566"/>
      <c r="T45" s="566"/>
      <c r="U45" s="566"/>
      <c r="V45" s="566"/>
      <c r="W45" s="566"/>
      <c r="X45" s="566"/>
      <c r="Y45" s="566"/>
      <c r="Z45" s="566"/>
    </row>
    <row r="46" spans="1:28" s="586" customFormat="1" ht="15.75" thickBot="1">
      <c r="A46" s="582"/>
      <c r="B46" s="566"/>
      <c r="C46" s="566"/>
      <c r="D46" s="566"/>
      <c r="E46" s="566"/>
      <c r="F46" s="566"/>
      <c r="G46" s="566"/>
      <c r="H46" s="566"/>
      <c r="I46" s="566"/>
      <c r="J46" s="566"/>
      <c r="K46" s="566"/>
      <c r="L46" s="566"/>
      <c r="M46" s="566"/>
      <c r="N46" s="566"/>
      <c r="O46" s="566"/>
      <c r="P46" s="566"/>
      <c r="Q46" s="566"/>
      <c r="R46" s="566"/>
      <c r="S46" s="566"/>
      <c r="T46" s="566"/>
      <c r="U46" s="566"/>
      <c r="V46" s="566"/>
      <c r="W46" s="566"/>
      <c r="X46" s="566"/>
      <c r="Y46" s="566"/>
      <c r="Z46" s="566"/>
      <c r="AA46" s="566"/>
      <c r="AB46" s="566"/>
    </row>
    <row r="47" spans="1:28">
      <c r="A47" s="587" t="s">
        <v>270</v>
      </c>
      <c r="B47" s="588"/>
      <c r="C47" s="588"/>
      <c r="D47" s="588"/>
      <c r="E47" s="588"/>
      <c r="F47" s="588"/>
      <c r="G47" s="588"/>
      <c r="H47" s="588"/>
      <c r="I47" s="589"/>
      <c r="J47" s="590"/>
      <c r="K47" s="590"/>
      <c r="L47" s="591"/>
      <c r="M47" s="591"/>
      <c r="N47" s="591"/>
      <c r="O47" s="591"/>
      <c r="P47" s="591"/>
    </row>
    <row r="48" spans="1:28">
      <c r="A48" s="593"/>
      <c r="B48" s="583"/>
      <c r="C48" s="583"/>
      <c r="D48" s="583"/>
      <c r="E48" s="583"/>
      <c r="F48" s="583"/>
      <c r="G48" s="583"/>
      <c r="H48" s="583"/>
      <c r="I48" s="594"/>
      <c r="J48" s="583"/>
      <c r="K48" s="583"/>
      <c r="L48" s="591"/>
      <c r="M48" s="591"/>
      <c r="N48" s="591"/>
      <c r="O48" s="591"/>
      <c r="P48" s="591"/>
    </row>
    <row r="49" spans="1:16">
      <c r="A49" s="595"/>
      <c r="B49" s="596" t="s">
        <v>271</v>
      </c>
      <c r="C49" s="596" t="s">
        <v>272</v>
      </c>
      <c r="D49" s="596"/>
      <c r="E49" s="596"/>
      <c r="F49" s="596"/>
      <c r="G49" s="596"/>
      <c r="H49" s="596"/>
      <c r="I49" s="597"/>
      <c r="J49" s="596"/>
      <c r="K49" s="596"/>
      <c r="L49" s="596"/>
      <c r="M49" s="596"/>
      <c r="N49" s="596"/>
      <c r="O49" s="596"/>
      <c r="P49" s="591"/>
    </row>
    <row r="50" spans="1:16">
      <c r="A50" s="593" t="s">
        <v>268</v>
      </c>
      <c r="B50" s="598">
        <f>IF(ISERROR(O34/(O34+N34)),0,O34/(O34+N34))</f>
        <v>0.58823529411764708</v>
      </c>
      <c r="C50" s="599">
        <f>IF(ISERROR(N34/(O34+N34)),0,N34/(N34+O34))</f>
        <v>0.41176470588235292</v>
      </c>
      <c r="D50" s="566"/>
      <c r="E50" s="566"/>
      <c r="F50" s="566"/>
      <c r="G50" s="566"/>
      <c r="H50" s="566"/>
      <c r="I50" s="600"/>
      <c r="J50" s="566"/>
      <c r="K50" s="566"/>
      <c r="L50" s="601"/>
      <c r="M50" s="601"/>
      <c r="N50" s="601"/>
      <c r="O50" s="601"/>
      <c r="P50" s="591"/>
    </row>
    <row r="51" spans="1:16">
      <c r="A51" s="593"/>
      <c r="B51" s="602"/>
      <c r="C51" s="602"/>
      <c r="D51" s="602"/>
      <c r="E51" s="602"/>
      <c r="F51" s="602"/>
      <c r="G51" s="602"/>
      <c r="H51" s="602"/>
      <c r="I51" s="603"/>
      <c r="J51" s="602"/>
      <c r="K51" s="602"/>
      <c r="L51" s="604"/>
      <c r="M51" s="604"/>
      <c r="N51" s="604"/>
      <c r="O51" s="604"/>
      <c r="P51" s="591"/>
    </row>
    <row r="52" spans="1:16" ht="30">
      <c r="A52" s="605"/>
      <c r="B52" s="606" t="s">
        <v>518</v>
      </c>
      <c r="C52" s="606" t="s">
        <v>96</v>
      </c>
      <c r="D52" s="606" t="s">
        <v>97</v>
      </c>
      <c r="E52" s="606" t="s">
        <v>98</v>
      </c>
      <c r="F52" s="606" t="s">
        <v>99</v>
      </c>
      <c r="G52" s="606" t="s">
        <v>100</v>
      </c>
      <c r="H52" s="606" t="s">
        <v>101</v>
      </c>
      <c r="I52" s="607" t="s">
        <v>102</v>
      </c>
      <c r="J52" s="596"/>
      <c r="K52" s="596"/>
      <c r="L52" s="604"/>
      <c r="M52" s="604"/>
      <c r="N52" s="604"/>
      <c r="O52" s="591"/>
      <c r="P52" s="591"/>
    </row>
    <row r="53" spans="1:16">
      <c r="A53" s="595" t="s">
        <v>273</v>
      </c>
      <c r="B53" s="608">
        <f t="shared" ref="B53:I53" si="2">$C$50*P34</f>
        <v>75838.23529411765</v>
      </c>
      <c r="C53" s="608">
        <f t="shared" si="2"/>
        <v>0</v>
      </c>
      <c r="D53" s="608">
        <f t="shared" si="2"/>
        <v>0</v>
      </c>
      <c r="E53" s="608">
        <f t="shared" si="2"/>
        <v>0</v>
      </c>
      <c r="F53" s="608">
        <f t="shared" si="2"/>
        <v>0</v>
      </c>
      <c r="G53" s="608">
        <f t="shared" si="2"/>
        <v>0</v>
      </c>
      <c r="H53" s="608">
        <f t="shared" si="2"/>
        <v>29689.411764705881</v>
      </c>
      <c r="I53" s="609">
        <f t="shared" si="2"/>
        <v>0</v>
      </c>
      <c r="J53" s="566"/>
      <c r="K53" s="566"/>
      <c r="L53" s="604"/>
      <c r="M53" s="604"/>
      <c r="N53" s="604"/>
      <c r="O53" s="591"/>
      <c r="P53" s="591"/>
    </row>
    <row r="54" spans="1:16" ht="15.75" thickBot="1">
      <c r="A54" s="610" t="s">
        <v>274</v>
      </c>
      <c r="B54" s="611">
        <f t="shared" ref="B54:I54" si="3">$B$50*P34</f>
        <v>108340.3361344538</v>
      </c>
      <c r="C54" s="611">
        <f t="shared" si="3"/>
        <v>0</v>
      </c>
      <c r="D54" s="611">
        <f t="shared" si="3"/>
        <v>0</v>
      </c>
      <c r="E54" s="611">
        <f t="shared" si="3"/>
        <v>0</v>
      </c>
      <c r="F54" s="611">
        <f t="shared" si="3"/>
        <v>0</v>
      </c>
      <c r="G54" s="611">
        <f t="shared" si="3"/>
        <v>0</v>
      </c>
      <c r="H54" s="611">
        <f t="shared" si="3"/>
        <v>42413.445378151264</v>
      </c>
      <c r="I54" s="612">
        <f t="shared" si="3"/>
        <v>0</v>
      </c>
      <c r="J54" s="566"/>
      <c r="K54" s="566"/>
      <c r="L54" s="604"/>
      <c r="M54" s="604"/>
      <c r="N54" s="604"/>
      <c r="O54" s="591"/>
      <c r="P54" s="591"/>
    </row>
    <row r="55" spans="1:16">
      <c r="J55" s="552"/>
      <c r="K55" s="552"/>
      <c r="L55" s="552"/>
      <c r="M55" s="552"/>
      <c r="N55" s="552"/>
    </row>
    <row r="56" spans="1:16">
      <c r="J56" s="552"/>
      <c r="K56" s="552"/>
      <c r="L56" s="552"/>
      <c r="M56" s="552"/>
      <c r="N56" s="55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9"/>
  <sheetViews>
    <sheetView showGridLines="0" workbookViewId="0">
      <selection activeCell="A21" sqref="A21:H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397</v>
      </c>
      <c r="B1" s="343" t="s">
        <v>404</v>
      </c>
      <c r="C1" s="343" t="s">
        <v>403</v>
      </c>
      <c r="D1" s="343" t="s">
        <v>402</v>
      </c>
      <c r="E1" s="344" t="s">
        <v>398</v>
      </c>
      <c r="F1" s="345" t="s">
        <v>399</v>
      </c>
      <c r="G1" s="345" t="s">
        <v>400</v>
      </c>
      <c r="H1" s="345" t="s">
        <v>401</v>
      </c>
    </row>
    <row r="2" spans="1:8" s="11" customFormat="1">
      <c r="A2" s="1012" t="s">
        <v>813</v>
      </c>
      <c r="B2" s="1013" t="s">
        <v>834</v>
      </c>
      <c r="C2" s="1012" t="s">
        <v>611</v>
      </c>
      <c r="D2" s="1012" t="s">
        <v>660</v>
      </c>
      <c r="E2" s="339"/>
      <c r="F2" s="336" t="s">
        <v>663</v>
      </c>
      <c r="G2" s="336" t="s">
        <v>670</v>
      </c>
      <c r="H2" s="337" t="s">
        <v>671</v>
      </c>
    </row>
    <row r="3" spans="1:8" s="11" customFormat="1">
      <c r="A3" s="1012" t="s">
        <v>843</v>
      </c>
      <c r="B3" s="1013" t="s">
        <v>844</v>
      </c>
      <c r="C3" s="1012" t="s">
        <v>186</v>
      </c>
      <c r="D3" s="1014" t="s">
        <v>845</v>
      </c>
      <c r="E3" s="339"/>
      <c r="F3" s="823" t="s">
        <v>658</v>
      </c>
      <c r="G3" s="823" t="s">
        <v>657</v>
      </c>
      <c r="H3" s="823" t="s">
        <v>659</v>
      </c>
    </row>
    <row r="4" spans="1:8" s="11" customFormat="1">
      <c r="A4" s="338" t="s">
        <v>390</v>
      </c>
      <c r="B4" s="727">
        <v>2018</v>
      </c>
      <c r="C4" s="338" t="s">
        <v>390</v>
      </c>
      <c r="D4" s="338" t="s">
        <v>666</v>
      </c>
      <c r="E4" s="339"/>
      <c r="F4" s="823" t="s">
        <v>654</v>
      </c>
      <c r="G4" s="823" t="s">
        <v>655</v>
      </c>
      <c r="H4" s="823" t="s">
        <v>656</v>
      </c>
    </row>
    <row r="5" spans="1:8">
      <c r="A5" s="333" t="s">
        <v>385</v>
      </c>
      <c r="B5" s="821" t="s">
        <v>685</v>
      </c>
      <c r="C5" s="333" t="s">
        <v>385</v>
      </c>
      <c r="D5" s="333" t="s">
        <v>667</v>
      </c>
      <c r="E5" s="335"/>
      <c r="F5" s="336" t="s">
        <v>386</v>
      </c>
      <c r="G5" s="336" t="s">
        <v>387</v>
      </c>
      <c r="H5" s="337" t="s">
        <v>388</v>
      </c>
    </row>
    <row r="6" spans="1:8">
      <c r="A6" s="333" t="s">
        <v>389</v>
      </c>
      <c r="B6" s="821" t="s">
        <v>713</v>
      </c>
      <c r="C6" s="333" t="s">
        <v>389</v>
      </c>
      <c r="D6" s="333" t="s">
        <v>668</v>
      </c>
      <c r="E6" s="335"/>
      <c r="F6" s="336" t="s">
        <v>640</v>
      </c>
      <c r="G6" s="336" t="s">
        <v>642</v>
      </c>
      <c r="H6" s="337" t="s">
        <v>641</v>
      </c>
    </row>
    <row r="7" spans="1:8">
      <c r="A7" s="338" t="s">
        <v>414</v>
      </c>
      <c r="B7" s="341" t="s">
        <v>415</v>
      </c>
      <c r="C7" s="338" t="s">
        <v>417</v>
      </c>
      <c r="D7" s="338" t="s">
        <v>413</v>
      </c>
      <c r="E7" s="335" t="s">
        <v>416</v>
      </c>
      <c r="F7" s="336"/>
      <c r="G7" s="336"/>
      <c r="H7" s="337"/>
    </row>
    <row r="8" spans="1:8" s="815" customFormat="1">
      <c r="A8" s="338" t="s">
        <v>661</v>
      </c>
      <c r="B8" s="727">
        <v>2017</v>
      </c>
      <c r="C8" s="338" t="s">
        <v>390</v>
      </c>
      <c r="D8" s="338" t="s">
        <v>835</v>
      </c>
      <c r="E8" s="335" t="s">
        <v>662</v>
      </c>
      <c r="F8" s="336"/>
      <c r="G8" s="336"/>
      <c r="H8" s="337"/>
    </row>
    <row r="9" spans="1:8" s="815" customFormat="1">
      <c r="A9" s="338" t="s">
        <v>674</v>
      </c>
      <c r="B9" s="727">
        <v>2017</v>
      </c>
      <c r="C9" s="338" t="s">
        <v>676</v>
      </c>
      <c r="D9" s="338" t="s">
        <v>675</v>
      </c>
      <c r="E9" s="340" t="s">
        <v>673</v>
      </c>
      <c r="F9" s="336"/>
      <c r="G9" s="336"/>
      <c r="H9" s="337"/>
    </row>
    <row r="10" spans="1:8" s="11" customFormat="1">
      <c r="A10" s="338" t="s">
        <v>588</v>
      </c>
      <c r="B10" s="853" t="s">
        <v>701</v>
      </c>
      <c r="C10" s="338" t="s">
        <v>589</v>
      </c>
      <c r="D10" s="338" t="s">
        <v>590</v>
      </c>
      <c r="E10" s="339"/>
      <c r="F10" s="823" t="s">
        <v>643</v>
      </c>
      <c r="G10" s="823" t="s">
        <v>644</v>
      </c>
      <c r="H10" s="337" t="s">
        <v>645</v>
      </c>
    </row>
    <row r="11" spans="1:8">
      <c r="A11" s="333" t="s">
        <v>648</v>
      </c>
      <c r="B11" s="821" t="s">
        <v>712</v>
      </c>
      <c r="C11" s="333" t="s">
        <v>649</v>
      </c>
      <c r="D11" s="333" t="s">
        <v>669</v>
      </c>
      <c r="E11" s="626"/>
      <c r="F11" s="336" t="s">
        <v>652</v>
      </c>
      <c r="G11" s="336" t="s">
        <v>650</v>
      </c>
      <c r="H11" s="337" t="s">
        <v>651</v>
      </c>
    </row>
    <row r="12" spans="1:8" s="815" customFormat="1">
      <c r="A12" s="338" t="s">
        <v>665</v>
      </c>
      <c r="B12" s="727">
        <v>2017</v>
      </c>
      <c r="C12" s="338" t="s">
        <v>408</v>
      </c>
      <c r="D12" s="338" t="s">
        <v>664</v>
      </c>
      <c r="E12" s="335"/>
      <c r="F12" s="336" t="s">
        <v>663</v>
      </c>
      <c r="G12" s="336" t="s">
        <v>670</v>
      </c>
      <c r="H12" s="337" t="s">
        <v>671</v>
      </c>
    </row>
    <row r="13" spans="1:8" s="10" customFormat="1">
      <c r="A13" s="338" t="s">
        <v>392</v>
      </c>
      <c r="B13" s="334" t="s">
        <v>407</v>
      </c>
      <c r="C13" s="333"/>
      <c r="D13" s="342" t="s">
        <v>406</v>
      </c>
      <c r="E13" s="335"/>
      <c r="F13" s="336"/>
      <c r="G13" s="336"/>
      <c r="H13" s="337"/>
    </row>
    <row r="14" spans="1:8">
      <c r="A14" s="333" t="s">
        <v>381</v>
      </c>
      <c r="B14" s="334" t="s">
        <v>685</v>
      </c>
      <c r="C14" s="333" t="s">
        <v>636</v>
      </c>
      <c r="D14" s="333" t="s">
        <v>686</v>
      </c>
      <c r="E14" s="340" t="s">
        <v>382</v>
      </c>
      <c r="F14" s="336" t="s">
        <v>383</v>
      </c>
      <c r="G14" s="336" t="s">
        <v>730</v>
      </c>
      <c r="H14" s="336" t="s">
        <v>384</v>
      </c>
    </row>
    <row r="15" spans="1:8">
      <c r="A15" s="333" t="s">
        <v>391</v>
      </c>
      <c r="B15" s="821" t="s">
        <v>653</v>
      </c>
      <c r="C15" s="333" t="s">
        <v>391</v>
      </c>
      <c r="D15" s="333" t="s">
        <v>405</v>
      </c>
      <c r="E15" s="335"/>
      <c r="F15" s="336" t="s">
        <v>720</v>
      </c>
      <c r="G15" s="829" t="s">
        <v>729</v>
      </c>
      <c r="H15" s="829" t="s">
        <v>728</v>
      </c>
    </row>
    <row r="16" spans="1:8" s="822" customFormat="1">
      <c r="A16" s="825" t="s">
        <v>491</v>
      </c>
      <c r="B16" s="826" t="s">
        <v>366</v>
      </c>
      <c r="C16" s="825" t="s">
        <v>364</v>
      </c>
      <c r="D16" s="827" t="s">
        <v>365</v>
      </c>
      <c r="E16" s="828" t="s">
        <v>367</v>
      </c>
      <c r="F16" s="336" t="s">
        <v>638</v>
      </c>
      <c r="G16" s="829" t="s">
        <v>646</v>
      </c>
      <c r="H16" s="337" t="s">
        <v>647</v>
      </c>
    </row>
    <row r="17" spans="1:8" s="822" customFormat="1">
      <c r="A17" s="825" t="s">
        <v>491</v>
      </c>
      <c r="B17" s="826" t="s">
        <v>713</v>
      </c>
      <c r="C17" s="825" t="s">
        <v>714</v>
      </c>
      <c r="D17" s="827" t="s">
        <v>715</v>
      </c>
      <c r="E17" s="828"/>
      <c r="F17" s="336" t="s">
        <v>638</v>
      </c>
      <c r="G17" s="829" t="s">
        <v>646</v>
      </c>
      <c r="H17" s="337" t="s">
        <v>647</v>
      </c>
    </row>
    <row r="18" spans="1:8" s="11" customFormat="1">
      <c r="A18" s="338" t="s">
        <v>490</v>
      </c>
      <c r="B18" s="826" t="s">
        <v>696</v>
      </c>
      <c r="C18" s="338" t="s">
        <v>408</v>
      </c>
      <c r="D18" s="338" t="s">
        <v>695</v>
      </c>
      <c r="E18" s="339" t="s">
        <v>639</v>
      </c>
      <c r="F18" s="336" t="s">
        <v>638</v>
      </c>
      <c r="G18" s="829" t="s">
        <v>646</v>
      </c>
      <c r="H18" s="337" t="s">
        <v>647</v>
      </c>
    </row>
    <row r="19" spans="1:8" s="11" customFormat="1">
      <c r="A19" s="338" t="s">
        <v>863</v>
      </c>
      <c r="B19" s="826" t="s">
        <v>864</v>
      </c>
      <c r="C19" s="338"/>
      <c r="D19" s="338"/>
      <c r="E19" s="340" t="s">
        <v>865</v>
      </c>
      <c r="F19" s="336"/>
      <c r="G19" s="829"/>
      <c r="H19" s="337"/>
    </row>
    <row r="20" spans="1:8">
      <c r="A20" s="338" t="s">
        <v>186</v>
      </c>
      <c r="B20" s="727" t="s">
        <v>685</v>
      </c>
      <c r="C20" s="338" t="s">
        <v>409</v>
      </c>
      <c r="D20" s="338" t="s">
        <v>637</v>
      </c>
      <c r="E20" s="335"/>
      <c r="F20" s="336" t="s">
        <v>410</v>
      </c>
      <c r="G20" s="336" t="s">
        <v>411</v>
      </c>
      <c r="H20" s="337" t="s">
        <v>412</v>
      </c>
    </row>
    <row r="21" spans="1:8" s="11" customFormat="1">
      <c r="A21" s="1012" t="s">
        <v>867</v>
      </c>
      <c r="B21" s="1008" t="s">
        <v>868</v>
      </c>
      <c r="C21" s="1012" t="s">
        <v>186</v>
      </c>
      <c r="D21" s="1012" t="s">
        <v>869</v>
      </c>
      <c r="E21" s="335"/>
      <c r="F21" s="823" t="s">
        <v>658</v>
      </c>
      <c r="G21" s="823" t="s">
        <v>657</v>
      </c>
      <c r="H21" s="823" t="s">
        <v>659</v>
      </c>
    </row>
    <row r="22" spans="1:8" s="815" customFormat="1">
      <c r="A22" s="338" t="s">
        <v>391</v>
      </c>
      <c r="B22" s="727" t="s">
        <v>701</v>
      </c>
      <c r="C22" s="338" t="s">
        <v>391</v>
      </c>
      <c r="D22" s="338" t="s">
        <v>716</v>
      </c>
      <c r="E22" s="335"/>
      <c r="F22" s="336" t="s">
        <v>718</v>
      </c>
      <c r="G22" s="823" t="s">
        <v>727</v>
      </c>
      <c r="H22" s="824" t="s">
        <v>726</v>
      </c>
    </row>
    <row r="23" spans="1:8" s="815" customFormat="1">
      <c r="A23" s="338" t="s">
        <v>391</v>
      </c>
      <c r="B23" s="727" t="s">
        <v>713</v>
      </c>
      <c r="C23" s="338" t="s">
        <v>391</v>
      </c>
      <c r="D23" s="338" t="s">
        <v>717</v>
      </c>
      <c r="E23" s="335"/>
      <c r="F23" s="336" t="s">
        <v>719</v>
      </c>
      <c r="G23" s="823" t="s">
        <v>722</v>
      </c>
      <c r="H23" s="823" t="s">
        <v>721</v>
      </c>
    </row>
    <row r="24" spans="1:8" s="11" customFormat="1">
      <c r="A24" s="338" t="s">
        <v>391</v>
      </c>
      <c r="B24" s="853" t="s">
        <v>702</v>
      </c>
      <c r="C24" s="338" t="s">
        <v>391</v>
      </c>
      <c r="D24" s="338" t="s">
        <v>613</v>
      </c>
      <c r="E24" s="339"/>
      <c r="F24" s="823" t="s">
        <v>725</v>
      </c>
      <c r="G24" s="823" t="s">
        <v>724</v>
      </c>
      <c r="H24" s="823" t="s">
        <v>723</v>
      </c>
    </row>
    <row r="25" spans="1:8" s="11" customFormat="1">
      <c r="A25" s="338" t="s">
        <v>391</v>
      </c>
      <c r="B25" s="853" t="s">
        <v>702</v>
      </c>
      <c r="C25" s="338" t="s">
        <v>391</v>
      </c>
      <c r="D25" s="854" t="s">
        <v>593</v>
      </c>
      <c r="E25" s="339"/>
      <c r="F25" s="823" t="s">
        <v>725</v>
      </c>
      <c r="G25" s="823" t="s">
        <v>724</v>
      </c>
      <c r="H25" s="824" t="s">
        <v>723</v>
      </c>
    </row>
    <row r="28" spans="1:8">
      <c r="F28" s="815"/>
    </row>
    <row r="29" spans="1:8">
      <c r="G29" s="815"/>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 ref="E19" r:id="rId10" xr:uid="{727B6655-538D-40A2-96F7-418C9EF25074}"/>
  </hyperlinks>
  <pageMargins left="0.7" right="0.7" top="0.75" bottom="0.75" header="0.3" footer="0.3"/>
  <pageSetup paperSize="9" orientation="portrait" r:id="rId11"/>
  <ignoredErrors>
    <ignoredError sqref="B7 B13"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3"/>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30" t="s">
        <v>578</v>
      </c>
      <c r="B1" s="830" t="s">
        <v>579</v>
      </c>
      <c r="C1" s="830" t="s">
        <v>581</v>
      </c>
      <c r="D1" s="830" t="s">
        <v>580</v>
      </c>
    </row>
    <row r="2" spans="1:4" s="816" customFormat="1">
      <c r="A2" s="816" t="s">
        <v>678</v>
      </c>
      <c r="B2" s="839">
        <v>43172</v>
      </c>
      <c r="C2" s="816" t="s">
        <v>688</v>
      </c>
      <c r="D2" s="840" t="s">
        <v>687</v>
      </c>
    </row>
    <row r="3" spans="1:4" s="816" customFormat="1">
      <c r="A3" s="816" t="s">
        <v>678</v>
      </c>
      <c r="B3" s="839">
        <v>43172</v>
      </c>
      <c r="C3" s="816" t="s">
        <v>689</v>
      </c>
      <c r="D3" s="840" t="s">
        <v>690</v>
      </c>
    </row>
    <row r="4" spans="1:4" s="816" customFormat="1">
      <c r="A4" s="816" t="s">
        <v>678</v>
      </c>
      <c r="B4" s="839">
        <v>43278</v>
      </c>
      <c r="C4" s="816" t="s">
        <v>698</v>
      </c>
      <c r="D4" s="840"/>
    </row>
    <row r="5" spans="1:4" s="816" customFormat="1">
      <c r="A5" s="816" t="s">
        <v>678</v>
      </c>
      <c r="B5" s="839">
        <v>42525</v>
      </c>
      <c r="C5" s="816" t="s">
        <v>699</v>
      </c>
      <c r="D5" s="851"/>
    </row>
    <row r="6" spans="1:4" s="816" customFormat="1">
      <c r="A6" s="816" t="s">
        <v>678</v>
      </c>
      <c r="B6" s="855">
        <v>43266</v>
      </c>
      <c r="C6" s="815" t="s">
        <v>708</v>
      </c>
      <c r="D6" s="856" t="s">
        <v>704</v>
      </c>
    </row>
    <row r="7" spans="1:4" s="816" customFormat="1">
      <c r="A7" s="816" t="s">
        <v>678</v>
      </c>
      <c r="B7" s="855">
        <v>43266</v>
      </c>
      <c r="C7" s="815" t="s">
        <v>709</v>
      </c>
      <c r="D7" s="856" t="s">
        <v>705</v>
      </c>
    </row>
    <row r="8" spans="1:4" s="816" customFormat="1">
      <c r="A8" s="816" t="s">
        <v>678</v>
      </c>
      <c r="B8" s="855">
        <v>43266</v>
      </c>
      <c r="C8" s="815" t="s">
        <v>710</v>
      </c>
      <c r="D8" s="856" t="s">
        <v>706</v>
      </c>
    </row>
    <row r="9" spans="1:4" s="7" customFormat="1">
      <c r="A9" s="816" t="s">
        <v>678</v>
      </c>
      <c r="B9" s="855">
        <v>43266</v>
      </c>
      <c r="C9" s="815" t="s">
        <v>711</v>
      </c>
      <c r="D9" s="856" t="s">
        <v>707</v>
      </c>
    </row>
    <row r="10" spans="1:4" s="7" customFormat="1">
      <c r="A10" s="816" t="s">
        <v>678</v>
      </c>
      <c r="B10" s="839">
        <v>43278</v>
      </c>
      <c r="C10" s="839" t="s">
        <v>731</v>
      </c>
      <c r="D10" s="856"/>
    </row>
    <row r="11" spans="1:4" s="7" customFormat="1">
      <c r="A11" s="816" t="s">
        <v>737</v>
      </c>
      <c r="B11" s="839">
        <v>43347</v>
      </c>
      <c r="C11" s="839" t="s">
        <v>738</v>
      </c>
      <c r="D11" s="859"/>
    </row>
    <row r="12" spans="1:4" s="7" customFormat="1">
      <c r="A12" s="816" t="s">
        <v>782</v>
      </c>
      <c r="B12" s="839">
        <v>43573</v>
      </c>
      <c r="C12" s="839" t="s">
        <v>783</v>
      </c>
      <c r="D12" s="859"/>
    </row>
    <row r="13" spans="1:4" s="7" customFormat="1">
      <c r="A13" s="816" t="s">
        <v>782</v>
      </c>
      <c r="B13" s="839">
        <v>43599</v>
      </c>
      <c r="C13" s="839" t="s">
        <v>784</v>
      </c>
      <c r="D13" s="859" t="s">
        <v>785</v>
      </c>
    </row>
    <row r="14" spans="1:4" s="7" customFormat="1">
      <c r="A14" s="816" t="s">
        <v>806</v>
      </c>
      <c r="B14" s="839">
        <v>43678</v>
      </c>
      <c r="C14" s="839" t="s">
        <v>807</v>
      </c>
      <c r="D14" s="859" t="s">
        <v>808</v>
      </c>
    </row>
    <row r="15" spans="1:4" s="7" customFormat="1">
      <c r="A15" s="993" t="s">
        <v>812</v>
      </c>
      <c r="B15" s="1001">
        <v>43930</v>
      </c>
      <c r="C15" s="997" t="s">
        <v>809</v>
      </c>
      <c r="D15" s="1000" t="s">
        <v>810</v>
      </c>
    </row>
    <row r="16" spans="1:4" s="7" customFormat="1">
      <c r="A16" s="998" t="s">
        <v>812</v>
      </c>
      <c r="B16" s="1001">
        <v>43930</v>
      </c>
      <c r="C16" s="997" t="s">
        <v>811</v>
      </c>
      <c r="D16" s="1000" t="s">
        <v>810</v>
      </c>
    </row>
    <row r="17" spans="1:4" s="7" customFormat="1">
      <c r="A17" s="998" t="s">
        <v>812</v>
      </c>
      <c r="B17" s="1001">
        <v>43943</v>
      </c>
      <c r="C17" s="997" t="s">
        <v>814</v>
      </c>
      <c r="D17" s="999" t="s">
        <v>704</v>
      </c>
    </row>
    <row r="18" spans="1:4" s="7" customFormat="1">
      <c r="A18" s="998" t="s">
        <v>812</v>
      </c>
      <c r="B18" s="1001">
        <v>43943</v>
      </c>
      <c r="C18" s="997" t="s">
        <v>815</v>
      </c>
      <c r="D18" s="1000" t="s">
        <v>705</v>
      </c>
    </row>
    <row r="19" spans="1:4" s="7" customFormat="1">
      <c r="A19" s="998" t="s">
        <v>812</v>
      </c>
      <c r="B19" s="1001">
        <v>43943</v>
      </c>
      <c r="C19" s="997" t="s">
        <v>816</v>
      </c>
      <c r="D19" s="1000" t="s">
        <v>706</v>
      </c>
    </row>
    <row r="20" spans="1:4" s="7" customFormat="1">
      <c r="A20" s="998" t="s">
        <v>812</v>
      </c>
      <c r="B20" s="1001">
        <v>43943</v>
      </c>
      <c r="C20" s="997" t="s">
        <v>817</v>
      </c>
      <c r="D20" s="1000" t="s">
        <v>818</v>
      </c>
    </row>
    <row r="21" spans="1:4">
      <c r="A21" s="998" t="s">
        <v>812</v>
      </c>
      <c r="B21" s="1001">
        <v>43951</v>
      </c>
      <c r="C21" t="s">
        <v>819</v>
      </c>
      <c r="D21" s="1000" t="s">
        <v>820</v>
      </c>
    </row>
    <row r="22" spans="1:4">
      <c r="A22" s="998" t="s">
        <v>812</v>
      </c>
      <c r="B22" s="1001">
        <v>43965</v>
      </c>
      <c r="C22" t="s">
        <v>821</v>
      </c>
      <c r="D22" s="999" t="s">
        <v>822</v>
      </c>
    </row>
    <row r="23" spans="1:4">
      <c r="A23" s="998" t="s">
        <v>825</v>
      </c>
      <c r="B23" s="1001">
        <v>44315</v>
      </c>
      <c r="C23" t="s">
        <v>826</v>
      </c>
      <c r="D23" s="840" t="s">
        <v>687</v>
      </c>
    </row>
    <row r="24" spans="1:4">
      <c r="A24" s="1009" t="s">
        <v>825</v>
      </c>
      <c r="B24" s="1010">
        <v>44326</v>
      </c>
      <c r="C24" t="s">
        <v>836</v>
      </c>
      <c r="D24" s="1011" t="s">
        <v>840</v>
      </c>
    </row>
    <row r="25" spans="1:4">
      <c r="A25" s="1009" t="s">
        <v>825</v>
      </c>
      <c r="B25" s="1010">
        <v>44326</v>
      </c>
      <c r="C25" t="s">
        <v>837</v>
      </c>
      <c r="D25" s="1011" t="s">
        <v>841</v>
      </c>
    </row>
    <row r="26" spans="1:4">
      <c r="A26" s="1009" t="s">
        <v>825</v>
      </c>
      <c r="B26" s="1010">
        <v>44326</v>
      </c>
      <c r="C26" t="s">
        <v>838</v>
      </c>
      <c r="D26" s="1011" t="s">
        <v>705</v>
      </c>
    </row>
    <row r="27" spans="1:4">
      <c r="A27" s="1009" t="s">
        <v>825</v>
      </c>
      <c r="B27" s="1010">
        <v>44326</v>
      </c>
      <c r="C27" t="s">
        <v>839</v>
      </c>
      <c r="D27" s="1011" t="s">
        <v>842</v>
      </c>
    </row>
    <row r="28" spans="1:4">
      <c r="A28" s="1009" t="s">
        <v>859</v>
      </c>
      <c r="B28" s="1010">
        <v>44698</v>
      </c>
      <c r="C28" t="s">
        <v>819</v>
      </c>
    </row>
    <row r="29" spans="1:4">
      <c r="A29" s="1009" t="s">
        <v>859</v>
      </c>
      <c r="B29" s="1010">
        <v>44699</v>
      </c>
      <c r="C29" t="s">
        <v>860</v>
      </c>
    </row>
    <row r="30" spans="1:4">
      <c r="A30" s="1009" t="s">
        <v>859</v>
      </c>
      <c r="B30" s="1010">
        <v>44699</v>
      </c>
      <c r="C30" t="s">
        <v>862</v>
      </c>
    </row>
    <row r="31" spans="1:4">
      <c r="A31" s="1009" t="s">
        <v>859</v>
      </c>
      <c r="B31" s="855">
        <v>44768</v>
      </c>
      <c r="C31" s="1016" t="s">
        <v>870</v>
      </c>
      <c r="D31" s="1011" t="s">
        <v>705</v>
      </c>
    </row>
    <row r="32" spans="1:4">
      <c r="A32" s="1009" t="s">
        <v>859</v>
      </c>
      <c r="B32" s="855">
        <v>44768</v>
      </c>
      <c r="C32" s="1016" t="s">
        <v>871</v>
      </c>
      <c r="D32" s="1011" t="s">
        <v>842</v>
      </c>
    </row>
    <row r="33" spans="1:4">
      <c r="A33" s="1009" t="s">
        <v>859</v>
      </c>
      <c r="B33" s="855">
        <v>44768</v>
      </c>
      <c r="C33" s="855" t="s">
        <v>873</v>
      </c>
      <c r="D33" s="999" t="s">
        <v>874</v>
      </c>
    </row>
  </sheetData>
  <phoneticPr fontId="135" type="noConversion"/>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 ref="D32" location="'ECF transport '!A1" display=" ECF transport '!A1 " xr:uid="{029739F8-2E20-4619-A9A9-4C3F8F865295}"/>
    <hyperlink ref="D31" location="transport!A21" display="transport!A21" xr:uid="{F2DEDD0C-6BEE-4ACC-878C-FF9CD13B1BC3}"/>
    <hyperlink ref="D33" location="'lokale energieproductie'!X27" display="lokale energieproductie'!X27" xr:uid="{FD9F1ADC-D0EE-421E-BAB5-292B2EC0FEC0}"/>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2022-07-26T10:54:38Z</dcterms:modified>
</cp:coreProperties>
</file>