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22684438-08FD-4901-BE60-A3625C594CD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<sst xmlns="http://schemas.openxmlformats.org/spreadsheetml/2006/main" count="2402" uniqueCount="881">
  <si>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</si>
  <si>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</si>
  <si>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</si>
  <si>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</si>
  <si>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</si>
  <si>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</si>
  <si>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</si>
  <si>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</si>
  <si>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</si>
  <si>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</si>
  <si>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</si>
  <si>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</si>
  <si>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</si>
  <si>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</si>
  <si>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</si>
  <si>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</si>
  <si>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</si>
  <si>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</si>
  <si>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</si>
  <si>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</si>
  <si>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</si>
  <si>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</si>
  <si>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</si>
  <si>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</si>
  <si>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</si>
  <si>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</si>
  <si>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</si>
  <si>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</si>
  <si>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</si>
  <si>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</si>
  <si>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</si>
  <si>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</si>
  <si>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</si>
  <si>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</si>
  <si>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</si>
  <si>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</si>
  <si>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</si>
  <si>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</si>
  <si>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</si>
  <si>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</si>
  <si>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</si>
  <si>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</si>
  <si>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</si>
  <si>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</si>
  <si>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</si>
  <si>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</si>
  <si>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</si>
  <si>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</si>
  <si>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</si>
  <si>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</si>
  <si>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</si>
  <si>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</si>
  <si>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</si>
  <si>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</si>
  <si>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</si>
  <si>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</si>
  <si>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</si>
  <si>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</si>
  <si>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</si>
  <si>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</si>
  <si>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</si>
  <si>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</si>
  <si>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</si>
  <si>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</si>
  <si>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</si>
  <si>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</si>
  <si>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</si>
  <si>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</si>
  <si>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</si>
  <si>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</si>
  <si>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</si>
  <si>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</si>
  <si>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</si>
  <si>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</si>
  <si>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</si>
  <si>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</si>
  <si>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</si>
  <si>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</si>
  <si>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</si>
  <si>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</si>
  <si>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</si>
  <si>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</si>
  <si>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</si>
  <si>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</si>
  <si>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</si>
  <si>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</si>
  <si>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</si>
  <si>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</si>
  <si>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</si>
  <si>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</si>
  <si>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</si>
  <si>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</si>
  <si>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</si>
  <si>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</si>
  <si>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</si>
  <si>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</si>
  <si>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</si>
  <si>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</si>
  <si>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</si>
  <si>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</si>
  <si>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</si>
  <si>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</si>
  <si>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</si>
  <si>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</si>
  <si>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</si>
  <si>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</si>
  <si>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</si>
  <si>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</si>
  <si>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</si>
  <si>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</si>
  <si>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</si>
  <si>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</si>
  <si>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</si>
  <si>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</si>
  <si>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</si>
  <si>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</si>
  <si>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</si>
  <si>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</si>
  <si>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</si>
  <si>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</si>
  <si>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</si>
  <si>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</si>
  <si>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</si>
  <si>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</si>
  <si>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</si>
  <si>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</si>
  <si>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</si>
  <si>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</si>
  <si>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</si>
  <si>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</si>
  <si>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</si>
  <si>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</si>
  <si>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</si>
  <si>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</si>
  <si>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</si>
  <si>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</si>
  <si>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</si>
  <si>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</si>
  <si>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</si>
  <si>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</si>
  <si>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</si>
  <si>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</si>
  <si>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</si>
  <si>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</si>
  <si>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</si>
  <si>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</si>
  <si>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</si>
  <si>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</si>
  <si>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</si>
  <si>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</si>
  <si>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</si>
  <si>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</si>
  <si>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</si>
  <si>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</si>
  <si>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</si>
  <si>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</si>
  <si>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</si>
  <si>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</si>
  <si>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</si>
  <si>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</si>
  <si>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</si>
  <si>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</si>
  <si>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</si>
  <si>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</si>
  <si>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</si>
  <si>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</si>
  <si>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</si>
  <si>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</si>
  <si>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</si>
  <si>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</si>
  <si>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</si>
  <si>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</si>
  <si>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</si>
  <si>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</si>
  <si>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</si>
  <si>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</si>
  <si>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</si>
  <si>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</si>
  <si>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</si>
  <si>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</si>
  <si>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</si>
  <si>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</si>
  <si>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</si>
  <si>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</si>
  <si>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</si>
  <si>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</si>
  <si>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</si>
  <si>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</si>
  <si>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</si>
  <si>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</si>
  <si>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</si>
  <si>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</si>
  <si>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</si>
  <si>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</si>
  <si>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</si>
  <si>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</si>
  <si>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</si>
  <si>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</si>
  <si>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</si>
  <si>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</si>
  <si>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</si>
  <si>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</si>
  <si>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</si>
  <si>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</si>
  <si>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</si>
  <si>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</si>
  <si>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</si>
  <si>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</si>
  <si>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</si>
  <si>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</si>
  <si>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</si>
  <si>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</si>
  <si>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</si>
  <si>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</si>
  <si>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</si>
  <si>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</si>
  <si>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</si>
  <si>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</si>
  <si>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</si>
  <si>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</si>
  <si>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</si>
  <si>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</si>
  <si>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</si>
  <si>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</si>
  <si>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</si>
  <si>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</si>
  <si>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</si>
  <si>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</si>
  <si>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</si>
  <si>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</si>
  <si>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</si>
  <si>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</si>
  <si>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</si>
  <si>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</si>
  <si>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</si>
  <si>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</si>
  <si>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</si>
  <si>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</si>
  <si>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</si>
  <si>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</si>
  <si>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</si>
  <si>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</si>
  <si>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</si>
  <si>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</si>
  <si>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</si>
  <si>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</si>
  <si>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</si>
  <si>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</si>
  <si>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</si>
  <si>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</si>
  <si>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</si>
  <si>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</si>
  <si>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</si>
  <si>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</si>
  <si>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</si>
  <si>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</si>
  <si>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</si>
  <si>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</si>
  <si>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</si>
  <si>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</si>
  <si>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</si>
  <si>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</si>
  <si>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</si>
  <si>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</si>
  <si>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</si>
  <si>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</si>
  <si>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</si>
  <si>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</si>
  <si>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</si>
  <si>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</si>
  <si>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</si>
  <si>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</si>
  <si>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</si>
  <si>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</si>
  <si>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</si>
  <si>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</si>
  <si>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</si>
  <si>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</si>
  <si>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</si>
  <si>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</si>
  <si>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</si>
  <si>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</si>
  <si>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</si>
  <si>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</si>
  <si>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</si>
  <si>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</si>
  <si>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</si>
  <si>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</si>
  <si>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</si>
  <si>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</si>
  <si>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</si>
  <si>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</si>
  <si>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</si>
  <si>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</si>
  <si>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</si>
  <si>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</si>
  <si>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</si>
  <si>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</si>
  <si>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</si>
  <si>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</si>
  <si>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</si>
  <si>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</si>
  <si>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</si>
  <si>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</si>
  <si>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</si>
  <si>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</si>
  <si>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</si>
  <si>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</si>
  <si>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</si>
  <si>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</si>
  <si>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</si>
  <si>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</si>
  <si>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</si>
  <si>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</si>
  <si>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</si>
  <si>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</si>
  <si>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</si>
  <si>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</si>
  <si>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</si>
  <si>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</si>
  <si>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</si>
  <si>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</si>
  <si>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</si>
  <si>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</si>
  <si>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</si>
  <si>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</si>
  <si>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</si>
  <si>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</si>
  <si>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</si>
  <si>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</si>
  <si>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</si>
  <si>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</si>
  <si>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</si>
  <si>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</si>
  <si>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</si>
  <si>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</si>
  <si>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</si>
  <si>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</si>
  <si>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</si>
  <si>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</si>
  <si>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</si>
  <si>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</si>
  <si>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</si>
  <si>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</si>
  <si>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</si>
  <si>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</si>
  <si>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</si>
  <si>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</si>
  <si>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</si>
  <si>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</si>
  <si>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</si>
  <si>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</si>
  <si>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</si>
  <si>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</si>
  <si>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</si>
  <si>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</si>
  <si>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</si>
  <si>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</si>
  <si>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</si>
  <si>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</si>
  <si>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</si>
  <si>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</si>
  <si>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</si>
  <si>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</si>
  <si>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</si>
  <si>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</si>
  <si>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</si>
  <si>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</si>
  <si>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</si>
  <si>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</si>
  <si>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</si>
  <si>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</si>
  <si>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</si>
  <si>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</si>
  <si>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</si>
  <si>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</si>
  <si>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</si>
  <si>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</si>
  <si>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</si>
  <si>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</si>
  <si>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</si>
  <si>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</si>
  <si>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</si>
  <si>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</si>
  <si>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</si>
  <si>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</si>
  <si>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</si>
  <si>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</si>
  <si>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</si>
  <si>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</si>
  <si>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</si>
  <si>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</si>
  <si>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</si>
  <si>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</si>
  <si>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</si>
  <si>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</si>
  <si>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</si>
  <si>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</si>
  <si>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</si>
  <si>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</si>
  <si>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</si>
  <si>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</si>
  <si>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</si>
  <si>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</si>
  <si>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</si>
  <si>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</si>
  <si>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</si>
  <si>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</si>
  <si>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</si>
  <si>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</si>
  <si>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</si>
  <si>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</si>
  <si>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</si>
  <si>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</si>
  <si>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</si>
  <si>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</si>
  <si>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</si>
  <si>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</si>
  <si>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</si>
  <si>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</si>
  <si>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</si>
  <si>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</si>
  <si>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</si>
  <si>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</si>
  <si>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</si>
  <si>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</si>
  <si>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</si>
  <si>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</si>
  <si>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</si>
  <si>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</si>
  <si>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</si>
  <si>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</si>
  <si>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</si>
  <si>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</si>
  <si>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</si>
  <si>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</si>
  <si>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</si>
  <si>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</si>
  <si>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</si>
  <si>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</si>
  <si>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</si>
  <si>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</si>
  <si>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</si>
  <si>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</si>
  <si>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</si>
  <si>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</si>
  <si>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</si>
  <si>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</si>
  <si>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</si>
  <si>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</si>
  <si>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</si>
  <si>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</si>
  <si>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</si>
  <si>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</si>
  <si>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</si>
  <si>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</si>
  <si>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</si>
  <si>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</si>
  <si>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</si>
  <si>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</si>
  <si>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</si>
  <si>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</si>
  <si>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</si>
  <si>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</si>
  <si>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</si>
  <si>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</si>
  <si>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</si>
  <si>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</si>
  <si>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</si>
  <si>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</si>
  <si>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</si>
  <si>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</si>
  <si>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</si>
  <si>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</si>
  <si>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</si>
  <si>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</si>
  <si>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</si>
  <si>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</si>
  <si>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</si>
  <si>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</si>
  <si>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</si>
  <si>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</si>
  <si>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</si>
  <si>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</si>
  <si>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</si>
  <si>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</si>
  <si>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</si>
  <si>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</si>
  <si>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</si>
  <si>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</si>
  <si>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</si>
  <si>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</si>
  <si>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</si>
  <si>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</si>
  <si>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</si>
  <si>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</si>
  <si>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</si>
  <si>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</si>
  <si>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</si>
  <si>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</si>
  <si>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</si>
  <si>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</si>
  <si>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</si>
  <si>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</si>
  <si>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</si>
  <si>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</si>
  <si>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</si>
  <si>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</si>
  <si>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</si>
  <si>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</si>
  <si>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</si>
  <si>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</si>
  <si>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</si>
  <si>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</si>
  <si>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</si>
  <si>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</si>
  <si>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</si>
  <si>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</si>
  <si>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</si>
  <si>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</si>
  <si>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</si>
  <si>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</si>
  <si>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</si>
  <si>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</si>
  <si>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</si>
  <si>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</si>
  <si>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</si>
  <si>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</si>
  <si>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</si>
  <si>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</si>
  <si>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</si>
  <si>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</si>
  <si>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</si>
  <si>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</si>
  <si>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</si>
  <si>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</si>
  <si>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</si>
  <si>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</si>
  <si>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</si>
  <si>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</si>
  <si>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</si>
  <si>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</si>
  <si>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</si>
  <si>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</si>
  <si>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</si>
  <si>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</si>
  <si>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</si>
  <si>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</si>
  <si>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</si>
  <si>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</si>
  <si>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</si>
  <si>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</si>
  <si>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</si>
  <si>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</si>
  <si>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</si>
  <si>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</si>
  <si>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</si>
  <si>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</si>
  <si>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</si>
  <si>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</si>
  <si>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</si>
  <si>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</si>
  <si>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</si>
  <si>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</si>
  <si>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</si>
  <si>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</si>
  <si>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</si>
  <si>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</si>
  <si>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</si>
  <si>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</si>
  <si>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</si>
  <si>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</si>
  <si>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</si>
  <si>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</si>
  <si>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</si>
  <si>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</si>
  <si>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</si>
  <si>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</si>
  <si>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</si>
  <si>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</si>
  <si>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</si>
  <si>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</si>
  <si>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</si>
  <si>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</si>
  <si>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</si>
  <si>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</si>
  <si>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</si>
  <si>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</si>
  <si>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</si>
  <si>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</si>
  <si>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</si>
  <si>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</si>
  <si>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</si>
  <si>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</si>
  <si>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</si>
  <si>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</si>
  <si>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</si>
  <si>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</si>
  <si>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</si>
  <si>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</si>
  <si>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</si>
  <si>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</si>
  <si>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</si>
  <si>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</si>
  <si>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</si>
  <si>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</si>
  <si>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</si>
  <si>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</si>
  <si>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</si>
  <si>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</si>
  <si>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</si>
  <si>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</si>
  <si>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</si>
  <si>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</si>
  <si>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</si>
  <si>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</si>
  <si>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</si>
  <si>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</si>
  <si>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</si>
  <si>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</si>
  <si>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</si>
  <si>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</si>
  <si>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</si>
  <si>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</si>
  <si>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</si>
  <si>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</si>
  <si>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</si>
  <si>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</si>
  <si>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</si>
  <si>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</si>
  <si>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</si>
  <si>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</si>
  <si>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</si>
  <si>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</si>
  <si>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</si>
  <si>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</si>
  <si>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</si>
  <si>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</si>
  <si>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</si>
  <si>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</si>
  <si>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</si>
  <si>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</si>
  <si>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</si>
  <si>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</si>
  <si>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</si>
  <si>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</si>
  <si>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</si>
  <si>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</si>
  <si>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</si>
  <si>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</si>
  <si>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</si>
  <si>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</si>
  <si>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</si>
  <si>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</si>
  <si>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</si>
  <si>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</si>
  <si>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</si>
  <si>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</si>
  <si>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</si>
  <si>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</si>
  <si>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</si>
  <si>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</si>
  <si>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</si>
  <si>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</si>
  <si>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</si>
  <si>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</si>
  <si>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</si>
  <si>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</si>
  <si>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</si>
  <si>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</si>
  <si>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</si>
  <si>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</si>
  <si>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</si>
  <si>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</si>
  <si>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</si>
  <si>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</si>
  <si>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</si>
  <si>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</si>
  <si>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</si>
  <si>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</si>
  <si>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</si>
  <si>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</si>
  <si>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</si>
  <si>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</si>
  <si>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</si>
  <si>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</si>
  <si>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</si>
  <si>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</si>
  <si>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</si>
  <si>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</si>
  <si>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</si>
  <si>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</si>
  <si>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</si>
  <si>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</si>
  <si>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</si>
  <si>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</si>
  <si>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</si>
  <si>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</si>
  <si>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</si>
  <si>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</si>
  <si>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</si>
  <si>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</si>
  <si>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</si>
  <si>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</si>
  <si>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</si>
  <si>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</si>
  <si>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</si>
  <si>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</si>
  <si>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</si>
  <si>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</si>
  <si>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</si>
  <si>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</si>
  <si>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</si>
  <si>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</si>
  <si>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</si>
  <si>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</si>
  <si>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</si>
  <si>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</si>
  <si>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</si>
  <si>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</si>
  <si>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</si>
  <si>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</si>
  <si>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</si>
  <si>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</si>
  <si>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</si>
  <si>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</si>
  <si>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</si>
  <si>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</si>
  <si>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</si>
  <si>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</si>
  <si>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</si>
  <si>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</si>
  <si>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</si>
  <si>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</si>
  <si>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</si>
  <si>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</si>
  <si>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</si>
  <si>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</si>
  <si>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</si>
  <si>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</si>
  <si>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</si>
  <si>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</si>
  <si>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</si>
  <si>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</si>
  <si>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</si>
  <si>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</si>
  <si>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</si>
  <si>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</si>
  <si>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</si>
  <si>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</si>
  <si>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</si>
  <si>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</si>
  <si>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</si>
  <si>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</si>
  <si>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</si>
  <si>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</si>
  <si>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</si>
  <si>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</si>
  <si>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</si>
  <si>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</si>
  <si>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</si>
  <si>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</si>
  <si>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</si>
  <si>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</si>
  <si>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</si>
  <si>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</si>
  <si>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</si>
  <si>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</si>
  <si>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</si>
  <si>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</si>
  <si>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</si>
  <si>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</si>
  <si>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</si>
  <si>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</si>
  <si>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</si>
  <si>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</si>
  <si>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</si>
  <si>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</si>
  <si>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</si>
  <si>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</si>
  <si>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</si>
  <si>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</si>
  <si>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</si>
  <si>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</si>
  <si>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</si>
  <si>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</si>
  <si>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</si>
  <si>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</si>
  <si>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</si>
  <si>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</si>
  <si>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</si>
  <si>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</si>
  <si>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</si>
  <si>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</si>
  <si>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</si>
  <si>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</si>
  <si>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</si>
  <si>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</si>
  <si>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</si>
  <si>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</si>
  <si>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</si>
  <si>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</si>
  <si>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</si>
  <si>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</si>
  <si>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</si>
  <si>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</si>
  <si>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</si>
  <si>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</si>
  <si>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</si>
  <si>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</si>
  <si>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</si>
  <si>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</si>
  <si>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</si>
  <si>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</si>
  <si>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</si>
  <si>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</si>
  <si>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</si>
  <si>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</si>
  <si>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</si>
  <si>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</si>
  <si>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</si>
  <si>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</si>
  <si>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</si>
  <si>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</si>
  <si>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</si>
  <si>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</si>
  <si>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</si>
  <si>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</si>
  <si>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</si>
  <si>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</si>
  <si>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</si>
  <si>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</si>
  <si>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</si>
  <si>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</si>
  <si>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</si>
  <si>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</si>
  <si>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</si>
  <si>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</si>
  <si>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</si>
  <si>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</si>
  <si>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</si>
  <si>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</si>
  <si>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</si>
  <si>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</si>
  <si>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</si>
  <si>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</si>
  <si>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</si>
  <si>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</si>
  <si>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</si>
  <si>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</si>
  <si>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</si>
  <si>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</si>
  <si>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</si>
  <si>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</si>
  <si>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</si>
  <si>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</si>
  <si>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</si>
  <si>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</si>
  <si>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</si>
  <si>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</si>
  <si>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</si>
  <si>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</si>
  <si>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</si>
  <si>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</si>
  <si>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</si>
  <si>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</si>
  <si>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</si>
  <si>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</si>
  <si>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</si>
  <si>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</si>
  <si>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</si>
  <si>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</si>
  <si>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</si>
  <si>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</si>
  <si>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</si>
  <si>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42010</t>
  </si>
  <si>
    <t>LAARNE</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</si>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</sst>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B4ED8EF-E9EF-44D1-85F1-486D86E1FE0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111806.10521786848</c:v>
                </c:pt>
                <c:pt idx="1">
                  <c:v>22757.776621766694</c:v>
                </c:pt>
                <c:pt idx="2">
                  <c:v>982.40499999999997</c:v>
                </c:pt>
                <c:pt idx="3">
                  <c:v>15229.870023196667</c:v>
                </c:pt>
                <c:pt idx="4">
                  <c:v>5559.2148146361724</c:v>
                </c:pt>
                <c:pt idx="5">
                  <c:v>171800.57792733531</c:v>
                </c:pt>
                <c:pt idx="6">
                  <c:v>633.48751226140644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111806.10521786848</c:v>
                </c:pt>
                <c:pt idx="1">
                  <c:v>22757.776621766694</c:v>
                </c:pt>
                <c:pt idx="2">
                  <c:v>982.40499999999997</c:v>
                </c:pt>
                <c:pt idx="3">
                  <c:v>15229.870023196667</c:v>
                </c:pt>
                <c:pt idx="4">
                  <c:v>5559.2148146361724</c:v>
                </c:pt>
                <c:pt idx="5">
                  <c:v>171800.57792733531</c:v>
                </c:pt>
                <c:pt idx="6">
                  <c:v>633.48751226140644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23252.977237867566</c:v>
                </c:pt>
                <c:pt idx="2">
                  <c:v>4675.3925613568781</c:v>
                </c:pt>
                <c:pt idx="3">
                  <c:v>203.69574083148311</c:v>
                </c:pt>
                <c:pt idx="4">
                  <c:v>3810.7465576805462</c:v>
                </c:pt>
                <c:pt idx="5">
                  <c:v>1174.1617144530696</c:v>
                </c:pt>
                <c:pt idx="6">
                  <c:v>43069.264700822183</c:v>
                </c:pt>
                <c:pt idx="7">
                  <c:v>159.64639001552132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23252.977237867566</c:v>
                </c:pt>
                <c:pt idx="2">
                  <c:v>4675.3925613568781</c:v>
                </c:pt>
                <c:pt idx="3">
                  <c:v>203.69574083148311</c:v>
                </c:pt>
                <c:pt idx="4">
                  <c:v>3810.7465576805462</c:v>
                </c:pt>
                <c:pt idx="5">
                  <c:v>1174.1617144530696</c:v>
                </c:pt>
                <c:pt idx="6">
                  <c:v>43069.264700822183</c:v>
                </c:pt>
                <c:pt idx="7">
                  <c:v>159.64639001552132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42010</v>
      </c>
      <c r="B6" s="380"/>
      <c r="C6" s="381"/>
    </row>
    <row r="7" spans="1:7" s="378" customFormat="1" ht="15.75" customHeight="1">
      <c r="A7" s="382" t="str">
        <f>txtMunicipality</f>
        <v>LAARNE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0.20734395776841844</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0.20734395776841844</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5262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1884.36</v>
      </c>
      <c r="C14" s="322"/>
      <c r="D14" s="322"/>
      <c r="E14" s="322"/>
      <c r="F14" s="322"/>
    </row>
    <row r="15" spans="1:6">
      <c r="A15" s="1248" t="s">
        <v>177</v>
      </c>
      <c r="B15" s="1249">
        <v>15</v>
      </c>
      <c r="C15" s="322"/>
      <c r="D15" s="322"/>
      <c r="E15" s="322"/>
      <c r="F15" s="322"/>
    </row>
    <row r="16" spans="1:6">
      <c r="A16" s="1248" t="s">
        <v>6</v>
      </c>
      <c r="B16" s="1249">
        <v>497</v>
      </c>
      <c r="C16" s="322"/>
      <c r="D16" s="322"/>
      <c r="E16" s="322"/>
      <c r="F16" s="322"/>
    </row>
    <row r="17" spans="1:6">
      <c r="A17" s="1248" t="s">
        <v>7</v>
      </c>
      <c r="B17" s="1249">
        <v>219</v>
      </c>
      <c r="C17" s="322"/>
      <c r="D17" s="322"/>
      <c r="E17" s="322"/>
      <c r="F17" s="322"/>
    </row>
    <row r="18" spans="1:6">
      <c r="A18" s="1248" t="s">
        <v>8</v>
      </c>
      <c r="B18" s="1249">
        <v>368</v>
      </c>
      <c r="C18" s="322"/>
      <c r="D18" s="322"/>
      <c r="E18" s="322"/>
      <c r="F18" s="322"/>
    </row>
    <row r="19" spans="1:6">
      <c r="A19" s="1248" t="s">
        <v>9</v>
      </c>
      <c r="B19" s="1249">
        <v>503</v>
      </c>
      <c r="C19" s="322"/>
      <c r="D19" s="322"/>
      <c r="E19" s="322"/>
      <c r="F19" s="322"/>
    </row>
    <row r="20" spans="1:6">
      <c r="A20" s="1248" t="s">
        <v>10</v>
      </c>
      <c r="B20" s="1249">
        <v>394</v>
      </c>
      <c r="C20" s="322"/>
      <c r="D20" s="322"/>
      <c r="E20" s="322"/>
      <c r="F20" s="322"/>
    </row>
    <row r="21" spans="1:6">
      <c r="A21" s="1248" t="s">
        <v>11</v>
      </c>
      <c r="B21" s="1249">
        <v>176</v>
      </c>
      <c r="C21" s="322"/>
      <c r="D21" s="322"/>
      <c r="E21" s="322"/>
      <c r="F21" s="322"/>
    </row>
    <row r="22" spans="1:6">
      <c r="A22" s="1248" t="s">
        <v>12</v>
      </c>
      <c r="B22" s="1249">
        <v>905</v>
      </c>
      <c r="C22" s="322"/>
      <c r="D22" s="322"/>
      <c r="E22" s="322"/>
      <c r="F22" s="322"/>
    </row>
    <row r="23" spans="1:6">
      <c r="A23" s="1248" t="s">
        <v>13</v>
      </c>
      <c r="B23" s="1249">
        <v>3</v>
      </c>
      <c r="C23" s="322"/>
      <c r="D23" s="322"/>
      <c r="E23" s="322"/>
      <c r="F23" s="322"/>
    </row>
    <row r="24" spans="1:6">
      <c r="A24" s="1248" t="s">
        <v>14</v>
      </c>
      <c r="B24" s="1249">
        <v>1</v>
      </c>
      <c r="C24" s="322"/>
      <c r="D24" s="322"/>
      <c r="E24" s="322"/>
      <c r="F24" s="322"/>
    </row>
    <row r="25" spans="1:6">
      <c r="A25" s="1248" t="s">
        <v>15</v>
      </c>
      <c r="B25" s="1249">
        <v>41</v>
      </c>
      <c r="C25" s="322"/>
      <c r="D25" s="322"/>
      <c r="E25" s="322"/>
      <c r="F25" s="322"/>
    </row>
    <row r="26" spans="1:6">
      <c r="A26" s="1248" t="s">
        <v>16</v>
      </c>
      <c r="B26" s="1249">
        <v>22</v>
      </c>
      <c r="C26" s="322"/>
      <c r="D26" s="322"/>
      <c r="E26" s="322"/>
      <c r="F26" s="322"/>
    </row>
    <row r="27" spans="1:6">
      <c r="A27" s="1248" t="s">
        <v>17</v>
      </c>
      <c r="B27" s="1249">
        <v>0</v>
      </c>
      <c r="C27" s="322"/>
      <c r="D27" s="322"/>
      <c r="E27" s="322"/>
      <c r="F27" s="322"/>
    </row>
    <row r="28" spans="1:6">
      <c r="A28" s="1248" t="s">
        <v>18</v>
      </c>
      <c r="B28" s="1250">
        <v>20046</v>
      </c>
      <c r="C28" s="322"/>
      <c r="D28" s="322"/>
      <c r="E28" s="322"/>
      <c r="F28" s="322"/>
    </row>
    <row r="29" spans="1:6">
      <c r="A29" s="1248" t="s">
        <v>691</v>
      </c>
      <c r="B29" s="1250">
        <v>327</v>
      </c>
      <c r="C29" s="322"/>
      <c r="D29" s="322"/>
      <c r="E29" s="322"/>
      <c r="F29" s="322"/>
    </row>
    <row r="30" spans="1:6">
      <c r="A30" s="1243" t="s">
        <v>692</v>
      </c>
      <c r="B30" s="1251">
        <v>113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8594</v>
      </c>
    </row>
    <row r="39" spans="1:6">
      <c r="A39" s="1248" t="s">
        <v>29</v>
      </c>
      <c r="B39" s="1248" t="s">
        <v>30</v>
      </c>
      <c r="C39" s="1249">
        <v>2787</v>
      </c>
      <c r="D39" s="1249">
        <v>44405366.851818703</v>
      </c>
      <c r="E39" s="1249">
        <v>4972</v>
      </c>
      <c r="F39" s="1249">
        <v>22824016.107220002</v>
      </c>
    </row>
    <row r="40" spans="1:6">
      <c r="A40" s="1248" t="s">
        <v>29</v>
      </c>
      <c r="B40" s="1248" t="s">
        <v>28</v>
      </c>
      <c r="C40" s="1249">
        <v>0</v>
      </c>
      <c r="D40" s="1249">
        <v>0</v>
      </c>
      <c r="E40" s="1249">
        <v>0</v>
      </c>
      <c r="F40" s="1249">
        <v>0</v>
      </c>
    </row>
    <row r="41" spans="1:6">
      <c r="A41" s="1248" t="s">
        <v>31</v>
      </c>
      <c r="B41" s="1248" t="s">
        <v>32</v>
      </c>
      <c r="C41" s="1249">
        <v>35</v>
      </c>
      <c r="D41" s="1249">
        <v>807952.94951258495</v>
      </c>
      <c r="E41" s="1249">
        <v>108</v>
      </c>
      <c r="F41" s="1249">
        <v>1037380.5390402999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6</v>
      </c>
      <c r="D44" s="1249">
        <v>705470.56943353906</v>
      </c>
      <c r="E44" s="1249">
        <v>16</v>
      </c>
      <c r="F44" s="1249">
        <v>743591.48061708396</v>
      </c>
    </row>
    <row r="45" spans="1:6">
      <c r="A45" s="1248" t="s">
        <v>31</v>
      </c>
      <c r="B45" s="1248" t="s">
        <v>36</v>
      </c>
      <c r="C45" s="1249">
        <v>0</v>
      </c>
      <c r="D45" s="1249">
        <v>0</v>
      </c>
      <c r="E45" s="1249">
        <v>3</v>
      </c>
      <c r="F45" s="1249">
        <v>24661.0238435514</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19</v>
      </c>
      <c r="D48" s="1249">
        <v>1064197.69401616</v>
      </c>
      <c r="E48" s="1249">
        <v>26</v>
      </c>
      <c r="F48" s="1249">
        <v>312332.846717451</v>
      </c>
    </row>
    <row r="49" spans="1:6">
      <c r="A49" s="1248" t="s">
        <v>31</v>
      </c>
      <c r="B49" s="1248" t="s">
        <v>39</v>
      </c>
      <c r="C49" s="1249">
        <v>0</v>
      </c>
      <c r="D49" s="1249">
        <v>0</v>
      </c>
      <c r="E49" s="1249">
        <v>0</v>
      </c>
      <c r="F49" s="1249">
        <v>0</v>
      </c>
    </row>
    <row r="50" spans="1:6">
      <c r="A50" s="1248" t="s">
        <v>31</v>
      </c>
      <c r="B50" s="1248" t="s">
        <v>40</v>
      </c>
      <c r="C50" s="1249">
        <v>0</v>
      </c>
      <c r="D50" s="1249">
        <v>0</v>
      </c>
      <c r="E50" s="1249">
        <v>4</v>
      </c>
      <c r="F50" s="1249">
        <v>180751.47621096199</v>
      </c>
    </row>
    <row r="51" spans="1:6">
      <c r="A51" s="1248" t="s">
        <v>41</v>
      </c>
      <c r="B51" s="1248" t="s">
        <v>42</v>
      </c>
      <c r="C51" s="1249">
        <v>12</v>
      </c>
      <c r="D51" s="1249">
        <v>12599969.291845599</v>
      </c>
      <c r="E51" s="1249">
        <v>96</v>
      </c>
      <c r="F51" s="1249">
        <v>1809240.69630302</v>
      </c>
    </row>
    <row r="52" spans="1:6">
      <c r="A52" s="1248" t="s">
        <v>41</v>
      </c>
      <c r="B52" s="1248" t="s">
        <v>28</v>
      </c>
      <c r="C52" s="1249">
        <v>6</v>
      </c>
      <c r="D52" s="1249">
        <v>226961.81919483101</v>
      </c>
      <c r="E52" s="1249">
        <v>7</v>
      </c>
      <c r="F52" s="1249">
        <v>56057.681938966001</v>
      </c>
    </row>
    <row r="53" spans="1:6">
      <c r="A53" s="1248" t="s">
        <v>43</v>
      </c>
      <c r="B53" s="1248" t="s">
        <v>44</v>
      </c>
      <c r="C53" s="1249">
        <v>68</v>
      </c>
      <c r="D53" s="1249">
        <v>1107095.4877574299</v>
      </c>
      <c r="E53" s="1249">
        <v>185</v>
      </c>
      <c r="F53" s="1249">
        <v>693843.51491224603</v>
      </c>
    </row>
    <row r="54" spans="1:6">
      <c r="A54" s="1248" t="s">
        <v>45</v>
      </c>
      <c r="B54" s="1248" t="s">
        <v>46</v>
      </c>
      <c r="C54" s="1249">
        <v>0</v>
      </c>
      <c r="D54" s="1249">
        <v>0</v>
      </c>
      <c r="E54" s="1249">
        <v>1</v>
      </c>
      <c r="F54" s="1249">
        <v>982405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23</v>
      </c>
      <c r="D57" s="1249">
        <v>580796.56991690001</v>
      </c>
      <c r="E57" s="1249">
        <v>44</v>
      </c>
      <c r="F57" s="1249">
        <v>462159.11099685798</v>
      </c>
    </row>
    <row r="58" spans="1:6">
      <c r="A58" s="1248" t="s">
        <v>48</v>
      </c>
      <c r="B58" s="1248" t="s">
        <v>50</v>
      </c>
      <c r="C58" s="1249">
        <v>6</v>
      </c>
      <c r="D58" s="1249">
        <v>185861.144782535</v>
      </c>
      <c r="E58" s="1249">
        <v>19</v>
      </c>
      <c r="F58" s="1249">
        <v>139772.93213842399</v>
      </c>
    </row>
    <row r="59" spans="1:6">
      <c r="A59" s="1248" t="s">
        <v>48</v>
      </c>
      <c r="B59" s="1248" t="s">
        <v>51</v>
      </c>
      <c r="C59" s="1249">
        <v>55</v>
      </c>
      <c r="D59" s="1249">
        <v>1851790.0173884099</v>
      </c>
      <c r="E59" s="1249">
        <v>141</v>
      </c>
      <c r="F59" s="1249">
        <v>4143287.19641526</v>
      </c>
    </row>
    <row r="60" spans="1:6">
      <c r="A60" s="1248" t="s">
        <v>48</v>
      </c>
      <c r="B60" s="1248" t="s">
        <v>52</v>
      </c>
      <c r="C60" s="1249">
        <v>35</v>
      </c>
      <c r="D60" s="1249">
        <v>1166585.8364957001</v>
      </c>
      <c r="E60" s="1249">
        <v>55</v>
      </c>
      <c r="F60" s="1249">
        <v>907206.18454961199</v>
      </c>
    </row>
    <row r="61" spans="1:6">
      <c r="A61" s="1248" t="s">
        <v>48</v>
      </c>
      <c r="B61" s="1248" t="s">
        <v>53</v>
      </c>
      <c r="C61" s="1249">
        <v>58</v>
      </c>
      <c r="D61" s="1249">
        <v>2571714.9164708098</v>
      </c>
      <c r="E61" s="1249">
        <v>149</v>
      </c>
      <c r="F61" s="1249">
        <v>2031150.47292366</v>
      </c>
    </row>
    <row r="62" spans="1:6">
      <c r="A62" s="1248" t="s">
        <v>48</v>
      </c>
      <c r="B62" s="1248" t="s">
        <v>54</v>
      </c>
      <c r="C62" s="1249">
        <v>23</v>
      </c>
      <c r="D62" s="1249">
        <v>1694353.11613101</v>
      </c>
      <c r="E62" s="1249">
        <v>53</v>
      </c>
      <c r="F62" s="1249">
        <v>541398.55601525796</v>
      </c>
    </row>
    <row r="63" spans="1:6">
      <c r="A63" s="1248" t="s">
        <v>48</v>
      </c>
      <c r="B63" s="1248" t="s">
        <v>28</v>
      </c>
      <c r="C63" s="1249">
        <v>75</v>
      </c>
      <c r="D63" s="1249">
        <v>4110249.1811883301</v>
      </c>
      <c r="E63" s="1249">
        <v>88</v>
      </c>
      <c r="F63" s="1249">
        <v>1559487.28516641</v>
      </c>
    </row>
    <row r="64" spans="1:6">
      <c r="A64" s="1248" t="s">
        <v>55</v>
      </c>
      <c r="B64" s="1248" t="s">
        <v>56</v>
      </c>
      <c r="C64" s="1249">
        <v>0</v>
      </c>
      <c r="D64" s="1249">
        <v>0</v>
      </c>
      <c r="E64" s="1249">
        <v>0</v>
      </c>
      <c r="F64" s="1249">
        <v>0</v>
      </c>
    </row>
    <row r="65" spans="1:6">
      <c r="A65" s="1248" t="s">
        <v>55</v>
      </c>
      <c r="B65" s="1248" t="s">
        <v>28</v>
      </c>
      <c r="C65" s="1249">
        <v>5</v>
      </c>
      <c r="D65" s="1249">
        <v>147090.55285480301</v>
      </c>
      <c r="E65" s="1249">
        <v>4</v>
      </c>
      <c r="F65" s="1249">
        <v>122036.186760554</v>
      </c>
    </row>
    <row r="66" spans="1:6">
      <c r="A66" s="1248" t="s">
        <v>55</v>
      </c>
      <c r="B66" s="1248" t="s">
        <v>57</v>
      </c>
      <c r="C66" s="1249">
        <v>0</v>
      </c>
      <c r="D66" s="1249">
        <v>0</v>
      </c>
      <c r="E66" s="1249">
        <v>4</v>
      </c>
      <c r="F66" s="1249">
        <v>46165.255597346397</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109406.795459211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35196961</v>
      </c>
      <c r="E73" s="439"/>
      <c r="F73" s="322"/>
    </row>
    <row r="74" spans="1:6">
      <c r="A74" s="1248" t="s">
        <v>63</v>
      </c>
      <c r="B74" s="1248" t="s">
        <v>617</v>
      </c>
      <c r="C74" s="1261" t="s">
        <v>619</v>
      </c>
      <c r="D74" s="1249">
        <v>4471895</v>
      </c>
      <c r="E74" s="439"/>
      <c r="F74" s="322"/>
    </row>
    <row r="75" spans="1:6">
      <c r="A75" s="1248" t="s">
        <v>64</v>
      </c>
      <c r="B75" s="1248" t="s">
        <v>616</v>
      </c>
      <c r="C75" s="1261" t="s">
        <v>620</v>
      </c>
      <c r="D75" s="1249">
        <v>28123780</v>
      </c>
      <c r="E75" s="439"/>
      <c r="F75" s="322"/>
    </row>
    <row r="76" spans="1:6">
      <c r="A76" s="1248" t="s">
        <v>64</v>
      </c>
      <c r="B76" s="1248" t="s">
        <v>617</v>
      </c>
      <c r="C76" s="1261" t="s">
        <v>621</v>
      </c>
      <c r="D76" s="1249">
        <v>2092305</v>
      </c>
      <c r="E76" s="439"/>
      <c r="F76" s="322"/>
    </row>
    <row r="77" spans="1:6">
      <c r="A77" s="1248" t="s">
        <v>65</v>
      </c>
      <c r="B77" s="1248" t="s">
        <v>616</v>
      </c>
      <c r="C77" s="1261" t="s">
        <v>622</v>
      </c>
      <c r="D77" s="1249">
        <v>79801311</v>
      </c>
      <c r="E77" s="439"/>
      <c r="F77" s="322"/>
    </row>
    <row r="78" spans="1:6">
      <c r="A78" s="1243" t="s">
        <v>65</v>
      </c>
      <c r="B78" s="1243" t="s">
        <v>617</v>
      </c>
      <c r="C78" s="1243" t="s">
        <v>623</v>
      </c>
      <c r="D78" s="1251">
        <v>19322216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172300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2553.1898748749427</v>
      </c>
      <c r="C91" s="322"/>
      <c r="D91" s="322"/>
      <c r="E91" s="322"/>
      <c r="F91" s="322"/>
    </row>
    <row r="92" spans="1:6">
      <c r="A92" s="1243" t="s">
        <v>68</v>
      </c>
      <c r="B92" s="1244">
        <v>283.34467993048963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1184</v>
      </c>
      <c r="C97" s="322"/>
      <c r="D97" s="322"/>
      <c r="E97" s="322"/>
      <c r="F97" s="322"/>
    </row>
    <row r="98" spans="1:6">
      <c r="A98" s="1248" t="s">
        <v>71</v>
      </c>
      <c r="B98" s="1249">
        <v>0</v>
      </c>
      <c r="C98" s="322"/>
      <c r="D98" s="322"/>
      <c r="E98" s="322"/>
      <c r="F98" s="322"/>
    </row>
    <row r="99" spans="1:6">
      <c r="A99" s="1248" t="s">
        <v>72</v>
      </c>
      <c r="B99" s="1249">
        <v>71</v>
      </c>
      <c r="C99" s="322"/>
      <c r="D99" s="322"/>
      <c r="E99" s="322"/>
      <c r="F99" s="322"/>
    </row>
    <row r="100" spans="1:6">
      <c r="A100" s="1248" t="s">
        <v>73</v>
      </c>
      <c r="B100" s="1249">
        <v>746</v>
      </c>
      <c r="C100" s="322"/>
      <c r="D100" s="322"/>
      <c r="E100" s="322"/>
      <c r="F100" s="322"/>
    </row>
    <row r="101" spans="1:6">
      <c r="A101" s="1248" t="s">
        <v>74</v>
      </c>
      <c r="B101" s="1249">
        <v>80</v>
      </c>
      <c r="C101" s="322"/>
      <c r="D101" s="322"/>
      <c r="E101" s="322"/>
      <c r="F101" s="322"/>
    </row>
    <row r="102" spans="1:6">
      <c r="A102" s="1248" t="s">
        <v>75</v>
      </c>
      <c r="B102" s="1249">
        <v>62</v>
      </c>
      <c r="C102" s="322"/>
      <c r="D102" s="322"/>
      <c r="E102" s="322"/>
      <c r="F102" s="322"/>
    </row>
    <row r="103" spans="1:6">
      <c r="A103" s="1248" t="s">
        <v>76</v>
      </c>
      <c r="B103" s="1249">
        <v>348</v>
      </c>
      <c r="C103" s="322"/>
      <c r="D103" s="322"/>
      <c r="E103" s="322"/>
      <c r="F103" s="322"/>
    </row>
    <row r="104" spans="1:6">
      <c r="A104" s="1248" t="s">
        <v>77</v>
      </c>
      <c r="B104" s="1249">
        <v>2007</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35</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174</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41093.64261243568</v>
      </c>
      <c r="C3" s="43" t="s">
        <v>163</v>
      </c>
      <c r="D3" s="43"/>
      <c r="E3" s="153"/>
      <c r="F3" s="43"/>
      <c r="G3" s="43"/>
      <c r="H3" s="43"/>
      <c r="I3" s="43"/>
      <c r="J3" s="43"/>
      <c r="K3" s="96"/>
    </row>
    <row r="4" spans="1:11">
      <c r="A4" s="348" t="s">
        <v>164</v>
      </c>
      <c r="B4" s="49">
        <f>IF(ISERROR('SEAP template'!B78+'SEAP template'!C78),0,'SEAP template'!B78+'SEAP template'!C78)</f>
        <v>6783.034554805432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937.87411764705894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0.20734395776841844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1339.8201680672271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5637.8571428571431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982.40499999999997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982.40499999999997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0.20734395776841844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203.69574083148311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22824.016107220003</v>
      </c>
      <c r="C5" s="17">
        <f>IF(ISERROR('Eigen informatie GS &amp; warmtenet'!B57),0,'Eigen informatie GS &amp; warmtenet'!B57)</f>
        <v>0</v>
      </c>
      <c r="D5" s="30">
        <f>(SUM(HH_hh_gas_kWh,HH_rest_gas_kWh)/1000)*0.902</f>
        <v>40053.64090034047</v>
      </c>
      <c r="E5" s="17">
        <f>B32*B41</f>
        <v>1533.0286800240287</v>
      </c>
      <c r="F5" s="17">
        <f>B36*B45</f>
        <v>35534.412081807735</v>
      </c>
      <c r="G5" s="18"/>
      <c r="H5" s="17"/>
      <c r="I5" s="17"/>
      <c r="J5" s="17">
        <f>B35*B44+C35*C44</f>
        <v>182.61557728453292</v>
      </c>
      <c r="K5" s="17"/>
      <c r="L5" s="17"/>
      <c r="M5" s="17"/>
      <c r="N5" s="17">
        <f>B34*B43+C34*C43</f>
        <v>7996.1019963167546</v>
      </c>
      <c r="O5" s="17">
        <f>B52*B53*B54</f>
        <v>328.3</v>
      </c>
      <c r="P5" s="17">
        <f>B60*B61*B62/1000-B60*B61*B62/1000/B63</f>
        <v>800.8</v>
      </c>
    </row>
    <row r="6" spans="1:16">
      <c r="A6" s="16" t="s">
        <v>582</v>
      </c>
      <c r="B6" s="716">
        <f>kWh_PV_kleiner_dan_10kW</f>
        <v>2553.1898748749427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25377.205982094943</v>
      </c>
      <c r="C8" s="21">
        <f>C5</f>
        <v>0</v>
      </c>
      <c r="D8" s="21">
        <f>D5</f>
        <v>40053.64090034047</v>
      </c>
      <c r="E8" s="21">
        <f>E5</f>
        <v>1533.0286800240287</v>
      </c>
      <c r="F8" s="21">
        <f>F5</f>
        <v>35534.412081807735</v>
      </c>
      <c r="G8" s="21"/>
      <c r="H8" s="21"/>
      <c r="I8" s="21"/>
      <c r="J8" s="21">
        <f>J5</f>
        <v>182.61557728453292</v>
      </c>
      <c r="K8" s="21"/>
      <c r="L8" s="21">
        <f>L5</f>
        <v>0</v>
      </c>
      <c r="M8" s="21">
        <f>M5</f>
        <v>0</v>
      </c>
      <c r="N8" s="21">
        <f>N5</f>
        <v>7996.1019963167546</v>
      </c>
      <c r="O8" s="21">
        <f>O5</f>
        <v>328.3</v>
      </c>
      <c r="P8" s="21">
        <f>P5</f>
        <v>800.8</v>
      </c>
    </row>
    <row r="9" spans="1:16">
      <c r="B9" s="19"/>
      <c r="C9" s="19"/>
      <c r="D9" s="253"/>
      <c r="E9" s="19"/>
      <c r="F9" s="19"/>
      <c r="G9" s="19"/>
      <c r="H9" s="19"/>
      <c r="I9" s="19"/>
      <c r="J9" s="19"/>
      <c r="K9" s="19"/>
      <c r="L9" s="19"/>
      <c r="M9" s="19"/>
      <c r="N9" s="19"/>
      <c r="O9" s="19"/>
      <c r="P9" s="19"/>
    </row>
    <row r="10" spans="1:16">
      <c r="A10" s="24" t="s">
        <v>207</v>
      </c>
      <c r="B10" s="25">
        <f ca="1">'EF ele_warmte'!B12</f>
        <v>0.20734395776841844</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5261.8103254319494</v>
      </c>
      <c r="C12" s="23">
        <f ca="1">C10*C8</f>
        <v>0</v>
      </c>
      <c r="D12" s="23">
        <f>D8*D10</f>
        <v>8090.8354618687754</v>
      </c>
      <c r="E12" s="23">
        <f>E10*E8</f>
        <v>347.99751036545456</v>
      </c>
      <c r="F12" s="23">
        <f>F10*F8</f>
        <v>9487.6880258426663</v>
      </c>
      <c r="G12" s="23"/>
      <c r="H12" s="23"/>
      <c r="I12" s="23"/>
      <c r="J12" s="23">
        <f>J10*J8</f>
        <v>64.645914358724653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5262</v>
      </c>
      <c r="C26" s="36"/>
      <c r="D26" s="224"/>
    </row>
    <row r="27" spans="1:5" s="15" customFormat="1">
      <c r="A27" s="226" t="s">
        <v>736</v>
      </c>
      <c r="B27" s="37">
        <f>SUM(HH_hh_gas_aantal,HH_rest_gas_aantal)</f>
        <v>2787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2647.65</v>
      </c>
      <c r="C31" s="34" t="s">
        <v>104</v>
      </c>
      <c r="D31" s="170"/>
    </row>
    <row r="32" spans="1:5">
      <c r="A32" s="167" t="s">
        <v>72</v>
      </c>
      <c r="B32" s="33">
        <f>IF((B21*($B$26-($B$27-0.05*$B$27)-$B$60))&lt;0,0,B21*($B$26-($B$27-0.05*$B$27)-$B$60))</f>
        <v>28.328861079581365</v>
      </c>
      <c r="C32" s="34" t="s">
        <v>104</v>
      </c>
      <c r="D32" s="170"/>
    </row>
    <row r="33" spans="1:6">
      <c r="A33" s="167" t="s">
        <v>73</v>
      </c>
      <c r="B33" s="33">
        <f>IF((B22*($B$26-($B$27-0.05*$B$27)-$B$60))&lt;0,0,B22*($B$26-($B$27-0.05*$B$27)-$B$60))</f>
        <v>588.98081155186503</v>
      </c>
      <c r="C33" s="34" t="s">
        <v>104</v>
      </c>
      <c r="D33" s="170"/>
    </row>
    <row r="34" spans="1:6">
      <c r="A34" s="167" t="s">
        <v>74</v>
      </c>
      <c r="B34" s="33">
        <f>IF((B24*($B$26-($B$27-0.05*$B$27)-$B$60))&lt;0,0,B24*($B$26-($B$27-0.05*$B$27)-$B$60))</f>
        <v>229.87719157898039</v>
      </c>
      <c r="C34" s="33">
        <f>B26*C24</f>
        <v>932.02984914014905</v>
      </c>
      <c r="D34" s="229"/>
    </row>
    <row r="35" spans="1:6">
      <c r="A35" s="167" t="s">
        <v>76</v>
      </c>
      <c r="B35" s="33">
        <f>IF((B19*($B$26-($B$27-0.05*$B$27)-$B$60))&lt;0,0,B19*($B$26-($B$27-0.05*$B$27)-$B$60))</f>
        <v>21.44189311696049</v>
      </c>
      <c r="C35" s="33">
        <f>B35/2</f>
        <v>10.720946558480245</v>
      </c>
      <c r="D35" s="229"/>
    </row>
    <row r="36" spans="1:6">
      <c r="A36" s="167" t="s">
        <v>77</v>
      </c>
      <c r="B36" s="33">
        <f>IF((B18*($B$26-($B$27-0.05*$B$27)-$B$60))&lt;0,0,B18*($B$26-($B$27-0.05*$B$27)-$B$60))</f>
        <v>1703.7212426726126</v>
      </c>
      <c r="C36" s="34" t="s">
        <v>104</v>
      </c>
      <c r="D36" s="170"/>
    </row>
    <row r="37" spans="1:6">
      <c r="A37" s="167" t="s">
        <v>78</v>
      </c>
      <c r="B37" s="33">
        <f>B60</f>
        <v>42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210</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9784.4617382054821</v>
      </c>
      <c r="C5" s="17">
        <f>IF(ISERROR('Eigen informatie GS &amp; warmtenet'!B58),0,'Eigen informatie GS &amp; warmtenet'!B58)</f>
        <v>0</v>
      </c>
      <c r="D5" s="30">
        <f>SUM(D6:D12)</f>
        <v>10969.538405701074</v>
      </c>
      <c r="E5" s="17">
        <f>SUM(E6:E12)</f>
        <v>168.4261503150957</v>
      </c>
      <c r="F5" s="17">
        <f>SUM(F6:F12)</f>
        <v>1470.2663885204727</v>
      </c>
      <c r="G5" s="18"/>
      <c r="H5" s="17"/>
      <c r="I5" s="17"/>
      <c r="J5" s="17">
        <f>SUM(J6:J12)</f>
        <v>8.2489140788376582E-3</v>
      </c>
      <c r="K5" s="17"/>
      <c r="L5" s="17"/>
      <c r="M5" s="17"/>
      <c r="N5" s="17">
        <f>SUM(N6:N12)</f>
        <v>344.44569011049407</v>
      </c>
      <c r="O5" s="17">
        <f>B38*B39*B40</f>
        <v>1.5633333333333335</v>
      </c>
      <c r="P5" s="17">
        <f>B46*B47*B48/1000-B46*B47*B48/1000/B49</f>
        <v>19.066666666666666</v>
      </c>
      <c r="R5" s="32"/>
    </row>
    <row r="6" spans="1:18">
      <c r="A6" s="32" t="s">
        <v>53</v>
      </c>
      <c r="B6" s="37">
        <f>B26</f>
        <v>2031.1504729236599</v>
      </c>
      <c r="C6" s="33"/>
      <c r="D6" s="37">
        <f>IF(ISERROR(TER_kantoor_gas_kWh/1000),0,TER_kantoor_gas_kWh/1000)*0.902</f>
        <v>2319.6868546566707</v>
      </c>
      <c r="E6" s="33">
        <f>$C$26*'E Balans VL '!I12/100/3.6*1000000</f>
        <v>-1.6678389251911424E-4</v>
      </c>
      <c r="F6" s="33">
        <f>$C$26*('E Balans VL '!L12+'E Balans VL '!N12)/100/3.6*1000000</f>
        <v>257.41050346331787</v>
      </c>
      <c r="G6" s="34"/>
      <c r="H6" s="33"/>
      <c r="I6" s="33"/>
      <c r="J6" s="33">
        <f>$C$26*('E Balans VL '!D12+'E Balans VL '!E12)/100/3.6*1000000</f>
        <v>0</v>
      </c>
      <c r="K6" s="33"/>
      <c r="L6" s="33"/>
      <c r="M6" s="33"/>
      <c r="N6" s="33">
        <f>$C$26*'E Balans VL '!Y12/100/3.6*1000000</f>
        <v>2.4913261960504993</v>
      </c>
      <c r="O6" s="33"/>
      <c r="P6" s="33"/>
      <c r="R6" s="32"/>
    </row>
    <row r="7" spans="1:18">
      <c r="A7" s="32" t="s">
        <v>52</v>
      </c>
      <c r="B7" s="37">
        <f t="shared" ref="B7:B12" si="0">B27</f>
        <v>907.20618454961198</v>
      </c>
      <c r="C7" s="33"/>
      <c r="D7" s="37">
        <f>IF(ISERROR(TER_horeca_gas_kWh/1000),0,TER_horeca_gas_kWh/1000)*0.902</f>
        <v>1052.2604245191214</v>
      </c>
      <c r="E7" s="33">
        <f>$C$27*'E Balans VL '!I9/100/3.6*1000000</f>
        <v>10.442387477604122</v>
      </c>
      <c r="F7" s="33">
        <f>$C$27*('E Balans VL '!L9+'E Balans VL '!N9)/100/3.6*1000000</f>
        <v>116.9695741498532</v>
      </c>
      <c r="G7" s="34"/>
      <c r="H7" s="33"/>
      <c r="I7" s="33"/>
      <c r="J7" s="33">
        <f>$C$27*('E Balans VL '!D9+'E Balans VL '!E9)/100/3.6*1000000</f>
        <v>0</v>
      </c>
      <c r="K7" s="33"/>
      <c r="L7" s="33"/>
      <c r="M7" s="33"/>
      <c r="N7" s="33">
        <f>$C$27*'E Balans VL '!Y9/100/3.6*1000000</f>
        <v>9.5753533820834367</v>
      </c>
      <c r="O7" s="33"/>
      <c r="P7" s="33"/>
      <c r="R7" s="32"/>
    </row>
    <row r="8" spans="1:18">
      <c r="A8" s="6" t="s">
        <v>51</v>
      </c>
      <c r="B8" s="37">
        <f t="shared" si="0"/>
        <v>4143.28719641526</v>
      </c>
      <c r="C8" s="33"/>
      <c r="D8" s="37">
        <f>IF(ISERROR(TER_handel_gas_kWh/1000),0,TER_handel_gas_kWh/1000)*0.902</f>
        <v>1670.3145956843459</v>
      </c>
      <c r="E8" s="33">
        <f>$C$28*'E Balans VL '!I13/100/3.6*1000000</f>
        <v>116.90038293569241</v>
      </c>
      <c r="F8" s="33">
        <f>$C$28*('E Balans VL '!L13+'E Balans VL '!N13)/100/3.6*1000000</f>
        <v>416.72586484640129</v>
      </c>
      <c r="G8" s="34"/>
      <c r="H8" s="33"/>
      <c r="I8" s="33"/>
      <c r="J8" s="33">
        <f>$C$28*('E Balans VL '!D13+'E Balans VL '!E13)/100/3.6*1000000</f>
        <v>0</v>
      </c>
      <c r="K8" s="33"/>
      <c r="L8" s="33"/>
      <c r="M8" s="33"/>
      <c r="N8" s="33">
        <f>$C$28*'E Balans VL '!Y13/100/3.6*1000000</f>
        <v>5.7193438796786467</v>
      </c>
      <c r="O8" s="33"/>
      <c r="P8" s="33"/>
      <c r="R8" s="32"/>
    </row>
    <row r="9" spans="1:18">
      <c r="A9" s="32" t="s">
        <v>50</v>
      </c>
      <c r="B9" s="37">
        <f t="shared" si="0"/>
        <v>139.77293213842398</v>
      </c>
      <c r="C9" s="33"/>
      <c r="D9" s="37">
        <f>IF(ISERROR(TER_gezond_gas_kWh/1000),0,TER_gezond_gas_kWh/1000)*0.902</f>
        <v>167.64675259384657</v>
      </c>
      <c r="E9" s="33">
        <f>$C$29*'E Balans VL '!I10/100/3.6*1000000</f>
        <v>0.27922328706474292</v>
      </c>
      <c r="F9" s="33">
        <f>$C$29*('E Balans VL '!L10+'E Balans VL '!N10)/100/3.6*1000000</f>
        <v>12.246912564040281</v>
      </c>
      <c r="G9" s="34"/>
      <c r="H9" s="33"/>
      <c r="I9" s="33"/>
      <c r="J9" s="33">
        <f>$C$29*('E Balans VL '!D10+'E Balans VL '!E10)/100/3.6*1000000</f>
        <v>0</v>
      </c>
      <c r="K9" s="33"/>
      <c r="L9" s="33"/>
      <c r="M9" s="33"/>
      <c r="N9" s="33">
        <f>$C$29*'E Balans VL '!Y10/100/3.6*1000000</f>
        <v>2.1142665113547463</v>
      </c>
      <c r="O9" s="33"/>
      <c r="P9" s="33"/>
      <c r="R9" s="32"/>
    </row>
    <row r="10" spans="1:18">
      <c r="A10" s="32" t="s">
        <v>49</v>
      </c>
      <c r="B10" s="37">
        <f t="shared" si="0"/>
        <v>462.15911099685798</v>
      </c>
      <c r="C10" s="33"/>
      <c r="D10" s="37">
        <f>IF(ISERROR(TER_ander_gas_kWh/1000),0,TER_ander_gas_kWh/1000)*0.902</f>
        <v>523.87850606504378</v>
      </c>
      <c r="E10" s="33">
        <f>$C$30*'E Balans VL '!I14/100/3.6*1000000</f>
        <v>6.5107066354915526</v>
      </c>
      <c r="F10" s="33">
        <f>$C$30*('E Balans VL '!L14+'E Balans VL '!N14)/100/3.6*1000000</f>
        <v>280.35164200778854</v>
      </c>
      <c r="G10" s="34"/>
      <c r="H10" s="33"/>
      <c r="I10" s="33"/>
      <c r="J10" s="33">
        <f>$C$30*('E Balans VL '!D14+'E Balans VL '!E14)/100/3.6*1000000</f>
        <v>5.0736185955744459E-3</v>
      </c>
      <c r="K10" s="33"/>
      <c r="L10" s="33"/>
      <c r="M10" s="33"/>
      <c r="N10" s="33">
        <f>$C$30*'E Balans VL '!Y14/100/3.6*1000000</f>
        <v>195.46152873366793</v>
      </c>
      <c r="O10" s="33"/>
      <c r="P10" s="33"/>
      <c r="R10" s="32"/>
    </row>
    <row r="11" spans="1:18">
      <c r="A11" s="32" t="s">
        <v>54</v>
      </c>
      <c r="B11" s="37">
        <f t="shared" si="0"/>
        <v>541.39855601525801</v>
      </c>
      <c r="C11" s="33"/>
      <c r="D11" s="37">
        <f>IF(ISERROR(TER_onderwijs_gas_kWh/1000),0,TER_onderwijs_gas_kWh/1000)*0.902</f>
        <v>1528.3065107501711</v>
      </c>
      <c r="E11" s="33">
        <f>$C$31*'E Balans VL '!I11/100/3.6*1000000</f>
        <v>14.130768427368579</v>
      </c>
      <c r="F11" s="33">
        <f>$C$31*('E Balans VL '!L11+'E Balans VL '!N11)/100/3.6*1000000</f>
        <v>66.623641726105475</v>
      </c>
      <c r="G11" s="34"/>
      <c r="H11" s="33"/>
      <c r="I11" s="33"/>
      <c r="J11" s="33">
        <f>$C$31*('E Balans VL '!D11+'E Balans VL '!E11)/100/3.6*1000000</f>
        <v>0</v>
      </c>
      <c r="K11" s="33"/>
      <c r="L11" s="33"/>
      <c r="M11" s="33"/>
      <c r="N11" s="33">
        <f>$C$31*'E Balans VL '!Y11/100/3.6*1000000</f>
        <v>1.7144494999938986</v>
      </c>
      <c r="O11" s="33"/>
      <c r="P11" s="33"/>
      <c r="R11" s="32"/>
    </row>
    <row r="12" spans="1:18">
      <c r="A12" s="32" t="s">
        <v>248</v>
      </c>
      <c r="B12" s="37">
        <f t="shared" si="0"/>
        <v>1559.4872851664099</v>
      </c>
      <c r="C12" s="33"/>
      <c r="D12" s="37">
        <f>IF(ISERROR(TER_rest_gas_kWh/1000),0,TER_rest_gas_kWh/1000)*0.902</f>
        <v>3707.4447614318738</v>
      </c>
      <c r="E12" s="33">
        <f>$C$32*'E Balans VL '!I8/100/3.6*1000000</f>
        <v>20.162848335766807</v>
      </c>
      <c r="F12" s="33">
        <f>$C$32*('E Balans VL '!L8+'E Balans VL '!N8)/100/3.6*1000000</f>
        <v>319.93824976296611</v>
      </c>
      <c r="G12" s="34"/>
      <c r="H12" s="33"/>
      <c r="I12" s="33"/>
      <c r="J12" s="33">
        <f>$C$32*('E Balans VL '!D8+'E Balans VL '!E8)/100/3.6*1000000</f>
        <v>3.1752954832632132E-3</v>
      </c>
      <c r="K12" s="33"/>
      <c r="L12" s="33"/>
      <c r="M12" s="33"/>
      <c r="N12" s="33">
        <f>$C$32*'E Balans VL '!Y8/100/3.6*1000000</f>
        <v>127.36942190766496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9784.4617382054821</v>
      </c>
      <c r="C16" s="21">
        <f t="shared" ca="1" si="1"/>
        <v>0</v>
      </c>
      <c r="D16" s="21">
        <f t="shared" ca="1" si="1"/>
        <v>10969.538405701074</v>
      </c>
      <c r="E16" s="21">
        <f t="shared" si="1"/>
        <v>168.4261503150957</v>
      </c>
      <c r="F16" s="21">
        <f t="shared" ca="1" si="1"/>
        <v>1470.2663885204727</v>
      </c>
      <c r="G16" s="21">
        <f t="shared" si="1"/>
        <v>0</v>
      </c>
      <c r="H16" s="21">
        <f t="shared" si="1"/>
        <v>0</v>
      </c>
      <c r="I16" s="21">
        <f t="shared" si="1"/>
        <v>0</v>
      </c>
      <c r="J16" s="21">
        <f t="shared" si="1"/>
        <v>8.2489140788376582E-3</v>
      </c>
      <c r="K16" s="21">
        <f t="shared" si="1"/>
        <v>0</v>
      </c>
      <c r="L16" s="21">
        <f t="shared" ca="1" si="1"/>
        <v>0</v>
      </c>
      <c r="M16" s="21">
        <f t="shared" si="1"/>
        <v>0</v>
      </c>
      <c r="N16" s="21">
        <f t="shared" ca="1" si="1"/>
        <v>344.44569011049407</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0.20734395776841844</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2028.7490214331835</v>
      </c>
      <c r="C20" s="23">
        <f t="shared" ref="C20:P20" ca="1" si="2">C16*C18</f>
        <v>0</v>
      </c>
      <c r="D20" s="23">
        <f t="shared" ca="1" si="2"/>
        <v>2215.8467579516173</v>
      </c>
      <c r="E20" s="23">
        <f t="shared" si="2"/>
        <v>38.232736121526727</v>
      </c>
      <c r="F20" s="23">
        <f t="shared" ca="1" si="2"/>
        <v>392.56112573496625</v>
      </c>
      <c r="G20" s="23">
        <f t="shared" si="2"/>
        <v>0</v>
      </c>
      <c r="H20" s="23">
        <f t="shared" si="2"/>
        <v>0</v>
      </c>
      <c r="I20" s="23">
        <f t="shared" si="2"/>
        <v>0</v>
      </c>
      <c r="J20" s="23">
        <f t="shared" si="2"/>
        <v>2.9201155839085309E-3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2031.1504729236599</v>
      </c>
      <c r="C26" s="39">
        <f>IF(ISERROR(B26*3.6/1000000/'E Balans VL '!Z12*100),0,B26*3.6/1000000/'E Balans VL '!Z12*100)</f>
        <v>5.5066234887979466E-2</v>
      </c>
      <c r="D26" s="232" t="s">
        <v>700</v>
      </c>
      <c r="F26" s="6"/>
    </row>
    <row r="27" spans="1:18">
      <c r="A27" s="227" t="s">
        <v>52</v>
      </c>
      <c r="B27" s="33">
        <f>IF(ISERROR(TER_horeca_ele_kWh/1000),0,TER_horeca_ele_kWh/1000)</f>
        <v>907.20618454961198</v>
      </c>
      <c r="C27" s="39">
        <f>IF(ISERROR(B27*3.6/1000000/'E Balans VL '!Z9*100),0,B27*3.6/1000000/'E Balans VL '!Z9*100)</f>
        <v>7.0173350016452515E-2</v>
      </c>
      <c r="D27" s="232" t="s">
        <v>700</v>
      </c>
      <c r="F27" s="6"/>
    </row>
    <row r="28" spans="1:18">
      <c r="A28" s="167" t="s">
        <v>51</v>
      </c>
      <c r="B28" s="33">
        <f>IF(ISERROR(TER_handel_ele_kWh/1000),0,TER_handel_ele_kWh/1000)</f>
        <v>4143.28719641526</v>
      </c>
      <c r="C28" s="39">
        <f>IF(ISERROR(B28*3.6/1000000/'E Balans VL '!Z13*100),0,B28*3.6/1000000/'E Balans VL '!Z13*100)</f>
        <v>0.11983458153033881</v>
      </c>
      <c r="D28" s="232" t="s">
        <v>700</v>
      </c>
      <c r="F28" s="6"/>
    </row>
    <row r="29" spans="1:18">
      <c r="A29" s="227" t="s">
        <v>50</v>
      </c>
      <c r="B29" s="33">
        <f>IF(ISERROR(TER_gezond_ele_kWh/1000),0,TER_gezond_ele_kWh/1000)</f>
        <v>139.77293213842398</v>
      </c>
      <c r="C29" s="39">
        <f>IF(ISERROR(B29*3.6/1000000/'E Balans VL '!Z10*100),0,B29*3.6/1000000/'E Balans VL '!Z10*100)</f>
        <v>1.4395241259123528E-2</v>
      </c>
      <c r="D29" s="232" t="s">
        <v>700</v>
      </c>
      <c r="F29" s="6"/>
    </row>
    <row r="30" spans="1:18">
      <c r="A30" s="227" t="s">
        <v>49</v>
      </c>
      <c r="B30" s="33">
        <f>IF(ISERROR(TER_ander_ele_kWh/1000),0,TER_ander_ele_kWh/1000)</f>
        <v>462.15911099685798</v>
      </c>
      <c r="C30" s="39">
        <f>IF(ISERROR(B30*3.6/1000000/'E Balans VL '!Z14*100),0,B30*3.6/1000000/'E Balans VL '!Z14*100)</f>
        <v>2.0779325306106943E-2</v>
      </c>
      <c r="D30" s="232" t="s">
        <v>700</v>
      </c>
      <c r="F30" s="6"/>
    </row>
    <row r="31" spans="1:18">
      <c r="A31" s="227" t="s">
        <v>54</v>
      </c>
      <c r="B31" s="33">
        <f>IF(ISERROR(TER_onderwijs_ele_kWh/1000),0,TER_onderwijs_ele_kWh/1000)</f>
        <v>541.39855601525801</v>
      </c>
      <c r="C31" s="39">
        <f>IF(ISERROR(B31*3.6/1000000/'E Balans VL '!Z11*100),0,B31*3.6/1000000/'E Balans VL '!Z11*100)</f>
        <v>0.15130299143611012</v>
      </c>
      <c r="D31" s="232" t="s">
        <v>700</v>
      </c>
    </row>
    <row r="32" spans="1:18">
      <c r="A32" s="227" t="s">
        <v>248</v>
      </c>
      <c r="B32" s="33">
        <f>IF(ISERROR(TER_rest_ele_kWh/1000),0,TER_rest_ele_kWh/1000)</f>
        <v>1559.4872851664099</v>
      </c>
      <c r="C32" s="39">
        <f>IF(ISERROR(B32*3.6/1000000/'E Balans VL '!Z8*100),0,B32*3.6/1000000/'E Balans VL '!Z8*100)</f>
        <v>1.3004623139644558E-2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2298.7173664293482</v>
      </c>
      <c r="C5" s="17">
        <f>IF(ISERROR('Eigen informatie GS &amp; warmtenet'!B59),0,'Eigen informatie GS &amp; warmtenet'!B59)</f>
        <v>0</v>
      </c>
      <c r="D5" s="30">
        <f>SUM(D6:D15)</f>
        <v>2325.0143340919803</v>
      </c>
      <c r="E5" s="17">
        <f>SUM(E6:E15)</f>
        <v>30.650779654645827</v>
      </c>
      <c r="F5" s="17">
        <f>SUM(F6:F15)</f>
        <v>825.9237565591385</v>
      </c>
      <c r="G5" s="18"/>
      <c r="H5" s="17"/>
      <c r="I5" s="17"/>
      <c r="J5" s="17">
        <f>SUM(J6:J15)</f>
        <v>1.1420690314636632</v>
      </c>
      <c r="K5" s="17"/>
      <c r="L5" s="17"/>
      <c r="M5" s="17"/>
      <c r="N5" s="17">
        <f>SUM(N6:N15)</f>
        <v>77.766508869597075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743.5914806170839</v>
      </c>
      <c r="C8" s="33"/>
      <c r="D8" s="37">
        <f>IF( ISERROR(IND_metaal_Gas_kWH/1000),0,IND_metaal_Gas_kWH/1000)*0.902</f>
        <v>636.33445362905218</v>
      </c>
      <c r="E8" s="33">
        <f>C30*'E Balans VL '!I18/100/3.6*1000000</f>
        <v>6.7483205106815181</v>
      </c>
      <c r="F8" s="33">
        <f>C30*'E Balans VL '!L18/100/3.6*1000000+C30*'E Balans VL '!N18/100/3.6*1000000</f>
        <v>68.44170930535104</v>
      </c>
      <c r="G8" s="34"/>
      <c r="H8" s="33"/>
      <c r="I8" s="33"/>
      <c r="J8" s="40">
        <f>C30*'E Balans VL '!D18/100/3.6*1000000+C30*'E Balans VL '!E18/100/3.6*1000000</f>
        <v>0</v>
      </c>
      <c r="K8" s="33"/>
      <c r="L8" s="33"/>
      <c r="M8" s="33"/>
      <c r="N8" s="33">
        <f>C30*'E Balans VL '!Y18/100/3.6*1000000</f>
        <v>10.855850048313476</v>
      </c>
      <c r="O8" s="33"/>
      <c r="P8" s="33"/>
      <c r="R8" s="32"/>
    </row>
    <row r="9" spans="1:18">
      <c r="A9" s="6" t="s">
        <v>32</v>
      </c>
      <c r="B9" s="37">
        <f t="shared" si="0"/>
        <v>1037.3805390402999</v>
      </c>
      <c r="C9" s="33"/>
      <c r="D9" s="37">
        <f>IF( ISERROR(IND_andere_gas_kWh/1000),0,IND_andere_gas_kWh/1000)*0.902</f>
        <v>728.77356046035163</v>
      </c>
      <c r="E9" s="33">
        <f>C31*'E Balans VL '!I19/100/3.6*1000000</f>
        <v>6.0211910927353003</v>
      </c>
      <c r="F9" s="33">
        <f>C31*'E Balans VL '!L19/100/3.6*1000000+C31*'E Balans VL '!N19/100/3.6*1000000</f>
        <v>684.14081701567079</v>
      </c>
      <c r="G9" s="34"/>
      <c r="H9" s="33"/>
      <c r="I9" s="33"/>
      <c r="J9" s="40">
        <f>C31*'E Balans VL '!D19/100/3.6*1000000+C31*'E Balans VL '!E19/100/3.6*1000000</f>
        <v>0</v>
      </c>
      <c r="K9" s="33"/>
      <c r="L9" s="33"/>
      <c r="M9" s="33"/>
      <c r="N9" s="33">
        <f>C31*'E Balans VL '!Y19/100/3.6*1000000</f>
        <v>48.041994515007509</v>
      </c>
      <c r="O9" s="33"/>
      <c r="P9" s="33"/>
      <c r="R9" s="32"/>
    </row>
    <row r="10" spans="1:18">
      <c r="A10" s="6" t="s">
        <v>40</v>
      </c>
      <c r="B10" s="37">
        <f t="shared" si="0"/>
        <v>180.75147621096198</v>
      </c>
      <c r="C10" s="33"/>
      <c r="D10" s="37">
        <f>IF( ISERROR(IND_voed_gas_kWh/1000),0,IND_voed_gas_kWh/1000)*0.902</f>
        <v>0</v>
      </c>
      <c r="E10" s="33">
        <f>C32*'E Balans VL '!I20/100/3.6*1000000</f>
        <v>0.38305453966466646</v>
      </c>
      <c r="F10" s="33">
        <f>C32*'E Balans VL '!L20/100/3.6*1000000+C32*'E Balans VL '!N20/100/3.6*1000000</f>
        <v>11.487502968029583</v>
      </c>
      <c r="G10" s="34"/>
      <c r="H10" s="33"/>
      <c r="I10" s="33"/>
      <c r="J10" s="40">
        <f>C32*'E Balans VL '!D20/100/3.6*1000000+C32*'E Balans VL '!E20/100/3.6*1000000</f>
        <v>0</v>
      </c>
      <c r="K10" s="33"/>
      <c r="L10" s="33"/>
      <c r="M10" s="33"/>
      <c r="N10" s="33">
        <f>C32*'E Balans VL '!Y20/100/3.6*1000000</f>
        <v>5.2397850973066378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24.661023843551401</v>
      </c>
      <c r="C12" s="33"/>
      <c r="D12" s="37">
        <f>IF( ISERROR(IND_min_gas_kWh/1000),0,IND_min_gas_kWh/1000)*0.902</f>
        <v>0</v>
      </c>
      <c r="E12" s="33">
        <f>C34*'E Balans VL '!I22/100/3.6*1000000</f>
        <v>0.60106344566957914</v>
      </c>
      <c r="F12" s="33">
        <f>C34*'E Balans VL '!L22/100/3.6*1000000+C34*'E Balans VL '!N22/100/3.6*1000000</f>
        <v>6.9566464930491421</v>
      </c>
      <c r="G12" s="34"/>
      <c r="H12" s="33"/>
      <c r="I12" s="33"/>
      <c r="J12" s="40">
        <f>C34*'E Balans VL '!D22/100/3.6*1000000+C34*'E Balans VL '!E22/100/3.6*1000000</f>
        <v>4.2161994290771485E-2</v>
      </c>
      <c r="K12" s="33"/>
      <c r="L12" s="33"/>
      <c r="M12" s="33"/>
      <c r="N12" s="33">
        <f>C34*'E Balans VL '!Y22/100/3.6*1000000</f>
        <v>5.6167138399966161</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312.33284671745099</v>
      </c>
      <c r="C15" s="33"/>
      <c r="D15" s="37">
        <f>IF( ISERROR(IND_rest_gas_kWh/1000),0,IND_rest_gas_kWh/1000)*0.902</f>
        <v>959.90632000257642</v>
      </c>
      <c r="E15" s="33">
        <f>C37*'E Balans VL '!I15/100/3.6*1000000</f>
        <v>16.897150065894763</v>
      </c>
      <c r="F15" s="33">
        <f>C37*'E Balans VL '!L15/100/3.6*1000000+C37*'E Balans VL '!N15/100/3.6*1000000</f>
        <v>54.897080777037871</v>
      </c>
      <c r="G15" s="34"/>
      <c r="H15" s="33"/>
      <c r="I15" s="33"/>
      <c r="J15" s="40">
        <f>C37*'E Balans VL '!D15/100/3.6*1000000+C37*'E Balans VL '!E15/100/3.6*1000000</f>
        <v>1.0999070371728918</v>
      </c>
      <c r="K15" s="33"/>
      <c r="L15" s="33"/>
      <c r="M15" s="33"/>
      <c r="N15" s="33">
        <f>C37*'E Balans VL '!Y15/100/3.6*1000000</f>
        <v>8.0121653689728269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2298.7173664293482</v>
      </c>
      <c r="C18" s="21">
        <f>C5+C16</f>
        <v>0</v>
      </c>
      <c r="D18" s="21">
        <f>MAX((D5+D16),0)</f>
        <v>2325.0143340919803</v>
      </c>
      <c r="E18" s="21">
        <f>MAX((E5+E16),0)</f>
        <v>30.650779654645827</v>
      </c>
      <c r="F18" s="21">
        <f>MAX((F5+F16),0)</f>
        <v>825.9237565591385</v>
      </c>
      <c r="G18" s="21"/>
      <c r="H18" s="21"/>
      <c r="I18" s="21"/>
      <c r="J18" s="21">
        <f>MAX((J5+J16),0)</f>
        <v>1.1420690314636632</v>
      </c>
      <c r="K18" s="21"/>
      <c r="L18" s="21">
        <f>MAX((L5+L16),0)</f>
        <v>0</v>
      </c>
      <c r="M18" s="21"/>
      <c r="N18" s="21">
        <f>MAX((N5+N16),0)</f>
        <v>77.766508869597075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0.20734395776841844</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476.62515654645682</v>
      </c>
      <c r="C22" s="23">
        <f ca="1">C18*C20</f>
        <v>0</v>
      </c>
      <c r="D22" s="23">
        <f>D18*D20</f>
        <v>469.65289548658006</v>
      </c>
      <c r="E22" s="23">
        <f>E18*E20</f>
        <v>6.957726981604603</v>
      </c>
      <c r="F22" s="23">
        <f>F18*F20</f>
        <v>220.52164300128999</v>
      </c>
      <c r="G22" s="23"/>
      <c r="H22" s="23"/>
      <c r="I22" s="23"/>
      <c r="J22" s="23">
        <f>J18*J20</f>
        <v>0.40429243713813678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743.5914806170839</v>
      </c>
      <c r="C30" s="39">
        <f>IF(ISERROR(B30*3.6/1000000/'E Balans VL '!Z18*100),0,B30*3.6/1000000/'E Balans VL '!Z18*100)</f>
        <v>4.3123560727160171E-2</v>
      </c>
      <c r="D30" s="232" t="s">
        <v>700</v>
      </c>
    </row>
    <row r="31" spans="1:18">
      <c r="A31" s="6" t="s">
        <v>32</v>
      </c>
      <c r="B31" s="37">
        <f>IF( ISERROR(IND_ander_ele_kWh/1000),0,IND_ander_ele_kWh/1000)</f>
        <v>1037.3805390402999</v>
      </c>
      <c r="C31" s="39">
        <f>IF(ISERROR(B31*3.6/1000000/'E Balans VL '!Z19*100),0,B31*3.6/1000000/'E Balans VL '!Z19*100)</f>
        <v>4.3324915059069116E-2</v>
      </c>
      <c r="D31" s="232" t="s">
        <v>700</v>
      </c>
    </row>
    <row r="32" spans="1:18">
      <c r="A32" s="167" t="s">
        <v>40</v>
      </c>
      <c r="B32" s="37">
        <f>IF( ISERROR(IND_voed_ele_kWh/1000),0,IND_voed_ele_kWh/1000)</f>
        <v>180.75147621096198</v>
      </c>
      <c r="C32" s="39">
        <f>IF(ISERROR(B32*3.6/1000000/'E Balans VL '!Z20*100),0,B32*3.6/1000000/'E Balans VL '!Z20*100)</f>
        <v>5.6061986111892725E-3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24.661023843551401</v>
      </c>
      <c r="C34" s="39">
        <f>IF(ISERROR(B34*3.6/1000000/'E Balans VL '!Z22*100),0,B34*3.6/1000000/'E Balans VL '!Z22*100)</f>
        <v>4.6148731969224066E-3</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312.33284671745099</v>
      </c>
      <c r="C37" s="39">
        <f>IF(ISERROR(B37*3.6/1000000/'E Balans VL '!Z15*100),0,B37*3.6/1000000/'E Balans VL '!Z15*100)</f>
        <v>2.4352403328294545E-3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1865.298378241986</v>
      </c>
      <c r="C5" s="17">
        <f>'Eigen informatie GS &amp; warmtenet'!B60</f>
        <v>0</v>
      </c>
      <c r="D5" s="30">
        <f>IF(ISERROR(SUM(LB_lb_gas_kWh,LB_rest_gas_kWh)/1000),0,SUM(LB_lb_gas_kWh,LB_rest_gas_kWh)/1000)*0.902</f>
        <v>11569.891862158469</v>
      </c>
      <c r="E5" s="17">
        <f>B17*'E Balans VL '!I25/3.6*1000000/100</f>
        <v>60.535064102966608</v>
      </c>
      <c r="F5" s="17">
        <f>B17*('E Balans VL '!L25/3.6*1000000+'E Balans VL '!N25/3.6*1000000)/100</f>
        <v>6881.4476727853153</v>
      </c>
      <c r="G5" s="18"/>
      <c r="H5" s="17"/>
      <c r="I5" s="17"/>
      <c r="J5" s="17">
        <f>('E Balans VL '!D25+'E Balans VL '!E25)/3.6*1000000*landbouw!B17/100</f>
        <v>490.5541887650736</v>
      </c>
      <c r="K5" s="17"/>
      <c r="L5" s="17">
        <f>L6*(-1)</f>
        <v>0</v>
      </c>
      <c r="M5" s="17"/>
      <c r="N5" s="17">
        <f>N6*(-1)</f>
        <v>0</v>
      </c>
      <c r="O5" s="17"/>
      <c r="P5" s="17"/>
      <c r="R5" s="32"/>
    </row>
    <row r="6" spans="1:18">
      <c r="A6" s="16" t="s">
        <v>473</v>
      </c>
      <c r="B6" s="17" t="s">
        <v>204</v>
      </c>
      <c r="C6" s="17">
        <f>'lokale energieproductie'!O39+'lokale energieproductie'!O32</f>
        <v>5637.8571428571431</v>
      </c>
      <c r="D6" s="300">
        <f>('lokale energieproductie'!P32+'lokale energieproductie'!P39)*(-1)</f>
        <v>-11275.714285714286</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1865.298378241986</v>
      </c>
      <c r="C8" s="21">
        <f>C5+C6</f>
        <v>5637.8571428571431</v>
      </c>
      <c r="D8" s="21">
        <f>MAX((D5+D6),0)</f>
        <v>294.17757644418271</v>
      </c>
      <c r="E8" s="21">
        <f>MAX((E5+E6),0)</f>
        <v>60.535064102966608</v>
      </c>
      <c r="F8" s="21">
        <f>MAX((F5+F6),0)</f>
        <v>6881.4476727853153</v>
      </c>
      <c r="G8" s="21"/>
      <c r="H8" s="21"/>
      <c r="I8" s="21"/>
      <c r="J8" s="21">
        <f>MAX((J5+J6),0)</f>
        <v>490.5541887650736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0.20734395776841844</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386.75834816370576</v>
      </c>
      <c r="C12" s="23">
        <f ca="1">C8*C10</f>
        <v>1339.8201680672271</v>
      </c>
      <c r="D12" s="23">
        <f>D8*D10</f>
        <v>59.423870441724908</v>
      </c>
      <c r="E12" s="23">
        <f>E8*E10</f>
        <v>13.741459551373421</v>
      </c>
      <c r="F12" s="23">
        <f>F8*F10</f>
        <v>1837.3465286336793</v>
      </c>
      <c r="G12" s="23"/>
      <c r="H12" s="23"/>
      <c r="I12" s="23"/>
      <c r="J12" s="23">
        <f>J8*J10</f>
        <v>173.65618282283606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0.2646916920677258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140.15796744789466</v>
      </c>
      <c r="C26" s="242">
        <f>B26*'GWP N2O_CH4'!B5</f>
        <v>2943.317316405788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26.937510442548607</v>
      </c>
      <c r="C27" s="242">
        <f>B27*'GWP N2O_CH4'!B5</f>
        <v>565.68771929352079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1.8867081649140287</v>
      </c>
      <c r="C28" s="242">
        <f>B28*'GWP N2O_CH4'!B4</f>
        <v>584.8795311233489</v>
      </c>
      <c r="D28" s="50"/>
    </row>
    <row r="29" spans="1:4">
      <c r="A29" s="41" t="s">
        <v>265</v>
      </c>
      <c r="B29" s="242">
        <f>B34*'ha_N2O bodem landbouw'!B4</f>
        <v>12.260099131914876</v>
      </c>
      <c r="C29" s="242">
        <f>B29*'GWP N2O_CH4'!B4</f>
        <v>3800.6307308936116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2.7977123717217787E-3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3.0743222310780307E-4</v>
      </c>
      <c r="C5" s="427" t="s">
        <v>204</v>
      </c>
      <c r="D5" s="412">
        <f>SUM(D6:D11)</f>
        <v>4.8211422649488802E-4</v>
      </c>
      <c r="E5" s="412">
        <f>SUM(E6:E11)</f>
        <v>9.222626411125878E-4</v>
      </c>
      <c r="F5" s="425" t="s">
        <v>204</v>
      </c>
      <c r="G5" s="412">
        <f>SUM(G6:G11)</f>
        <v>0.50004772857107727</v>
      </c>
      <c r="H5" s="412">
        <f>SUM(H6:H11)</f>
        <v>8.5004516013305179E-2</v>
      </c>
      <c r="I5" s="427" t="s">
        <v>204</v>
      </c>
      <c r="J5" s="427" t="s">
        <v>204</v>
      </c>
      <c r="K5" s="427" t="s">
        <v>204</v>
      </c>
      <c r="L5" s="427" t="s">
        <v>204</v>
      </c>
      <c r="M5" s="412">
        <f>SUM(M6:M11)</f>
        <v>3.171802686330942E-2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6.1737066083584997E-5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1.0431474508947387E-4</v>
      </c>
      <c r="E6" s="818">
        <f>vkm_GW_PW*SUMIFS(TableVerdeelsleutelVkm[LPG],TableVerdeelsleutelVkm[Voertuigtype],"Lichte voertuigen")*SUMIFS(TableECFTransport[EnergieConsumptieFactor (PJ per km)],TableECFTransport[Index],CONCATENATE($A6,"_LPG_LPG"))</f>
        <v>1.8133037780189819E-4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5.4920162377038402E-2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1.8086217007668361E-2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3.7412091428417633E-3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1.3079641185062181E-6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4.2012122399104471E-2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8.3818034193839215E-7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2.4545855969098549E-3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6.5235644630469685E-5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1.4112329807676899E-4</v>
      </c>
      <c r="E8" s="415">
        <f>vkm_NGW_PW*SUMIFS(TableVerdeelsleutelVkm[LPG],TableVerdeelsleutelVkm[Voertuigtype],"Lichte voertuigen")*SUMIFS(TableECFTransport[EnergieConsumptieFactor (PJ per km)],TableECFTransport[Index],CONCATENATE($A8,"_LPG_LPG"))</f>
        <v>2.3419249953164037E-4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6.6243528757208653E-2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2.3903431399282478E-2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4.574048215542784E-3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6.1196872130744412E-7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2.5220696950740942E-2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4.7335537435662162E-7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1.473534757549114E-3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1.728881129568821E-4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2.3667618332864511E-4</v>
      </c>
      <c r="E10" s="415">
        <f>vkm_SW_PW*SUMIFS(TableVerdeelsleutelVkm[LPG],TableVerdeelsleutelVkm[Voertuigtype],"Lichte voertuigen")*SUMIFS(TableECFTransport[EnergieConsumptieFactor (PJ per km)],TableECFTransport[Index],CONCATENATE($A10,"_LPG_LPG"))</f>
        <v>5.067397637790492E-4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0.13875025199662877</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4.3009828436801303E-2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9.3727894773203736E-3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5.6514665970526464E-6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0.17290096609035596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3.7276338367438504E-6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1.010185967314553E-2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85.397839752167528</v>
      </c>
      <c r="C14" s="21"/>
      <c r="D14" s="21">
        <f t="shared" ref="D14:M14" si="0">((D5)*10^9/3600)+D12</f>
        <v>133.92061847080222</v>
      </c>
      <c r="E14" s="21">
        <f t="shared" si="0"/>
        <v>256.18406697571885</v>
      </c>
      <c r="F14" s="21"/>
      <c r="G14" s="21">
        <f t="shared" si="0"/>
        <v>138902.14682529925</v>
      </c>
      <c r="H14" s="21">
        <f t="shared" si="0"/>
        <v>23612.365559251437</v>
      </c>
      <c r="I14" s="21"/>
      <c r="J14" s="21"/>
      <c r="K14" s="21"/>
      <c r="L14" s="21"/>
      <c r="M14" s="21">
        <f t="shared" si="0"/>
        <v>8810.5630175859496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0.20734395776841844</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17.706726079087588</v>
      </c>
      <c r="C18" s="23"/>
      <c r="D18" s="23">
        <f t="shared" ref="D18:M18" si="1">D14*D16</f>
        <v>27.051964931102052</v>
      </c>
      <c r="E18" s="23">
        <f t="shared" si="1"/>
        <v>58.153783203488182</v>
      </c>
      <c r="F18" s="23"/>
      <c r="G18" s="23">
        <f t="shared" si="1"/>
        <v>37086.873202354902</v>
      </c>
      <c r="H18" s="23">
        <f t="shared" si="1"/>
        <v>5879.4790242536073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2.2726054078215043E-5</v>
      </c>
      <c r="C50" s="311">
        <f t="shared" ref="C50:P50" si="2">SUM(C51:C52)</f>
        <v>0</v>
      </c>
      <c r="D50" s="311">
        <f t="shared" si="2"/>
        <v>0</v>
      </c>
      <c r="E50" s="311">
        <f t="shared" si="2"/>
        <v>0</v>
      </c>
      <c r="F50" s="311">
        <f t="shared" si="2"/>
        <v>0</v>
      </c>
      <c r="G50" s="311">
        <f t="shared" si="2"/>
        <v>2.1348872436660693E-3</v>
      </c>
      <c r="H50" s="311">
        <f t="shared" si="2"/>
        <v>0</v>
      </c>
      <c r="I50" s="311">
        <f t="shared" si="2"/>
        <v>0</v>
      </c>
      <c r="J50" s="311">
        <f t="shared" si="2"/>
        <v>0</v>
      </c>
      <c r="K50" s="311">
        <f t="shared" si="2"/>
        <v>0</v>
      </c>
      <c r="L50" s="311">
        <f t="shared" si="2"/>
        <v>0</v>
      </c>
      <c r="M50" s="311">
        <f t="shared" si="2"/>
        <v>1.2294174639677883E-4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2.2726054078215043E-5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2.1348872436660693E-3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1.2294174639677883E-4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6.3127927995041784</v>
      </c>
      <c r="C54" s="21">
        <f t="shared" ref="C54:P54" si="3">(C50)*10^9/3600</f>
        <v>0</v>
      </c>
      <c r="D54" s="21">
        <f t="shared" si="3"/>
        <v>0</v>
      </c>
      <c r="E54" s="21">
        <f t="shared" si="3"/>
        <v>0</v>
      </c>
      <c r="F54" s="21">
        <f t="shared" si="3"/>
        <v>0</v>
      </c>
      <c r="G54" s="21">
        <f t="shared" si="3"/>
        <v>593.02423435168589</v>
      </c>
      <c r="H54" s="21">
        <f t="shared" si="3"/>
        <v>0</v>
      </c>
      <c r="I54" s="21">
        <f t="shared" si="3"/>
        <v>0</v>
      </c>
      <c r="J54" s="21">
        <f t="shared" si="3"/>
        <v>0</v>
      </c>
      <c r="K54" s="21">
        <f t="shared" si="3"/>
        <v>0</v>
      </c>
      <c r="L54" s="21">
        <f t="shared" si="3"/>
        <v>0</v>
      </c>
      <c r="M54" s="21">
        <f t="shared" si="3"/>
        <v>34.150485110216344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0.20734395776841844</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1.3089194436211704</v>
      </c>
      <c r="C58" s="23">
        <f t="shared" ref="C58:P58" ca="1" si="4">C54*C56</f>
        <v>0</v>
      </c>
      <c r="D58" s="23">
        <f t="shared" si="4"/>
        <v>0</v>
      </c>
      <c r="E58" s="23">
        <f t="shared" si="4"/>
        <v>0</v>
      </c>
      <c r="F58" s="23">
        <f t="shared" si="4"/>
        <v>0</v>
      </c>
      <c r="G58" s="23">
        <f t="shared" si="4"/>
        <v>158.33747057190016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2836.5345548054324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3946.5</v>
      </c>
      <c r="C8" s="534">
        <f>B48</f>
        <v>4642.9411764705883</v>
      </c>
      <c r="D8" s="962"/>
      <c r="E8" s="962">
        <f>E48</f>
        <v>0</v>
      </c>
      <c r="F8" s="963"/>
      <c r="G8" s="535"/>
      <c r="H8" s="962">
        <f>I48</f>
        <v>0</v>
      </c>
      <c r="I8" s="962">
        <f>G48+F48</f>
        <v>0</v>
      </c>
      <c r="J8" s="962">
        <f>H48+D48+C48</f>
        <v>0</v>
      </c>
      <c r="K8" s="962"/>
      <c r="L8" s="962"/>
      <c r="M8" s="962"/>
      <c r="N8" s="536"/>
      <c r="O8" s="537">
        <f>C8*$C$12+D8*$D$12+E8*$E$12+F8*$F$12+G8*$G$12+H8*$H$12+I8*$I$12+J8*$J$12</f>
        <v>937.87411764705894</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6783.034554805432</v>
      </c>
      <c r="C10" s="547">
        <f t="shared" ref="C10:L10" si="0">SUM(C8:C9)</f>
        <v>4642.9411764705883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937.87411764705894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5637.8571428571431</v>
      </c>
      <c r="C17" s="559">
        <f>B49</f>
        <v>6632.7731092436979</v>
      </c>
      <c r="D17" s="560"/>
      <c r="E17" s="560">
        <f>E49</f>
        <v>0</v>
      </c>
      <c r="F17" s="968"/>
      <c r="G17" s="561"/>
      <c r="H17" s="559">
        <f>I49</f>
        <v>0</v>
      </c>
      <c r="I17" s="560">
        <f>G49+F49</f>
        <v>0</v>
      </c>
      <c r="J17" s="560">
        <f>H49+D49+C49</f>
        <v>0</v>
      </c>
      <c r="K17" s="560"/>
      <c r="L17" s="560"/>
      <c r="M17" s="560"/>
      <c r="N17" s="969"/>
      <c r="O17" s="562">
        <f>C17*$C$22+E17*$E$22+H17*$H$22+I17*$I$22+J17*$J$22+D17*$D$22+F17*$F$22+G17*$G$22+K17*$K$22+L17*$L$22</f>
        <v>1339.8201680672271</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5637.8571428571431</v>
      </c>
      <c r="C20" s="546">
        <f>SUM(C17:C19)</f>
        <v>6632.7731092436979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1339.8201680672271</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42010</v>
      </c>
      <c r="C28" s="724">
        <v>9270</v>
      </c>
      <c r="D28" s="617"/>
      <c r="E28" s="616"/>
      <c r="F28" s="616"/>
      <c r="G28" s="616" t="s">
        <v>878</v>
      </c>
      <c r="H28" s="616" t="s">
        <v>879</v>
      </c>
      <c r="I28" s="616"/>
      <c r="J28" s="723"/>
      <c r="K28" s="723"/>
      <c r="L28" s="616" t="s">
        <v>880</v>
      </c>
      <c r="M28" s="616">
        <v>877</v>
      </c>
      <c r="N28" s="616">
        <v>3946.5</v>
      </c>
      <c r="O28" s="616">
        <v>5637.8571428571431</v>
      </c>
      <c r="P28" s="616">
        <v>11275.714285714286</v>
      </c>
      <c r="Q28" s="616">
        <v>0</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877</v>
      </c>
      <c r="N29" s="574">
        <f>SUM(N28:N28)</f>
        <v>3946.5</v>
      </c>
      <c r="O29" s="574">
        <f>SUM(O28:O28)</f>
        <v>5637.8571428571431</v>
      </c>
      <c r="P29" s="574">
        <f>SUM(P28:P28)</f>
        <v>11275.714285714286</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877</v>
      </c>
      <c r="N32" s="579">
        <f>SUMIF($AA$28:$AA$28,"landbouw",N28:N28)</f>
        <v>3946.5</v>
      </c>
      <c r="O32" s="579">
        <f>SUMIF($AA$28:$AA$28,"landbouw",O28:O28)</f>
        <v>5637.8571428571431</v>
      </c>
      <c r="P32" s="579">
        <f>SUMIF($AA$28:$AA$28,"landbouw",P28:P28)</f>
        <v>11275.714285714286</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4642.9411764705883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6632.7731092436979</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10766.866738205483</v>
      </c>
      <c r="D10" s="931">
        <f ca="1">tertiair!C16</f>
        <v>0</v>
      </c>
      <c r="E10" s="931">
        <f ca="1">tertiair!D16</f>
        <v>10969.538405701074</v>
      </c>
      <c r="F10" s="931">
        <f>tertiair!E16</f>
        <v>168.4261503150957</v>
      </c>
      <c r="G10" s="931">
        <f ca="1">tertiair!F16</f>
        <v>1470.2663885204727</v>
      </c>
      <c r="H10" s="931">
        <f>tertiair!G16</f>
        <v>0</v>
      </c>
      <c r="I10" s="931">
        <f>tertiair!H16</f>
        <v>0</v>
      </c>
      <c r="J10" s="931">
        <f>tertiair!I16</f>
        <v>0</v>
      </c>
      <c r="K10" s="931">
        <f>tertiair!J16</f>
        <v>8.2489140788376582E-3</v>
      </c>
      <c r="L10" s="931">
        <f>tertiair!K16</f>
        <v>0</v>
      </c>
      <c r="M10" s="931">
        <f ca="1">tertiair!L16</f>
        <v>0</v>
      </c>
      <c r="N10" s="931">
        <f>tertiair!M16</f>
        <v>0</v>
      </c>
      <c r="O10" s="931">
        <f ca="1">tertiair!N16</f>
        <v>344.44569011049407</v>
      </c>
      <c r="P10" s="931">
        <f>tertiair!O16</f>
        <v>1.5633333333333335</v>
      </c>
      <c r="Q10" s="932">
        <f>tertiair!P16</f>
        <v>19.066666666666666</v>
      </c>
      <c r="R10" s="628">
        <f ca="1">SUM(C10:Q10)</f>
        <v>23740.181621766696</v>
      </c>
      <c r="S10" s="67"/>
    </row>
    <row r="11" spans="1:19" s="437" customFormat="1">
      <c r="A11" s="736" t="s">
        <v>213</v>
      </c>
      <c r="B11" s="741"/>
      <c r="C11" s="931">
        <f>huishoudens!B8</f>
        <v>25377.205982094943</v>
      </c>
      <c r="D11" s="931">
        <f>huishoudens!C8</f>
        <v>0</v>
      </c>
      <c r="E11" s="931">
        <f>huishoudens!D8</f>
        <v>40053.64090034047</v>
      </c>
      <c r="F11" s="931">
        <f>huishoudens!E8</f>
        <v>1533.0286800240287</v>
      </c>
      <c r="G11" s="931">
        <f>huishoudens!F8</f>
        <v>35534.412081807735</v>
      </c>
      <c r="H11" s="931">
        <f>huishoudens!G8</f>
        <v>0</v>
      </c>
      <c r="I11" s="931">
        <f>huishoudens!H8</f>
        <v>0</v>
      </c>
      <c r="J11" s="931">
        <f>huishoudens!I8</f>
        <v>0</v>
      </c>
      <c r="K11" s="931">
        <f>huishoudens!J8</f>
        <v>182.61557728453292</v>
      </c>
      <c r="L11" s="931">
        <f>huishoudens!K8</f>
        <v>0</v>
      </c>
      <c r="M11" s="931">
        <f>huishoudens!L8</f>
        <v>0</v>
      </c>
      <c r="N11" s="931">
        <f>huishoudens!M8</f>
        <v>0</v>
      </c>
      <c r="O11" s="931">
        <f>huishoudens!N8</f>
        <v>7996.1019963167546</v>
      </c>
      <c r="P11" s="931">
        <f>huishoudens!O8</f>
        <v>328.3</v>
      </c>
      <c r="Q11" s="932">
        <f>huishoudens!P8</f>
        <v>800.8</v>
      </c>
      <c r="R11" s="628">
        <f>SUM(C11:Q11)</f>
        <v>111806.10521786848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2298.7173664293482</v>
      </c>
      <c r="D13" s="931">
        <f>industrie!C18</f>
        <v>0</v>
      </c>
      <c r="E13" s="931">
        <f>industrie!D18</f>
        <v>2325.0143340919803</v>
      </c>
      <c r="F13" s="931">
        <f>industrie!E18</f>
        <v>30.650779654645827</v>
      </c>
      <c r="G13" s="931">
        <f>industrie!F18</f>
        <v>825.9237565591385</v>
      </c>
      <c r="H13" s="931">
        <f>industrie!G18</f>
        <v>0</v>
      </c>
      <c r="I13" s="931">
        <f>industrie!H18</f>
        <v>0</v>
      </c>
      <c r="J13" s="931">
        <f>industrie!I18</f>
        <v>0</v>
      </c>
      <c r="K13" s="931">
        <f>industrie!J18</f>
        <v>1.1420690314636632</v>
      </c>
      <c r="L13" s="931">
        <f>industrie!K18</f>
        <v>0</v>
      </c>
      <c r="M13" s="931">
        <f>industrie!L18</f>
        <v>0</v>
      </c>
      <c r="N13" s="931">
        <f>industrie!M18</f>
        <v>0</v>
      </c>
      <c r="O13" s="931">
        <f>industrie!N18</f>
        <v>77.766508869597075</v>
      </c>
      <c r="P13" s="931">
        <f>industrie!O18</f>
        <v>0</v>
      </c>
      <c r="Q13" s="932">
        <f>industrie!P18</f>
        <v>0</v>
      </c>
      <c r="R13" s="628">
        <f>SUM(C13:Q13)</f>
        <v>5559.2148146361724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38442.790086729779</v>
      </c>
      <c r="D16" s="660">
        <f t="shared" ref="D16:R16" ca="1" si="0">SUM(D9:D15)</f>
        <v>0</v>
      </c>
      <c r="E16" s="660">
        <f t="shared" ca="1" si="0"/>
        <v>53348.193640133526</v>
      </c>
      <c r="F16" s="660">
        <f t="shared" si="0"/>
        <v>1732.1056099937703</v>
      </c>
      <c r="G16" s="660">
        <f t="shared" ca="1" si="0"/>
        <v>37830.602226887349</v>
      </c>
      <c r="H16" s="660">
        <f t="shared" si="0"/>
        <v>0</v>
      </c>
      <c r="I16" s="660">
        <f t="shared" si="0"/>
        <v>0</v>
      </c>
      <c r="J16" s="660">
        <f t="shared" si="0"/>
        <v>0</v>
      </c>
      <c r="K16" s="660">
        <f t="shared" si="0"/>
        <v>183.76589523007544</v>
      </c>
      <c r="L16" s="660">
        <f t="shared" si="0"/>
        <v>0</v>
      </c>
      <c r="M16" s="660">
        <f t="shared" ca="1" si="0"/>
        <v>0</v>
      </c>
      <c r="N16" s="660">
        <f t="shared" si="0"/>
        <v>0</v>
      </c>
      <c r="O16" s="660">
        <f t="shared" ca="1" si="0"/>
        <v>8418.3141952968472</v>
      </c>
      <c r="P16" s="660">
        <f t="shared" si="0"/>
        <v>329.86333333333334</v>
      </c>
      <c r="Q16" s="660">
        <f t="shared" si="0"/>
        <v>819.86666666666667</v>
      </c>
      <c r="R16" s="660">
        <f t="shared" ca="1" si="0"/>
        <v>141105.50165427133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6.3127927995041784</v>
      </c>
      <c r="D19" s="931">
        <f>transport!C54</f>
        <v>0</v>
      </c>
      <c r="E19" s="931">
        <f>transport!D54</f>
        <v>0</v>
      </c>
      <c r="F19" s="931">
        <f>transport!E54</f>
        <v>0</v>
      </c>
      <c r="G19" s="931">
        <f>transport!F54</f>
        <v>0</v>
      </c>
      <c r="H19" s="931">
        <f>transport!G54</f>
        <v>593.02423435168589</v>
      </c>
      <c r="I19" s="931">
        <f>transport!H54</f>
        <v>0</v>
      </c>
      <c r="J19" s="931">
        <f>transport!I54</f>
        <v>0</v>
      </c>
      <c r="K19" s="931">
        <f>transport!J54</f>
        <v>0</v>
      </c>
      <c r="L19" s="931">
        <f>transport!K54</f>
        <v>0</v>
      </c>
      <c r="M19" s="931">
        <f>transport!L54</f>
        <v>0</v>
      </c>
      <c r="N19" s="931">
        <f>transport!M54</f>
        <v>34.150485110216344</v>
      </c>
      <c r="O19" s="931">
        <f>transport!N54</f>
        <v>0</v>
      </c>
      <c r="P19" s="931">
        <f>transport!O54</f>
        <v>0</v>
      </c>
      <c r="Q19" s="932">
        <f>transport!P54</f>
        <v>0</v>
      </c>
      <c r="R19" s="628">
        <f>SUM(C19:Q19)</f>
        <v>633.48751226140644</v>
      </c>
      <c r="S19" s="67"/>
    </row>
    <row r="20" spans="1:19" s="437" customFormat="1">
      <c r="A20" s="736" t="s">
        <v>295</v>
      </c>
      <c r="B20" s="741"/>
      <c r="C20" s="931">
        <f>transport!B14</f>
        <v>85.397839752167528</v>
      </c>
      <c r="D20" s="931">
        <f>transport!C14</f>
        <v>0</v>
      </c>
      <c r="E20" s="931">
        <f>transport!D14</f>
        <v>133.92061847080222</v>
      </c>
      <c r="F20" s="931">
        <f>transport!E14</f>
        <v>256.18406697571885</v>
      </c>
      <c r="G20" s="931">
        <f>transport!F14</f>
        <v>0</v>
      </c>
      <c r="H20" s="931">
        <f>transport!G14</f>
        <v>138902.14682529925</v>
      </c>
      <c r="I20" s="931">
        <f>transport!H14</f>
        <v>23612.365559251437</v>
      </c>
      <c r="J20" s="931">
        <f>transport!I14</f>
        <v>0</v>
      </c>
      <c r="K20" s="931">
        <f>transport!J14</f>
        <v>0</v>
      </c>
      <c r="L20" s="931">
        <f>transport!K14</f>
        <v>0</v>
      </c>
      <c r="M20" s="931">
        <f>transport!L14</f>
        <v>0</v>
      </c>
      <c r="N20" s="931">
        <f>transport!M14</f>
        <v>8810.5630175859496</v>
      </c>
      <c r="O20" s="931">
        <f>transport!N14</f>
        <v>0</v>
      </c>
      <c r="P20" s="931">
        <f>transport!O14</f>
        <v>0</v>
      </c>
      <c r="Q20" s="932">
        <f>transport!P14</f>
        <v>0</v>
      </c>
      <c r="R20" s="628">
        <f>SUM(C20:Q20)</f>
        <v>171800.57792733531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91.710632551671708</v>
      </c>
      <c r="D22" s="739">
        <f t="shared" ref="D22:R22" si="1">SUM(D18:D21)</f>
        <v>0</v>
      </c>
      <c r="E22" s="739">
        <f t="shared" si="1"/>
        <v>133.92061847080222</v>
      </c>
      <c r="F22" s="739">
        <f t="shared" si="1"/>
        <v>256.18406697571885</v>
      </c>
      <c r="G22" s="739">
        <f t="shared" si="1"/>
        <v>0</v>
      </c>
      <c r="H22" s="739">
        <f t="shared" si="1"/>
        <v>139495.17105965092</v>
      </c>
      <c r="I22" s="739">
        <f t="shared" si="1"/>
        <v>23612.365559251437</v>
      </c>
      <c r="J22" s="739">
        <f t="shared" si="1"/>
        <v>0</v>
      </c>
      <c r="K22" s="739">
        <f t="shared" si="1"/>
        <v>0</v>
      </c>
      <c r="L22" s="739">
        <f t="shared" si="1"/>
        <v>0</v>
      </c>
      <c r="M22" s="739">
        <f t="shared" si="1"/>
        <v>0</v>
      </c>
      <c r="N22" s="739">
        <f t="shared" si="1"/>
        <v>8844.713502696166</v>
      </c>
      <c r="O22" s="739">
        <f t="shared" si="1"/>
        <v>0</v>
      </c>
      <c r="P22" s="739">
        <f t="shared" si="1"/>
        <v>0</v>
      </c>
      <c r="Q22" s="739">
        <f t="shared" si="1"/>
        <v>0</v>
      </c>
      <c r="R22" s="739">
        <f t="shared" si="1"/>
        <v>172434.06543959671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1865.298378241986</v>
      </c>
      <c r="D24" s="931">
        <f>+landbouw!C8</f>
        <v>5637.8571428571431</v>
      </c>
      <c r="E24" s="931">
        <f>+landbouw!D8</f>
        <v>294.17757644418271</v>
      </c>
      <c r="F24" s="931">
        <f>+landbouw!E8</f>
        <v>60.535064102966608</v>
      </c>
      <c r="G24" s="931">
        <f>+landbouw!F8</f>
        <v>6881.4476727853153</v>
      </c>
      <c r="H24" s="931">
        <f>+landbouw!G8</f>
        <v>0</v>
      </c>
      <c r="I24" s="931">
        <f>+landbouw!H8</f>
        <v>0</v>
      </c>
      <c r="J24" s="931">
        <f>+landbouw!I8</f>
        <v>0</v>
      </c>
      <c r="K24" s="931">
        <f>+landbouw!J8</f>
        <v>490.5541887650736</v>
      </c>
      <c r="L24" s="931">
        <f>+landbouw!K8</f>
        <v>0</v>
      </c>
      <c r="M24" s="931">
        <f>+landbouw!L8</f>
        <v>0</v>
      </c>
      <c r="N24" s="931">
        <f>+landbouw!M8</f>
        <v>0</v>
      </c>
      <c r="O24" s="931">
        <f>+landbouw!N8</f>
        <v>0</v>
      </c>
      <c r="P24" s="931">
        <f>+landbouw!O8</f>
        <v>0</v>
      </c>
      <c r="Q24" s="932">
        <f>+landbouw!P8</f>
        <v>0</v>
      </c>
      <c r="R24" s="628">
        <f>SUM(C24:Q24)</f>
        <v>15229.870023196667</v>
      </c>
      <c r="S24" s="67"/>
    </row>
    <row r="25" spans="1:19" s="437" customFormat="1" ht="15" thickBot="1">
      <c r="A25" s="758" t="s">
        <v>775</v>
      </c>
      <c r="B25" s="934"/>
      <c r="C25" s="935">
        <f>IF(Onbekend_ele_kWh="---",0,Onbekend_ele_kWh)/1000+IF(REST_rest_ele_kWh="---",0,REST_rest_ele_kWh)/1000</f>
        <v>693.84351491224606</v>
      </c>
      <c r="D25" s="935"/>
      <c r="E25" s="935">
        <f>IF(onbekend_gas_kWh="---",0,onbekend_gas_kWh)/1000+IF(REST_rest_gas_kWh="---",0,REST_rest_gas_kWh)/1000</f>
        <v>1107.09548775743</v>
      </c>
      <c r="F25" s="935"/>
      <c r="G25" s="935"/>
      <c r="H25" s="935"/>
      <c r="I25" s="935"/>
      <c r="J25" s="935"/>
      <c r="K25" s="935"/>
      <c r="L25" s="935"/>
      <c r="M25" s="935"/>
      <c r="N25" s="935"/>
      <c r="O25" s="935"/>
      <c r="P25" s="935"/>
      <c r="Q25" s="936"/>
      <c r="R25" s="628">
        <f>SUM(C25:Q25)</f>
        <v>1800.939002669676</v>
      </c>
      <c r="S25" s="67"/>
    </row>
    <row r="26" spans="1:19" s="437" customFormat="1" ht="15.75" thickBot="1">
      <c r="A26" s="633" t="s">
        <v>776</v>
      </c>
      <c r="B26" s="744"/>
      <c r="C26" s="739">
        <f>SUM(C24:C25)</f>
        <v>2559.1418931542321</v>
      </c>
      <c r="D26" s="739">
        <f t="shared" ref="D26:R26" si="2">SUM(D24:D25)</f>
        <v>5637.8571428571431</v>
      </c>
      <c r="E26" s="739">
        <f t="shared" si="2"/>
        <v>1401.2730642016127</v>
      </c>
      <c r="F26" s="739">
        <f t="shared" si="2"/>
        <v>60.535064102966608</v>
      </c>
      <c r="G26" s="739">
        <f t="shared" si="2"/>
        <v>6881.4476727853153</v>
      </c>
      <c r="H26" s="739">
        <f t="shared" si="2"/>
        <v>0</v>
      </c>
      <c r="I26" s="739">
        <f t="shared" si="2"/>
        <v>0</v>
      </c>
      <c r="J26" s="739">
        <f t="shared" si="2"/>
        <v>0</v>
      </c>
      <c r="K26" s="739">
        <f t="shared" si="2"/>
        <v>490.5541887650736</v>
      </c>
      <c r="L26" s="739">
        <f t="shared" si="2"/>
        <v>0</v>
      </c>
      <c r="M26" s="739">
        <f t="shared" si="2"/>
        <v>0</v>
      </c>
      <c r="N26" s="739">
        <f t="shared" si="2"/>
        <v>0</v>
      </c>
      <c r="O26" s="739">
        <f t="shared" si="2"/>
        <v>0</v>
      </c>
      <c r="P26" s="739">
        <f t="shared" si="2"/>
        <v>0</v>
      </c>
      <c r="Q26" s="739">
        <f t="shared" si="2"/>
        <v>0</v>
      </c>
      <c r="R26" s="739">
        <f t="shared" si="2"/>
        <v>17030.809025866343</v>
      </c>
      <c r="S26" s="67"/>
    </row>
    <row r="27" spans="1:19" s="437" customFormat="1" ht="17.25" thickTop="1" thickBot="1">
      <c r="A27" s="634" t="s">
        <v>109</v>
      </c>
      <c r="B27" s="732"/>
      <c r="C27" s="635">
        <f ca="1">C22+C16+C26</f>
        <v>41093.64261243568</v>
      </c>
      <c r="D27" s="635">
        <f t="shared" ref="D27:R27" ca="1" si="3">D22+D16+D26</f>
        <v>5637.8571428571431</v>
      </c>
      <c r="E27" s="635">
        <f t="shared" ca="1" si="3"/>
        <v>54883.387322805938</v>
      </c>
      <c r="F27" s="635">
        <f t="shared" si="3"/>
        <v>2048.8247410724557</v>
      </c>
      <c r="G27" s="635">
        <f t="shared" ca="1" si="3"/>
        <v>44712.049899672667</v>
      </c>
      <c r="H27" s="635">
        <f t="shared" si="3"/>
        <v>139495.17105965092</v>
      </c>
      <c r="I27" s="635">
        <f t="shared" si="3"/>
        <v>23612.365559251437</v>
      </c>
      <c r="J27" s="635">
        <f t="shared" si="3"/>
        <v>0</v>
      </c>
      <c r="K27" s="635">
        <f t="shared" si="3"/>
        <v>674.32008399514905</v>
      </c>
      <c r="L27" s="635">
        <f t="shared" si="3"/>
        <v>0</v>
      </c>
      <c r="M27" s="635">
        <f t="shared" ca="1" si="3"/>
        <v>0</v>
      </c>
      <c r="N27" s="635">
        <f t="shared" si="3"/>
        <v>8844.713502696166</v>
      </c>
      <c r="O27" s="635">
        <f t="shared" ca="1" si="3"/>
        <v>8418.3141952968472</v>
      </c>
      <c r="P27" s="635">
        <f t="shared" si="3"/>
        <v>329.86333333333334</v>
      </c>
      <c r="Q27" s="635">
        <f t="shared" si="3"/>
        <v>819.86666666666667</v>
      </c>
      <c r="R27" s="635">
        <f t="shared" ca="1" si="3"/>
        <v>330570.37611973437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2232.4447622646667</v>
      </c>
      <c r="D40" s="931">
        <f ca="1">tertiair!C20</f>
        <v>0</v>
      </c>
      <c r="E40" s="931">
        <f ca="1">tertiair!D20</f>
        <v>2215.8467579516173</v>
      </c>
      <c r="F40" s="931">
        <f>tertiair!E20</f>
        <v>38.232736121526727</v>
      </c>
      <c r="G40" s="931">
        <f ca="1">tertiair!F20</f>
        <v>392.56112573496625</v>
      </c>
      <c r="H40" s="931">
        <f>tertiair!G20</f>
        <v>0</v>
      </c>
      <c r="I40" s="931">
        <f>tertiair!H20</f>
        <v>0</v>
      </c>
      <c r="J40" s="931">
        <f>tertiair!I20</f>
        <v>0</v>
      </c>
      <c r="K40" s="931">
        <f>tertiair!J20</f>
        <v>2.9201155839085309E-3</v>
      </c>
      <c r="L40" s="931">
        <f>tertiair!K20</f>
        <v>0</v>
      </c>
      <c r="M40" s="931">
        <f ca="1">tertiair!L20</f>
        <v>0</v>
      </c>
      <c r="N40" s="931">
        <f>tertiair!M20</f>
        <v>0</v>
      </c>
      <c r="O40" s="931">
        <f ca="1">tertiair!N20</f>
        <v>0</v>
      </c>
      <c r="P40" s="931">
        <f>tertiair!O20</f>
        <v>0</v>
      </c>
      <c r="Q40" s="702">
        <f>tertiair!P20</f>
        <v>0</v>
      </c>
      <c r="R40" s="777">
        <f t="shared" ca="1" si="4"/>
        <v>4879.088302188361</v>
      </c>
    </row>
    <row r="41" spans="1:18">
      <c r="A41" s="749" t="s">
        <v>213</v>
      </c>
      <c r="B41" s="756"/>
      <c r="C41" s="931">
        <f ca="1">huishoudens!B12</f>
        <v>5261.8103254319494</v>
      </c>
      <c r="D41" s="931">
        <f ca="1">huishoudens!C12</f>
        <v>0</v>
      </c>
      <c r="E41" s="931">
        <f>huishoudens!D12</f>
        <v>8090.8354618687754</v>
      </c>
      <c r="F41" s="931">
        <f>huishoudens!E12</f>
        <v>347.99751036545456</v>
      </c>
      <c r="G41" s="931">
        <f>huishoudens!F12</f>
        <v>9487.6880258426663</v>
      </c>
      <c r="H41" s="931">
        <f>huishoudens!G12</f>
        <v>0</v>
      </c>
      <c r="I41" s="931">
        <f>huishoudens!H12</f>
        <v>0</v>
      </c>
      <c r="J41" s="931">
        <f>huishoudens!I12</f>
        <v>0</v>
      </c>
      <c r="K41" s="931">
        <f>huishoudens!J12</f>
        <v>64.645914358724653</v>
      </c>
      <c r="L41" s="931">
        <f>huishoudens!K12</f>
        <v>0</v>
      </c>
      <c r="M41" s="931">
        <f>huishoudens!L12</f>
        <v>0</v>
      </c>
      <c r="N41" s="931">
        <f>huishoudens!M12</f>
        <v>0</v>
      </c>
      <c r="O41" s="931">
        <f>huishoudens!N12</f>
        <v>0</v>
      </c>
      <c r="P41" s="931">
        <f>huishoudens!O12</f>
        <v>0</v>
      </c>
      <c r="Q41" s="702">
        <f>huishoudens!P12</f>
        <v>0</v>
      </c>
      <c r="R41" s="777">
        <f t="shared" ca="1" si="4"/>
        <v>23252.977237867566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476.62515654645682</v>
      </c>
      <c r="D43" s="931">
        <f ca="1">industrie!C22</f>
        <v>0</v>
      </c>
      <c r="E43" s="931">
        <f>industrie!D22</f>
        <v>469.65289548658006</v>
      </c>
      <c r="F43" s="931">
        <f>industrie!E22</f>
        <v>6.957726981604603</v>
      </c>
      <c r="G43" s="931">
        <f>industrie!F22</f>
        <v>220.52164300128999</v>
      </c>
      <c r="H43" s="931">
        <f>industrie!G22</f>
        <v>0</v>
      </c>
      <c r="I43" s="931">
        <f>industrie!H22</f>
        <v>0</v>
      </c>
      <c r="J43" s="931">
        <f>industrie!I22</f>
        <v>0</v>
      </c>
      <c r="K43" s="931">
        <f>industrie!J22</f>
        <v>0.40429243713813678</v>
      </c>
      <c r="L43" s="931">
        <f>industrie!K22</f>
        <v>0</v>
      </c>
      <c r="M43" s="931">
        <f>industrie!L22</f>
        <v>0</v>
      </c>
      <c r="N43" s="931">
        <f>industrie!M22</f>
        <v>0</v>
      </c>
      <c r="O43" s="931">
        <f>industrie!N22</f>
        <v>0</v>
      </c>
      <c r="P43" s="931">
        <f>industrie!O22</f>
        <v>0</v>
      </c>
      <c r="Q43" s="702">
        <f>industrie!P22</f>
        <v>0</v>
      </c>
      <c r="R43" s="776">
        <f t="shared" ca="1" si="4"/>
        <v>1174.1617144530696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7970.8802442430733</v>
      </c>
      <c r="D46" s="660">
        <f t="shared" ref="D46:Q46" ca="1" si="5">SUM(D39:D45)</f>
        <v>0</v>
      </c>
      <c r="E46" s="660">
        <f t="shared" ca="1" si="5"/>
        <v>10776.335115306973</v>
      </c>
      <c r="F46" s="660">
        <f t="shared" si="5"/>
        <v>393.18797346858588</v>
      </c>
      <c r="G46" s="660">
        <f t="shared" ca="1" si="5"/>
        <v>10100.770794578923</v>
      </c>
      <c r="H46" s="660">
        <f t="shared" si="5"/>
        <v>0</v>
      </c>
      <c r="I46" s="660">
        <f t="shared" si="5"/>
        <v>0</v>
      </c>
      <c r="J46" s="660">
        <f t="shared" si="5"/>
        <v>0</v>
      </c>
      <c r="K46" s="660">
        <f t="shared" si="5"/>
        <v>65.053126911446697</v>
      </c>
      <c r="L46" s="660">
        <f t="shared" si="5"/>
        <v>0</v>
      </c>
      <c r="M46" s="660">
        <f t="shared" ca="1" si="5"/>
        <v>0</v>
      </c>
      <c r="N46" s="660">
        <f t="shared" si="5"/>
        <v>0</v>
      </c>
      <c r="O46" s="660">
        <f t="shared" ca="1" si="5"/>
        <v>0</v>
      </c>
      <c r="P46" s="660">
        <f t="shared" si="5"/>
        <v>0</v>
      </c>
      <c r="Q46" s="660">
        <f t="shared" si="5"/>
        <v>0</v>
      </c>
      <c r="R46" s="660">
        <f ca="1">SUM(R39:R45)</f>
        <v>29306.227254508995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1.3089194436211704</v>
      </c>
      <c r="D49" s="931">
        <f ca="1">transport!C58</f>
        <v>0</v>
      </c>
      <c r="E49" s="931">
        <f>transport!D58</f>
        <v>0</v>
      </c>
      <c r="F49" s="931">
        <f>transport!E58</f>
        <v>0</v>
      </c>
      <c r="G49" s="931">
        <f>transport!F58</f>
        <v>0</v>
      </c>
      <c r="H49" s="931">
        <f>transport!G58</f>
        <v>158.33747057190016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159.64639001552132</v>
      </c>
    </row>
    <row r="50" spans="1:18">
      <c r="A50" s="752" t="s">
        <v>295</v>
      </c>
      <c r="B50" s="762"/>
      <c r="C50" s="631">
        <f ca="1">transport!B18</f>
        <v>17.706726079087588</v>
      </c>
      <c r="D50" s="631">
        <f>transport!C18</f>
        <v>0</v>
      </c>
      <c r="E50" s="631">
        <f>transport!D18</f>
        <v>27.051964931102052</v>
      </c>
      <c r="F50" s="631">
        <f>transport!E18</f>
        <v>58.153783203488182</v>
      </c>
      <c r="G50" s="631">
        <f>transport!F18</f>
        <v>0</v>
      </c>
      <c r="H50" s="631">
        <f>transport!G18</f>
        <v>37086.873202354902</v>
      </c>
      <c r="I50" s="631">
        <f>transport!H18</f>
        <v>5879.4790242536073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43069.264700822183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19.015645522708759</v>
      </c>
      <c r="D52" s="660">
        <f t="shared" ref="D52:Q52" ca="1" si="6">SUM(D48:D51)</f>
        <v>0</v>
      </c>
      <c r="E52" s="660">
        <f t="shared" si="6"/>
        <v>27.051964931102052</v>
      </c>
      <c r="F52" s="660">
        <f t="shared" si="6"/>
        <v>58.153783203488182</v>
      </c>
      <c r="G52" s="660">
        <f t="shared" si="6"/>
        <v>0</v>
      </c>
      <c r="H52" s="660">
        <f t="shared" si="6"/>
        <v>37245.210672926805</v>
      </c>
      <c r="I52" s="660">
        <f t="shared" si="6"/>
        <v>5879.4790242536073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43228.911090837704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386.75834816370576</v>
      </c>
      <c r="D54" s="631">
        <f ca="1">+landbouw!C12</f>
        <v>1339.8201680672271</v>
      </c>
      <c r="E54" s="631">
        <f>+landbouw!D12</f>
        <v>59.423870441724908</v>
      </c>
      <c r="F54" s="631">
        <f>+landbouw!E12</f>
        <v>13.741459551373421</v>
      </c>
      <c r="G54" s="631">
        <f>+landbouw!F12</f>
        <v>1837.3465286336793</v>
      </c>
      <c r="H54" s="631">
        <f>+landbouw!G12</f>
        <v>0</v>
      </c>
      <c r="I54" s="631">
        <f>+landbouw!H12</f>
        <v>0</v>
      </c>
      <c r="J54" s="631">
        <f>+landbouw!I12</f>
        <v>0</v>
      </c>
      <c r="K54" s="631">
        <f>+landbouw!J12</f>
        <v>173.65618282283606</v>
      </c>
      <c r="L54" s="631">
        <f>+landbouw!K12</f>
        <v>0</v>
      </c>
      <c r="M54" s="631">
        <f>+landbouw!L12</f>
        <v>0</v>
      </c>
      <c r="N54" s="631">
        <f>+landbouw!M12</f>
        <v>0</v>
      </c>
      <c r="O54" s="631">
        <f>+landbouw!N12</f>
        <v>0</v>
      </c>
      <c r="P54" s="631">
        <f>+landbouw!O12</f>
        <v>0</v>
      </c>
      <c r="Q54" s="632">
        <f>+landbouw!P12</f>
        <v>0</v>
      </c>
      <c r="R54" s="659">
        <f ca="1">SUM(C54:Q54)</f>
        <v>3810.7465576805462</v>
      </c>
    </row>
    <row r="55" spans="1:18" ht="15" thickBot="1">
      <c r="A55" s="752" t="s">
        <v>775</v>
      </c>
      <c r="B55" s="762"/>
      <c r="C55" s="631">
        <f ca="1">C25*'EF ele_warmte'!B12</f>
        <v>143.86426045385576</v>
      </c>
      <c r="D55" s="631"/>
      <c r="E55" s="631">
        <f>E25*EF_CO2_aardgas</f>
        <v>223.63328852700087</v>
      </c>
      <c r="F55" s="631"/>
      <c r="G55" s="631"/>
      <c r="H55" s="631"/>
      <c r="I55" s="631"/>
      <c r="J55" s="631"/>
      <c r="K55" s="631"/>
      <c r="L55" s="631"/>
      <c r="M55" s="631"/>
      <c r="N55" s="631"/>
      <c r="O55" s="631"/>
      <c r="P55" s="631"/>
      <c r="Q55" s="632"/>
      <c r="R55" s="659">
        <f ca="1">SUM(C55:Q55)</f>
        <v>367.49754898085666</v>
      </c>
    </row>
    <row r="56" spans="1:18" ht="15.75" thickBot="1">
      <c r="A56" s="750" t="s">
        <v>776</v>
      </c>
      <c r="B56" s="763"/>
      <c r="C56" s="660">
        <f ca="1">SUM(C54:C55)</f>
        <v>530.62260861756158</v>
      </c>
      <c r="D56" s="660">
        <f t="shared" ref="D56:Q56" ca="1" si="7">SUM(D54:D55)</f>
        <v>1339.8201680672271</v>
      </c>
      <c r="E56" s="660">
        <f t="shared" si="7"/>
        <v>283.05715896872579</v>
      </c>
      <c r="F56" s="660">
        <f t="shared" si="7"/>
        <v>13.741459551373421</v>
      </c>
      <c r="G56" s="660">
        <f t="shared" si="7"/>
        <v>1837.3465286336793</v>
      </c>
      <c r="H56" s="660">
        <f t="shared" si="7"/>
        <v>0</v>
      </c>
      <c r="I56" s="660">
        <f t="shared" si="7"/>
        <v>0</v>
      </c>
      <c r="J56" s="660">
        <f t="shared" si="7"/>
        <v>0</v>
      </c>
      <c r="K56" s="660">
        <f t="shared" si="7"/>
        <v>173.65618282283606</v>
      </c>
      <c r="L56" s="660">
        <f t="shared" si="7"/>
        <v>0</v>
      </c>
      <c r="M56" s="660">
        <f t="shared" si="7"/>
        <v>0</v>
      </c>
      <c r="N56" s="660">
        <f t="shared" si="7"/>
        <v>0</v>
      </c>
      <c r="O56" s="660">
        <f t="shared" si="7"/>
        <v>0</v>
      </c>
      <c r="P56" s="660">
        <f t="shared" si="7"/>
        <v>0</v>
      </c>
      <c r="Q56" s="661">
        <f t="shared" si="7"/>
        <v>0</v>
      </c>
      <c r="R56" s="662">
        <f ca="1">SUM(R54:R55)</f>
        <v>4178.2441066614028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8520.5184983833442</v>
      </c>
      <c r="D61" s="668">
        <f t="shared" ref="D61:Q61" ca="1" si="8">D46+D52+D56</f>
        <v>1339.8201680672271</v>
      </c>
      <c r="E61" s="668">
        <f t="shared" ca="1" si="8"/>
        <v>11086.444239206801</v>
      </c>
      <c r="F61" s="668">
        <f t="shared" si="8"/>
        <v>465.08321622344744</v>
      </c>
      <c r="G61" s="668">
        <f t="shared" ca="1" si="8"/>
        <v>11938.117323212602</v>
      </c>
      <c r="H61" s="668">
        <f t="shared" si="8"/>
        <v>37245.210672926805</v>
      </c>
      <c r="I61" s="668">
        <f t="shared" si="8"/>
        <v>5879.4790242536073</v>
      </c>
      <c r="J61" s="668">
        <f t="shared" si="8"/>
        <v>0</v>
      </c>
      <c r="K61" s="668">
        <f t="shared" si="8"/>
        <v>238.70930973428275</v>
      </c>
      <c r="L61" s="668">
        <f t="shared" si="8"/>
        <v>0</v>
      </c>
      <c r="M61" s="668">
        <f t="shared" ca="1" si="8"/>
        <v>0</v>
      </c>
      <c r="N61" s="668">
        <f t="shared" si="8"/>
        <v>0</v>
      </c>
      <c r="O61" s="668">
        <f t="shared" ca="1" si="8"/>
        <v>0</v>
      </c>
      <c r="P61" s="668">
        <f t="shared" si="8"/>
        <v>0</v>
      </c>
      <c r="Q61" s="668">
        <f t="shared" si="8"/>
        <v>0</v>
      </c>
      <c r="R61" s="668">
        <f ca="1">R46+R52+R56</f>
        <v>76713.382452008096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0.20734395776841844</v>
      </c>
      <c r="D63" s="709">
        <f t="shared" ca="1" si="9"/>
        <v>0.23764705882352943</v>
      </c>
      <c r="E63" s="942">
        <f t="shared" ca="1" si="9"/>
        <v>0.20200000000000004</v>
      </c>
      <c r="F63" s="709">
        <f t="shared" si="9"/>
        <v>0.22700000000000001</v>
      </c>
      <c r="G63" s="709">
        <f t="shared" ca="1" si="9"/>
        <v>0.26700000000000002</v>
      </c>
      <c r="H63" s="709">
        <f t="shared" si="9"/>
        <v>0.26700000000000007</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2836.5345548054324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3946.5</v>
      </c>
      <c r="D76" s="952">
        <f>'lokale energieproductie'!C8</f>
        <v>4642.9411764705883</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937.87411764705894</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2836.5345548054324</v>
      </c>
      <c r="C78" s="683">
        <f>SUM(C72:C77)</f>
        <v>3946.5</v>
      </c>
      <c r="D78" s="684">
        <f t="shared" ref="D78:H78" si="10">SUM(D76:D77)</f>
        <v>4642.9411764705883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937.87411764705894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5637.8571428571431</v>
      </c>
      <c r="D87" s="705">
        <f>'lokale energieproductie'!C17</f>
        <v>6632.7731092436979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1339.8201680672271</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5637.8571428571431</v>
      </c>
      <c r="D90" s="683">
        <f t="shared" ref="D90:H90" si="12">SUM(D87:D89)</f>
        <v>6632.7731092436979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1339.8201680672271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25377.205982094943</v>
      </c>
      <c r="C4" s="441">
        <f>huishoudens!C8</f>
        <v>0</v>
      </c>
      <c r="D4" s="441">
        <f>huishoudens!D8</f>
        <v>40053.64090034047</v>
      </c>
      <c r="E4" s="441">
        <f>huishoudens!E8</f>
        <v>1533.0286800240287</v>
      </c>
      <c r="F4" s="441">
        <f>huishoudens!F8</f>
        <v>35534.412081807735</v>
      </c>
      <c r="G4" s="441">
        <f>huishoudens!G8</f>
        <v>0</v>
      </c>
      <c r="H4" s="441">
        <f>huishoudens!H8</f>
        <v>0</v>
      </c>
      <c r="I4" s="441">
        <f>huishoudens!I8</f>
        <v>0</v>
      </c>
      <c r="J4" s="441">
        <f>huishoudens!J8</f>
        <v>182.61557728453292</v>
      </c>
      <c r="K4" s="441">
        <f>huishoudens!K8</f>
        <v>0</v>
      </c>
      <c r="L4" s="441">
        <f>huishoudens!L8</f>
        <v>0</v>
      </c>
      <c r="M4" s="441">
        <f>huishoudens!M8</f>
        <v>0</v>
      </c>
      <c r="N4" s="441">
        <f>huishoudens!N8</f>
        <v>7996.1019963167546</v>
      </c>
      <c r="O4" s="441">
        <f>huishoudens!O8</f>
        <v>328.3</v>
      </c>
      <c r="P4" s="442">
        <f>huishoudens!P8</f>
        <v>800.8</v>
      </c>
      <c r="Q4" s="443">
        <f>SUM(B4:P4)</f>
        <v>111806.10521786848</v>
      </c>
    </row>
    <row r="5" spans="1:17">
      <c r="A5" s="440" t="s">
        <v>149</v>
      </c>
      <c r="B5" s="441">
        <f ca="1">tertiair!B16</f>
        <v>9784.4617382054821</v>
      </c>
      <c r="C5" s="441">
        <f ca="1">tertiair!C16</f>
        <v>0</v>
      </c>
      <c r="D5" s="441">
        <f ca="1">tertiair!D16</f>
        <v>10969.538405701074</v>
      </c>
      <c r="E5" s="441">
        <f>tertiair!E16</f>
        <v>168.4261503150957</v>
      </c>
      <c r="F5" s="441">
        <f ca="1">tertiair!F16</f>
        <v>1470.2663885204727</v>
      </c>
      <c r="G5" s="441">
        <f>tertiair!G16</f>
        <v>0</v>
      </c>
      <c r="H5" s="441">
        <f>tertiair!H16</f>
        <v>0</v>
      </c>
      <c r="I5" s="441">
        <f>tertiair!I16</f>
        <v>0</v>
      </c>
      <c r="J5" s="441">
        <f>tertiair!J16</f>
        <v>8.2489140788376582E-3</v>
      </c>
      <c r="K5" s="441">
        <f>tertiair!K16</f>
        <v>0</v>
      </c>
      <c r="L5" s="441">
        <f ca="1">tertiair!L16</f>
        <v>0</v>
      </c>
      <c r="M5" s="441">
        <f>tertiair!M16</f>
        <v>0</v>
      </c>
      <c r="N5" s="441">
        <f ca="1">tertiair!N16</f>
        <v>344.44569011049407</v>
      </c>
      <c r="O5" s="441">
        <f>tertiair!O16</f>
        <v>1.5633333333333335</v>
      </c>
      <c r="P5" s="442">
        <f>tertiair!P16</f>
        <v>19.066666666666666</v>
      </c>
      <c r="Q5" s="440">
        <f t="shared" ref="Q5:Q14" ca="1" si="0">SUM(B5:P5)</f>
        <v>22757.776621766694</v>
      </c>
    </row>
    <row r="6" spans="1:17">
      <c r="A6" s="440" t="s">
        <v>187</v>
      </c>
      <c r="B6" s="441">
        <f>'openbare verlichting'!B8</f>
        <v>982.40499999999997</v>
      </c>
      <c r="C6" s="441"/>
      <c r="D6" s="441"/>
      <c r="E6" s="441"/>
      <c r="F6" s="441"/>
      <c r="G6" s="441"/>
      <c r="H6" s="441"/>
      <c r="I6" s="441"/>
      <c r="J6" s="441"/>
      <c r="K6" s="441"/>
      <c r="L6" s="441"/>
      <c r="M6" s="441"/>
      <c r="N6" s="441"/>
      <c r="O6" s="441"/>
      <c r="P6" s="442"/>
      <c r="Q6" s="440">
        <f t="shared" si="0"/>
        <v>982.40499999999997</v>
      </c>
    </row>
    <row r="7" spans="1:17">
      <c r="A7" s="440" t="s">
        <v>105</v>
      </c>
      <c r="B7" s="441">
        <f>landbouw!B8</f>
        <v>1865.298378241986</v>
      </c>
      <c r="C7" s="441">
        <f>landbouw!C8</f>
        <v>5637.8571428571431</v>
      </c>
      <c r="D7" s="441">
        <f>landbouw!D8</f>
        <v>294.17757644418271</v>
      </c>
      <c r="E7" s="441">
        <f>landbouw!E8</f>
        <v>60.535064102966608</v>
      </c>
      <c r="F7" s="441">
        <f>landbouw!F8</f>
        <v>6881.4476727853153</v>
      </c>
      <c r="G7" s="441">
        <f>landbouw!G8</f>
        <v>0</v>
      </c>
      <c r="H7" s="441">
        <f>landbouw!H8</f>
        <v>0</v>
      </c>
      <c r="I7" s="441">
        <f>landbouw!I8</f>
        <v>0</v>
      </c>
      <c r="J7" s="441">
        <f>landbouw!J8</f>
        <v>490.5541887650736</v>
      </c>
      <c r="K7" s="441">
        <f>landbouw!K8</f>
        <v>0</v>
      </c>
      <c r="L7" s="441">
        <f>landbouw!L8</f>
        <v>0</v>
      </c>
      <c r="M7" s="441">
        <f>landbouw!M8</f>
        <v>0</v>
      </c>
      <c r="N7" s="441">
        <f>landbouw!N8</f>
        <v>0</v>
      </c>
      <c r="O7" s="441">
        <f>landbouw!O8</f>
        <v>0</v>
      </c>
      <c r="P7" s="442">
        <f>landbouw!P8</f>
        <v>0</v>
      </c>
      <c r="Q7" s="440">
        <f t="shared" si="0"/>
        <v>15229.870023196667</v>
      </c>
    </row>
    <row r="8" spans="1:17">
      <c r="A8" s="440" t="s">
        <v>596</v>
      </c>
      <c r="B8" s="441">
        <f>industrie!B18</f>
        <v>2298.7173664293482</v>
      </c>
      <c r="C8" s="441">
        <f>industrie!C18</f>
        <v>0</v>
      </c>
      <c r="D8" s="441">
        <f>industrie!D18</f>
        <v>2325.0143340919803</v>
      </c>
      <c r="E8" s="441">
        <f>industrie!E18</f>
        <v>30.650779654645827</v>
      </c>
      <c r="F8" s="441">
        <f>industrie!F18</f>
        <v>825.9237565591385</v>
      </c>
      <c r="G8" s="441">
        <f>industrie!G18</f>
        <v>0</v>
      </c>
      <c r="H8" s="441">
        <f>industrie!H18</f>
        <v>0</v>
      </c>
      <c r="I8" s="441">
        <f>industrie!I18</f>
        <v>0</v>
      </c>
      <c r="J8" s="441">
        <f>industrie!J18</f>
        <v>1.1420690314636632</v>
      </c>
      <c r="K8" s="441">
        <f>industrie!K18</f>
        <v>0</v>
      </c>
      <c r="L8" s="441">
        <f>industrie!L18</f>
        <v>0</v>
      </c>
      <c r="M8" s="441">
        <f>industrie!M18</f>
        <v>0</v>
      </c>
      <c r="N8" s="441">
        <f>industrie!N18</f>
        <v>77.766508869597075</v>
      </c>
      <c r="O8" s="441">
        <f>industrie!O18</f>
        <v>0</v>
      </c>
      <c r="P8" s="442">
        <f>industrie!P18</f>
        <v>0</v>
      </c>
      <c r="Q8" s="440">
        <f t="shared" si="0"/>
        <v>5559.2148146361724</v>
      </c>
    </row>
    <row r="9" spans="1:17" s="446" customFormat="1">
      <c r="A9" s="444" t="s">
        <v>545</v>
      </c>
      <c r="B9" s="445">
        <f>transport!B14</f>
        <v>85.397839752167528</v>
      </c>
      <c r="C9" s="445">
        <f>transport!C14</f>
        <v>0</v>
      </c>
      <c r="D9" s="445">
        <f>transport!D14</f>
        <v>133.92061847080222</v>
      </c>
      <c r="E9" s="445">
        <f>transport!E14</f>
        <v>256.18406697571885</v>
      </c>
      <c r="F9" s="445">
        <f>transport!F14</f>
        <v>0</v>
      </c>
      <c r="G9" s="445">
        <f>transport!G14</f>
        <v>138902.14682529925</v>
      </c>
      <c r="H9" s="445">
        <f>transport!H14</f>
        <v>23612.365559251437</v>
      </c>
      <c r="I9" s="445">
        <f>transport!I14</f>
        <v>0</v>
      </c>
      <c r="J9" s="445">
        <f>transport!J14</f>
        <v>0</v>
      </c>
      <c r="K9" s="445">
        <f>transport!K14</f>
        <v>0</v>
      </c>
      <c r="L9" s="445">
        <f>transport!L14</f>
        <v>0</v>
      </c>
      <c r="M9" s="445">
        <f>transport!M14</f>
        <v>8810.5630175859496</v>
      </c>
      <c r="N9" s="445">
        <f>transport!N14</f>
        <v>0</v>
      </c>
      <c r="O9" s="445">
        <f>transport!O14</f>
        <v>0</v>
      </c>
      <c r="P9" s="445">
        <f>transport!P14</f>
        <v>0</v>
      </c>
      <c r="Q9" s="444">
        <f>SUM(B9:P9)</f>
        <v>171800.57792733531</v>
      </c>
    </row>
    <row r="10" spans="1:17">
      <c r="A10" s="440" t="s">
        <v>535</v>
      </c>
      <c r="B10" s="441">
        <f>transport!B54</f>
        <v>6.3127927995041784</v>
      </c>
      <c r="C10" s="441">
        <f>transport!C54</f>
        <v>0</v>
      </c>
      <c r="D10" s="441">
        <f>transport!D54</f>
        <v>0</v>
      </c>
      <c r="E10" s="441">
        <f>transport!E54</f>
        <v>0</v>
      </c>
      <c r="F10" s="441">
        <f>transport!F54</f>
        <v>0</v>
      </c>
      <c r="G10" s="441">
        <f>transport!G54</f>
        <v>593.02423435168589</v>
      </c>
      <c r="H10" s="441">
        <f>transport!H54</f>
        <v>0</v>
      </c>
      <c r="I10" s="441">
        <f>transport!I54</f>
        <v>0</v>
      </c>
      <c r="J10" s="441">
        <f>transport!J54</f>
        <v>0</v>
      </c>
      <c r="K10" s="441">
        <f>transport!K54</f>
        <v>0</v>
      </c>
      <c r="L10" s="441">
        <f>transport!L54</f>
        <v>0</v>
      </c>
      <c r="M10" s="441">
        <f>transport!M54</f>
        <v>34.150485110216344</v>
      </c>
      <c r="N10" s="441">
        <f>transport!N54</f>
        <v>0</v>
      </c>
      <c r="O10" s="441">
        <f>transport!O54</f>
        <v>0</v>
      </c>
      <c r="P10" s="442">
        <f>transport!P54</f>
        <v>0</v>
      </c>
      <c r="Q10" s="440">
        <f t="shared" si="0"/>
        <v>633.48751226140644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693.84351491224606</v>
      </c>
      <c r="C14" s="448"/>
      <c r="D14" s="448">
        <f>'SEAP template'!E25</f>
        <v>1107.09548775743</v>
      </c>
      <c r="E14" s="448"/>
      <c r="F14" s="448"/>
      <c r="G14" s="448"/>
      <c r="H14" s="448"/>
      <c r="I14" s="448"/>
      <c r="J14" s="448"/>
      <c r="K14" s="448"/>
      <c r="L14" s="448"/>
      <c r="M14" s="448"/>
      <c r="N14" s="448"/>
      <c r="O14" s="448"/>
      <c r="P14" s="449"/>
      <c r="Q14" s="440">
        <f t="shared" si="0"/>
        <v>1800.939002669676</v>
      </c>
    </row>
    <row r="15" spans="1:17" s="450" customFormat="1">
      <c r="A15" s="957" t="s">
        <v>539</v>
      </c>
      <c r="B15" s="905">
        <f ca="1">SUM(B4:B14)</f>
        <v>41093.642612435666</v>
      </c>
      <c r="C15" s="905">
        <f t="shared" ref="C15:Q15" ca="1" si="1">SUM(C4:C14)</f>
        <v>5637.8571428571431</v>
      </c>
      <c r="D15" s="905">
        <f t="shared" ca="1" si="1"/>
        <v>54883.387322805946</v>
      </c>
      <c r="E15" s="905">
        <f t="shared" si="1"/>
        <v>2048.8247410724557</v>
      </c>
      <c r="F15" s="905">
        <f t="shared" ca="1" si="1"/>
        <v>44712.049899672667</v>
      </c>
      <c r="G15" s="905">
        <f t="shared" si="1"/>
        <v>139495.17105965092</v>
      </c>
      <c r="H15" s="905">
        <f t="shared" si="1"/>
        <v>23612.365559251437</v>
      </c>
      <c r="I15" s="905">
        <f t="shared" si="1"/>
        <v>0</v>
      </c>
      <c r="J15" s="905">
        <f t="shared" si="1"/>
        <v>674.32008399514905</v>
      </c>
      <c r="K15" s="905">
        <f t="shared" si="1"/>
        <v>0</v>
      </c>
      <c r="L15" s="905">
        <f t="shared" ca="1" si="1"/>
        <v>0</v>
      </c>
      <c r="M15" s="905">
        <f t="shared" si="1"/>
        <v>8844.713502696166</v>
      </c>
      <c r="N15" s="905">
        <f t="shared" ca="1" si="1"/>
        <v>8418.3141952968472</v>
      </c>
      <c r="O15" s="905">
        <f t="shared" si="1"/>
        <v>329.86333333333334</v>
      </c>
      <c r="P15" s="905">
        <f t="shared" si="1"/>
        <v>819.86666666666667</v>
      </c>
      <c r="Q15" s="905">
        <f t="shared" ca="1" si="1"/>
        <v>330570.37611973443</v>
      </c>
    </row>
    <row r="17" spans="1:17">
      <c r="A17" s="451" t="s">
        <v>540</v>
      </c>
      <c r="B17" s="714">
        <f ca="1">huishoudens!B10</f>
        <v>0.20734395776841844</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5261.8103254319494</v>
      </c>
      <c r="C22" s="441">
        <f t="shared" ref="C22:C32" ca="1" si="3">C4*$C$17</f>
        <v>0</v>
      </c>
      <c r="D22" s="441">
        <f t="shared" ref="D22:D32" si="4">D4*$D$17</f>
        <v>8090.8354618687754</v>
      </c>
      <c r="E22" s="441">
        <f t="shared" ref="E22:E32" si="5">E4*$E$17</f>
        <v>347.99751036545456</v>
      </c>
      <c r="F22" s="441">
        <f t="shared" ref="F22:F32" si="6">F4*$F$17</f>
        <v>9487.6880258426663</v>
      </c>
      <c r="G22" s="441">
        <f t="shared" ref="G22:G32" si="7">G4*$G$17</f>
        <v>0</v>
      </c>
      <c r="H22" s="441">
        <f t="shared" ref="H22:H32" si="8">H4*$H$17</f>
        <v>0</v>
      </c>
      <c r="I22" s="441">
        <f t="shared" ref="I22:I32" si="9">I4*$I$17</f>
        <v>0</v>
      </c>
      <c r="J22" s="441">
        <f t="shared" ref="J22:J32" si="10">J4*$J$17</f>
        <v>64.645914358724653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23252.977237867566</v>
      </c>
    </row>
    <row r="23" spans="1:17">
      <c r="A23" s="440" t="s">
        <v>149</v>
      </c>
      <c r="B23" s="441">
        <f t="shared" ca="1" si="2"/>
        <v>2028.7490214331835</v>
      </c>
      <c r="C23" s="441">
        <f t="shared" ca="1" si="3"/>
        <v>0</v>
      </c>
      <c r="D23" s="441">
        <f t="shared" ca="1" si="4"/>
        <v>2215.8467579516173</v>
      </c>
      <c r="E23" s="441">
        <f t="shared" si="5"/>
        <v>38.232736121526727</v>
      </c>
      <c r="F23" s="441">
        <f t="shared" ca="1" si="6"/>
        <v>392.56112573496625</v>
      </c>
      <c r="G23" s="441">
        <f t="shared" si="7"/>
        <v>0</v>
      </c>
      <c r="H23" s="441">
        <f t="shared" si="8"/>
        <v>0</v>
      </c>
      <c r="I23" s="441">
        <f t="shared" si="9"/>
        <v>0</v>
      </c>
      <c r="J23" s="441">
        <f t="shared" si="10"/>
        <v>2.9201155839085309E-3</v>
      </c>
      <c r="K23" s="441">
        <f t="shared" si="11"/>
        <v>0</v>
      </c>
      <c r="L23" s="441">
        <f t="shared" ca="1" si="12"/>
        <v>0</v>
      </c>
      <c r="M23" s="441">
        <f t="shared" si="13"/>
        <v>0</v>
      </c>
      <c r="N23" s="441">
        <f t="shared" ca="1" si="14"/>
        <v>0</v>
      </c>
      <c r="O23" s="441">
        <f t="shared" si="15"/>
        <v>0</v>
      </c>
      <c r="P23" s="442">
        <f t="shared" si="16"/>
        <v>0</v>
      </c>
      <c r="Q23" s="440">
        <f t="shared" ref="Q23:Q32" ca="1" si="17">SUM(B23:P23)</f>
        <v>4675.3925613568781</v>
      </c>
    </row>
    <row r="24" spans="1:17">
      <c r="A24" s="440" t="s">
        <v>187</v>
      </c>
      <c r="B24" s="441">
        <f t="shared" ca="1" si="2"/>
        <v>203.69574083148311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203.69574083148311</v>
      </c>
    </row>
    <row r="25" spans="1:17">
      <c r="A25" s="440" t="s">
        <v>105</v>
      </c>
      <c r="B25" s="441">
        <f t="shared" ca="1" si="2"/>
        <v>386.75834816370576</v>
      </c>
      <c r="C25" s="441">
        <f t="shared" ca="1" si="3"/>
        <v>1339.8201680672271</v>
      </c>
      <c r="D25" s="441">
        <f t="shared" si="4"/>
        <v>59.423870441724908</v>
      </c>
      <c r="E25" s="441">
        <f t="shared" si="5"/>
        <v>13.741459551373421</v>
      </c>
      <c r="F25" s="441">
        <f t="shared" si="6"/>
        <v>1837.3465286336793</v>
      </c>
      <c r="G25" s="441">
        <f t="shared" si="7"/>
        <v>0</v>
      </c>
      <c r="H25" s="441">
        <f t="shared" si="8"/>
        <v>0</v>
      </c>
      <c r="I25" s="441">
        <f t="shared" si="9"/>
        <v>0</v>
      </c>
      <c r="J25" s="441">
        <f t="shared" si="10"/>
        <v>173.65618282283606</v>
      </c>
      <c r="K25" s="441">
        <f t="shared" si="11"/>
        <v>0</v>
      </c>
      <c r="L25" s="441">
        <f t="shared" si="12"/>
        <v>0</v>
      </c>
      <c r="M25" s="441">
        <f t="shared" si="13"/>
        <v>0</v>
      </c>
      <c r="N25" s="441">
        <f t="shared" si="14"/>
        <v>0</v>
      </c>
      <c r="O25" s="441">
        <f t="shared" si="15"/>
        <v>0</v>
      </c>
      <c r="P25" s="442">
        <f t="shared" si="16"/>
        <v>0</v>
      </c>
      <c r="Q25" s="440">
        <f t="shared" ca="1" si="17"/>
        <v>3810.7465576805462</v>
      </c>
    </row>
    <row r="26" spans="1:17">
      <c r="A26" s="440" t="s">
        <v>596</v>
      </c>
      <c r="B26" s="441">
        <f t="shared" ca="1" si="2"/>
        <v>476.62515654645682</v>
      </c>
      <c r="C26" s="441">
        <f t="shared" ca="1" si="3"/>
        <v>0</v>
      </c>
      <c r="D26" s="441">
        <f t="shared" si="4"/>
        <v>469.65289548658006</v>
      </c>
      <c r="E26" s="441">
        <f t="shared" si="5"/>
        <v>6.957726981604603</v>
      </c>
      <c r="F26" s="441">
        <f t="shared" si="6"/>
        <v>220.52164300128999</v>
      </c>
      <c r="G26" s="441">
        <f t="shared" si="7"/>
        <v>0</v>
      </c>
      <c r="H26" s="441">
        <f t="shared" si="8"/>
        <v>0</v>
      </c>
      <c r="I26" s="441">
        <f t="shared" si="9"/>
        <v>0</v>
      </c>
      <c r="J26" s="441">
        <f t="shared" si="10"/>
        <v>0.40429243713813678</v>
      </c>
      <c r="K26" s="441">
        <f t="shared" si="11"/>
        <v>0</v>
      </c>
      <c r="L26" s="441">
        <f t="shared" si="12"/>
        <v>0</v>
      </c>
      <c r="M26" s="441">
        <f t="shared" si="13"/>
        <v>0</v>
      </c>
      <c r="N26" s="441">
        <f t="shared" si="14"/>
        <v>0</v>
      </c>
      <c r="O26" s="441">
        <f t="shared" si="15"/>
        <v>0</v>
      </c>
      <c r="P26" s="442">
        <f t="shared" si="16"/>
        <v>0</v>
      </c>
      <c r="Q26" s="440">
        <f t="shared" ca="1" si="17"/>
        <v>1174.1617144530696</v>
      </c>
    </row>
    <row r="27" spans="1:17" s="446" customFormat="1">
      <c r="A27" s="444" t="s">
        <v>545</v>
      </c>
      <c r="B27" s="708">
        <f t="shared" ca="1" si="2"/>
        <v>17.706726079087588</v>
      </c>
      <c r="C27" s="445">
        <f t="shared" ca="1" si="3"/>
        <v>0</v>
      </c>
      <c r="D27" s="445">
        <f t="shared" si="4"/>
        <v>27.051964931102052</v>
      </c>
      <c r="E27" s="445">
        <f t="shared" si="5"/>
        <v>58.153783203488182</v>
      </c>
      <c r="F27" s="445">
        <f t="shared" si="6"/>
        <v>0</v>
      </c>
      <c r="G27" s="445">
        <f t="shared" si="7"/>
        <v>37086.873202354902</v>
      </c>
      <c r="H27" s="445">
        <f t="shared" si="8"/>
        <v>5879.4790242536073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43069.264700822183</v>
      </c>
    </row>
    <row r="28" spans="1:17">
      <c r="A28" s="440" t="s">
        <v>535</v>
      </c>
      <c r="B28" s="441">
        <f t="shared" ca="1" si="2"/>
        <v>1.3089194436211704</v>
      </c>
      <c r="C28" s="441">
        <f t="shared" ca="1" si="3"/>
        <v>0</v>
      </c>
      <c r="D28" s="441">
        <f t="shared" si="4"/>
        <v>0</v>
      </c>
      <c r="E28" s="441">
        <f t="shared" si="5"/>
        <v>0</v>
      </c>
      <c r="F28" s="441">
        <f t="shared" si="6"/>
        <v>0</v>
      </c>
      <c r="G28" s="441">
        <f t="shared" si="7"/>
        <v>158.33747057190016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159.64639001552132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143.86426045385576</v>
      </c>
      <c r="C32" s="441">
        <f t="shared" ca="1" si="3"/>
        <v>0</v>
      </c>
      <c r="D32" s="441">
        <f t="shared" si="4"/>
        <v>223.63328852700087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367.49754898085666</v>
      </c>
    </row>
    <row r="33" spans="1:17" s="450" customFormat="1">
      <c r="A33" s="957" t="s">
        <v>539</v>
      </c>
      <c r="B33" s="905">
        <f ca="1">SUM(B22:B32)</f>
        <v>8520.5184983833442</v>
      </c>
      <c r="C33" s="905">
        <f t="shared" ref="C33:Q33" ca="1" si="18">SUM(C22:C32)</f>
        <v>1339.8201680672271</v>
      </c>
      <c r="D33" s="905">
        <f t="shared" ca="1" si="18"/>
        <v>11086.444239206801</v>
      </c>
      <c r="E33" s="905">
        <f t="shared" si="18"/>
        <v>465.08321622344744</v>
      </c>
      <c r="F33" s="905">
        <f t="shared" ca="1" si="18"/>
        <v>11938.117323212602</v>
      </c>
      <c r="G33" s="905">
        <f t="shared" si="18"/>
        <v>37245.210672926805</v>
      </c>
      <c r="H33" s="905">
        <f t="shared" si="18"/>
        <v>5879.4790242536073</v>
      </c>
      <c r="I33" s="905">
        <f t="shared" si="18"/>
        <v>0</v>
      </c>
      <c r="J33" s="905">
        <f t="shared" si="18"/>
        <v>238.70930973428275</v>
      </c>
      <c r="K33" s="905">
        <f t="shared" si="18"/>
        <v>0</v>
      </c>
      <c r="L33" s="905">
        <f t="shared" ca="1" si="18"/>
        <v>0</v>
      </c>
      <c r="M33" s="905">
        <f t="shared" si="18"/>
        <v>0</v>
      </c>
      <c r="N33" s="905">
        <f t="shared" ca="1" si="18"/>
        <v>0</v>
      </c>
      <c r="O33" s="905">
        <f t="shared" si="18"/>
        <v>0</v>
      </c>
      <c r="P33" s="905">
        <f t="shared" si="18"/>
        <v>0</v>
      </c>
      <c r="Q33" s="905">
        <f t="shared" ca="1" si="18"/>
        <v>76713.382452008096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2836.5345548054324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3946.5</v>
      </c>
      <c r="D8" s="974">
        <f>'SEAP template'!D76</f>
        <v>4642.9411764705883</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937.87411764705894</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2836.5345548054324</v>
      </c>
      <c r="C10" s="978">
        <f>SUM(C4:C9)</f>
        <v>3946.5</v>
      </c>
      <c r="D10" s="978">
        <f t="shared" ref="D10:H10" si="0">SUM(D8:D9)</f>
        <v>4642.9411764705883</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937.87411764705894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0.20734395776841844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5637.8571428571431</v>
      </c>
      <c r="D17" s="975">
        <f>'SEAP template'!D87</f>
        <v>6632.7731092436979</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1339.8201680672271</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5637.8571428571431</v>
      </c>
      <c r="D20" s="978">
        <f t="shared" ref="D20:H20" si="2">SUM(D17:D19)</f>
        <v>6632.7731092436979</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1339.8201680672271</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0.20734395776841844</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2022-07-26T10:47:16Z</dcterms:modified>
</cp:coreProperties>
</file>