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3AF1DD6F-5AD5-4A3C-B944-CBDA45B4087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<sst xmlns="http://schemas.openxmlformats.org/spreadsheetml/2006/main" count="2407" uniqueCount="881">
  <si>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</si>
  <si>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</si>
  <si>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</si>
  <si>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</si>
  <si>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</si>
  <si>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</si>
  <si>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</si>
  <si>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</si>
  <si>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</si>
  <si>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</si>
  <si>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</si>
  <si>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</si>
  <si>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</si>
  <si>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</si>
  <si>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</si>
  <si>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</si>
  <si>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</si>
  <si>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</si>
  <si>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</si>
  <si>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</si>
  <si>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</si>
  <si>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</si>
  <si>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</si>
  <si>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</si>
  <si>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</si>
  <si>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</si>
  <si>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</si>
  <si>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</si>
  <si>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</si>
  <si>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</si>
  <si>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</si>
  <si>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</si>
  <si>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</si>
  <si>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</si>
  <si>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</si>
  <si>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</si>
  <si>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</si>
  <si>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</si>
  <si>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</si>
  <si>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</si>
  <si>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</si>
  <si>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</si>
  <si>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</si>
  <si>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</si>
  <si>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</si>
  <si>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</si>
  <si>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</si>
  <si>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</si>
  <si>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</si>
  <si>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</si>
  <si>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</si>
  <si>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</si>
  <si>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</si>
  <si>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</si>
  <si>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</si>
  <si>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</si>
  <si>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</si>
  <si>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</si>
  <si>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</si>
  <si>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</si>
  <si>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</si>
  <si>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</si>
  <si>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</si>
  <si>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</si>
  <si>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</si>
  <si>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</si>
  <si>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</si>
  <si>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</si>
  <si>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</si>
  <si>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</si>
  <si>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</si>
  <si>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</si>
  <si>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</si>
  <si>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</si>
  <si>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</si>
  <si>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</si>
  <si>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</si>
  <si>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</si>
  <si>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</si>
  <si>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</si>
  <si>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</si>
  <si>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</si>
  <si>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</si>
  <si>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</si>
  <si>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</si>
  <si>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</si>
  <si>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</si>
  <si>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</si>
  <si>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</si>
  <si>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</si>
  <si>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</si>
  <si>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</si>
  <si>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</si>
  <si>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</si>
  <si>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</si>
  <si>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</si>
  <si>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</si>
  <si>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</si>
  <si>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</si>
  <si>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</si>
  <si>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</si>
  <si>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</si>
  <si>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</si>
  <si>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</si>
  <si>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</si>
  <si>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</si>
  <si>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</si>
  <si>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</si>
  <si>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</si>
  <si>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</si>
  <si>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</si>
  <si>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</si>
  <si>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</si>
  <si>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</si>
  <si>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</si>
  <si>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</si>
  <si>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</si>
  <si>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</si>
  <si>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</si>
  <si>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</si>
  <si>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</si>
  <si>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</si>
  <si>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</si>
  <si>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</si>
  <si>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</si>
  <si>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</si>
  <si>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</si>
  <si>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</si>
  <si>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</si>
  <si>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</si>
  <si>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</si>
  <si>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</si>
  <si>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</si>
  <si>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</si>
  <si>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</si>
  <si>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</si>
  <si>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</si>
  <si>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</si>
  <si>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</si>
  <si>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</si>
  <si>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</si>
  <si>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</si>
  <si>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</si>
  <si>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</si>
  <si>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</si>
  <si>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</si>
  <si>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</si>
  <si>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</si>
  <si>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</si>
  <si>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</si>
  <si>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</si>
  <si>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</si>
  <si>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</si>
  <si>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</si>
  <si>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</si>
  <si>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</si>
  <si>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</si>
  <si>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</si>
  <si>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</si>
  <si>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</si>
  <si>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</si>
  <si>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</si>
  <si>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</si>
  <si>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</si>
  <si>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</si>
  <si>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</si>
  <si>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</si>
  <si>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</si>
  <si>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</si>
  <si>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</si>
  <si>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</si>
  <si>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</si>
  <si>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</si>
  <si>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</si>
  <si>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</si>
  <si>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</si>
  <si>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</si>
  <si>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</si>
  <si>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</si>
  <si>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</si>
  <si>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</si>
  <si>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</si>
  <si>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</si>
  <si>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</si>
  <si>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</si>
  <si>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</si>
  <si>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</si>
  <si>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</si>
  <si>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</si>
  <si>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</si>
  <si>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</si>
  <si>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</si>
  <si>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</si>
  <si>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</si>
  <si>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</si>
  <si>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</si>
  <si>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</si>
  <si>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</si>
  <si>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</si>
  <si>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</si>
  <si>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</si>
  <si>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</si>
  <si>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</si>
  <si>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</si>
  <si>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</si>
  <si>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</si>
  <si>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</si>
  <si>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</si>
  <si>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</si>
  <si>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</si>
  <si>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</si>
  <si>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</si>
  <si>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</si>
  <si>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</si>
  <si>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</si>
  <si>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</si>
  <si>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</si>
  <si>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</si>
  <si>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</si>
  <si>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</si>
  <si>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</si>
  <si>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</si>
  <si>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</si>
  <si>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</si>
  <si>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</si>
  <si>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</si>
  <si>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</si>
  <si>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</si>
  <si>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</si>
  <si>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</si>
  <si>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</si>
  <si>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</si>
  <si>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</si>
  <si>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</si>
  <si>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</si>
  <si>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</si>
  <si>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</si>
  <si>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</si>
  <si>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</si>
  <si>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</si>
  <si>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</si>
  <si>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</si>
  <si>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</si>
  <si>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</si>
  <si>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</si>
  <si>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</si>
  <si>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</si>
  <si>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</si>
  <si>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</si>
  <si>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</si>
  <si>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</si>
  <si>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</si>
  <si>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</si>
  <si>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</si>
  <si>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</si>
  <si>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</si>
  <si>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</si>
  <si>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</si>
  <si>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</si>
  <si>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</si>
  <si>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</si>
  <si>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</si>
  <si>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</si>
  <si>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</si>
  <si>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</si>
  <si>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</si>
  <si>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</si>
  <si>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</si>
  <si>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</si>
  <si>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</si>
  <si>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</si>
  <si>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</si>
  <si>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</si>
  <si>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</si>
  <si>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</si>
  <si>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</si>
  <si>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</si>
  <si>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</si>
  <si>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</si>
  <si>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</si>
  <si>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</si>
  <si>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</si>
  <si>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</si>
  <si>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</si>
  <si>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</si>
  <si>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</si>
  <si>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</si>
  <si>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</si>
  <si>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</si>
  <si>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</si>
  <si>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</si>
  <si>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</si>
  <si>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</si>
  <si>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</si>
  <si>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</si>
  <si>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</si>
  <si>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</si>
  <si>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</si>
  <si>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</si>
  <si>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</si>
  <si>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</si>
  <si>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</si>
  <si>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</si>
  <si>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</si>
  <si>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</si>
  <si>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</si>
  <si>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</si>
  <si>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</si>
  <si>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</si>
  <si>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</si>
  <si>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</si>
  <si>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</si>
  <si>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</si>
  <si>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</si>
  <si>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</si>
  <si>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</si>
  <si>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</si>
  <si>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</si>
  <si>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</si>
  <si>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</si>
  <si>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</si>
  <si>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</si>
  <si>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</si>
  <si>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</si>
  <si>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</si>
  <si>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</si>
  <si>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</si>
  <si>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</si>
  <si>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</si>
  <si>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</si>
  <si>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</si>
  <si>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</si>
  <si>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</si>
  <si>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</si>
  <si>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</si>
  <si>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</si>
  <si>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</si>
  <si>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</si>
  <si>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</si>
  <si>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</si>
  <si>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</si>
  <si>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</si>
  <si>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</si>
  <si>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</si>
  <si>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</si>
  <si>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</si>
  <si>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</si>
  <si>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</si>
  <si>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</si>
  <si>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</si>
  <si>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</si>
  <si>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</si>
  <si>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</si>
  <si>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</si>
  <si>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</si>
  <si>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</si>
  <si>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</si>
  <si>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</si>
  <si>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</si>
  <si>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</si>
  <si>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</si>
  <si>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</si>
  <si>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</si>
  <si>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</si>
  <si>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</si>
  <si>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</si>
  <si>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</si>
  <si>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</si>
  <si>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</si>
  <si>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</si>
  <si>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</si>
  <si>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</si>
  <si>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</si>
  <si>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</si>
  <si>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</si>
  <si>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</si>
  <si>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</si>
  <si>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</si>
  <si>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</si>
  <si>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</si>
  <si>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</si>
  <si>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</si>
  <si>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</si>
  <si>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</si>
  <si>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</si>
  <si>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</si>
  <si>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</si>
  <si>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</si>
  <si>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</si>
  <si>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</si>
  <si>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</si>
  <si>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</si>
  <si>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</si>
  <si>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</si>
  <si>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</si>
  <si>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</si>
  <si>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</si>
  <si>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</si>
  <si>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</si>
  <si>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</si>
  <si>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</si>
  <si>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</si>
  <si>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</si>
  <si>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</si>
  <si>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</si>
  <si>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</si>
  <si>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</si>
  <si>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</si>
  <si>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</si>
  <si>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</si>
  <si>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</si>
  <si>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</si>
  <si>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</si>
  <si>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</si>
  <si>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</si>
  <si>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</si>
  <si>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</si>
  <si>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</si>
  <si>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</si>
  <si>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</si>
  <si>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</si>
  <si>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</si>
  <si>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</si>
  <si>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</si>
  <si>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</si>
  <si>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</si>
  <si>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</si>
  <si>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</si>
  <si>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</si>
  <si>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</si>
  <si>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</si>
  <si>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</si>
  <si>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</si>
  <si>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</si>
  <si>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</si>
  <si>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</si>
  <si>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</si>
  <si>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</si>
  <si>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</si>
  <si>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</si>
  <si>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</si>
  <si>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</si>
  <si>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</si>
  <si>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</si>
  <si>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</si>
  <si>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</si>
  <si>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</si>
  <si>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</si>
  <si>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</si>
  <si>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</si>
  <si>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</si>
  <si>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</si>
  <si>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</si>
  <si>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</si>
  <si>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</si>
  <si>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</si>
  <si>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</si>
  <si>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</si>
  <si>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</si>
  <si>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</si>
  <si>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</si>
  <si>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</si>
  <si>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</si>
  <si>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</si>
  <si>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</si>
  <si>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</si>
  <si>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</si>
  <si>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</si>
  <si>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</si>
  <si>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</si>
  <si>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</si>
  <si>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</si>
  <si>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</si>
  <si>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</si>
  <si>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</si>
  <si>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</si>
  <si>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</si>
  <si>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</si>
  <si>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</si>
  <si>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</si>
  <si>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</si>
  <si>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</si>
  <si>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</si>
  <si>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</si>
  <si>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</si>
  <si>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</si>
  <si>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</si>
  <si>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</si>
  <si>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</si>
  <si>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</si>
  <si>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</si>
  <si>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</si>
  <si>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</si>
  <si>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</si>
  <si>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</si>
  <si>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</si>
  <si>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</si>
  <si>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</si>
  <si>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</si>
  <si>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</si>
  <si>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</si>
  <si>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</si>
  <si>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</si>
  <si>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</si>
  <si>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</si>
  <si>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</si>
  <si>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</si>
  <si>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</si>
  <si>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</si>
  <si>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</si>
  <si>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</si>
  <si>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</si>
  <si>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</si>
  <si>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</si>
  <si>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</si>
  <si>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</si>
  <si>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</si>
  <si>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</si>
  <si>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</si>
  <si>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</si>
  <si>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</si>
  <si>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</si>
  <si>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</si>
  <si>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</si>
  <si>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</si>
  <si>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</si>
  <si>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</si>
  <si>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</si>
  <si>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</si>
  <si>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</si>
  <si>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</si>
  <si>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</si>
  <si>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</si>
  <si>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</si>
  <si>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</si>
  <si>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</si>
  <si>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</si>
  <si>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</si>
  <si>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</si>
  <si>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</si>
  <si>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</si>
  <si>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</si>
  <si>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</si>
  <si>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</si>
  <si>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</si>
  <si>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</si>
  <si>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</si>
  <si>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</si>
  <si>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</si>
  <si>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</si>
  <si>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</si>
  <si>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</si>
  <si>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</si>
  <si>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</si>
  <si>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</si>
  <si>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</si>
  <si>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</si>
  <si>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</si>
  <si>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</si>
  <si>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</si>
  <si>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</si>
  <si>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</si>
  <si>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</si>
  <si>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</si>
  <si>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</si>
  <si>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</si>
  <si>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</si>
  <si>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</si>
  <si>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</si>
  <si>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</si>
  <si>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</si>
  <si>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</si>
  <si>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</si>
  <si>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</si>
  <si>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</si>
  <si>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</si>
  <si>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</si>
  <si>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</si>
  <si>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</si>
  <si>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</si>
  <si>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</si>
  <si>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</si>
  <si>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</si>
  <si>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</si>
  <si>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</si>
  <si>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</si>
  <si>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</si>
  <si>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</si>
  <si>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</si>
  <si>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</si>
  <si>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</si>
  <si>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</si>
  <si>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</si>
  <si>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</si>
  <si>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</si>
  <si>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</si>
  <si>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</si>
  <si>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</si>
  <si>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</si>
  <si>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</si>
  <si>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</si>
  <si>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</si>
  <si>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</si>
  <si>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</si>
  <si>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</si>
  <si>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</si>
  <si>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</si>
  <si>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</si>
  <si>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</si>
  <si>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</si>
  <si>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</si>
  <si>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</si>
  <si>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</si>
  <si>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</si>
  <si>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</si>
  <si>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</si>
  <si>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</si>
  <si>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</si>
  <si>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</si>
  <si>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</si>
  <si>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</si>
  <si>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</si>
  <si>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</si>
  <si>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</si>
  <si>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</si>
  <si>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</si>
  <si>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</si>
  <si>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</si>
  <si>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</si>
  <si>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</si>
  <si>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</si>
  <si>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</si>
  <si>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</si>
  <si>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</si>
  <si>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</si>
  <si>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</si>
  <si>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</si>
  <si>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</si>
  <si>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</si>
  <si>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</si>
  <si>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</si>
  <si>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</si>
  <si>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</si>
  <si>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</si>
  <si>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</si>
  <si>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</si>
  <si>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</si>
  <si>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</si>
  <si>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</si>
  <si>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</si>
  <si>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</si>
  <si>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</si>
  <si>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</si>
  <si>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</si>
  <si>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</si>
  <si>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</si>
  <si>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</si>
  <si>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</si>
  <si>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</si>
  <si>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</si>
  <si>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</si>
  <si>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</si>
  <si>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</si>
  <si>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</si>
  <si>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</si>
  <si>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</si>
  <si>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</si>
  <si>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</si>
  <si>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</si>
  <si>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</si>
  <si>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</si>
  <si>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</si>
  <si>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</si>
  <si>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</si>
  <si>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</si>
  <si>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</si>
  <si>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</si>
  <si>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</si>
  <si>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</si>
  <si>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</si>
  <si>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</si>
  <si>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</si>
  <si>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</si>
  <si>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</si>
  <si>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</si>
  <si>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</si>
  <si>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</si>
  <si>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</si>
  <si>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</si>
  <si>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</si>
  <si>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</si>
  <si>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</si>
  <si>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</si>
  <si>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</si>
  <si>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</si>
  <si>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</si>
  <si>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</si>
  <si>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</si>
  <si>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</si>
  <si>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</si>
  <si>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</si>
  <si>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</si>
  <si>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</si>
  <si>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</si>
  <si>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</si>
  <si>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</si>
  <si>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</si>
  <si>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</si>
  <si>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</si>
  <si>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</si>
  <si>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</si>
  <si>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</si>
  <si>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</si>
  <si>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</si>
  <si>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</si>
  <si>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</si>
  <si>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</si>
  <si>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</si>
  <si>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</si>
  <si>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</si>
  <si>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</si>
  <si>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</si>
  <si>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</si>
  <si>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</si>
  <si>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</si>
  <si>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</si>
  <si>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</si>
  <si>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</si>
  <si>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</si>
  <si>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</si>
  <si>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</si>
  <si>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</si>
  <si>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</si>
  <si>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</si>
  <si>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</si>
  <si>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</si>
  <si>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</si>
  <si>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</si>
  <si>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</si>
  <si>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</si>
  <si>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</si>
  <si>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</si>
  <si>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</si>
  <si>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</si>
  <si>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</si>
  <si>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</si>
  <si>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</si>
  <si>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</si>
  <si>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</si>
  <si>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</si>
  <si>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</si>
  <si>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</si>
  <si>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</si>
  <si>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</si>
  <si>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</si>
  <si>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</si>
  <si>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</si>
  <si>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</si>
  <si>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</si>
  <si>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</si>
  <si>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</si>
  <si>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</si>
  <si>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</si>
  <si>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</si>
  <si>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</si>
  <si>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</si>
  <si>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</si>
  <si>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</si>
  <si>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</si>
  <si>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</si>
  <si>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</si>
  <si>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</si>
  <si>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</si>
  <si>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</si>
  <si>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</si>
  <si>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</si>
  <si>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</si>
  <si>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</si>
  <si>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</si>
  <si>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</si>
  <si>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</si>
  <si>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</si>
  <si>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</si>
  <si>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</si>
  <si>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</si>
  <si>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</si>
  <si>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</si>
  <si>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</si>
  <si>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</si>
  <si>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</si>
  <si>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</si>
  <si>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</si>
  <si>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</si>
  <si>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</si>
  <si>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</si>
  <si>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</si>
  <si>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</si>
  <si>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</si>
  <si>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</si>
  <si>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</si>
  <si>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</si>
  <si>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</si>
  <si>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</si>
  <si>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</si>
  <si>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</si>
  <si>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</si>
  <si>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</si>
  <si>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</si>
  <si>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</si>
  <si>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</si>
  <si>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</si>
  <si>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</si>
  <si>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</si>
  <si>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</si>
  <si>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</si>
  <si>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</si>
  <si>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</si>
  <si>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</si>
  <si>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</si>
  <si>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</si>
  <si>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</si>
  <si>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</si>
  <si>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</si>
  <si>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</si>
  <si>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</si>
  <si>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</si>
  <si>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</si>
  <si>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</si>
  <si>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</si>
  <si>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</si>
  <si>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</si>
  <si>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</si>
  <si>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</si>
  <si>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</si>
  <si>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</si>
  <si>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</si>
  <si>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</si>
  <si>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</si>
  <si>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</si>
  <si>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</si>
  <si>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</si>
  <si>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</si>
  <si>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</si>
  <si>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</si>
  <si>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</si>
  <si>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</si>
  <si>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</si>
  <si>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</si>
  <si>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</si>
  <si>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</si>
  <si>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</si>
  <si>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</si>
  <si>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</si>
  <si>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</si>
  <si>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</si>
  <si>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</si>
  <si>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</si>
  <si>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</si>
  <si>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</si>
  <si>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</si>
  <si>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</si>
  <si>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</si>
  <si>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</si>
  <si>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</si>
  <si>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</si>
  <si>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</si>
  <si>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</si>
  <si>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</si>
  <si>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</si>
  <si>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</si>
  <si>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</si>
  <si>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</si>
  <si>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</si>
  <si>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</si>
  <si>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</si>
  <si>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38025</t>
  </si>
  <si>
    <t>VEURNE</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</si>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</sst>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F9003055-A5F7-4AC4-91AD-37B1720642E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96327.010957981343</c:v>
                </c:pt>
                <c:pt idx="1">
                  <c:v>61923.366445569678</c:v>
                </c:pt>
                <c:pt idx="2">
                  <c:v>925.74300000000005</c:v>
                </c:pt>
                <c:pt idx="3">
                  <c:v>28482.076928191811</c:v>
                </c:pt>
                <c:pt idx="4">
                  <c:v>229342.72819587667</c:v>
                </c:pt>
                <c:pt idx="5">
                  <c:v>196811.27619531652</c:v>
                </c:pt>
                <c:pt idx="6">
                  <c:v>1176.8124344869077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96327.010957981343</c:v>
                </c:pt>
                <c:pt idx="1">
                  <c:v>61923.366445569678</c:v>
                </c:pt>
                <c:pt idx="2">
                  <c:v>925.74300000000005</c:v>
                </c:pt>
                <c:pt idx="3">
                  <c:v>28482.076928191811</c:v>
                </c:pt>
                <c:pt idx="4">
                  <c:v>229342.72819587667</c:v>
                </c:pt>
                <c:pt idx="5">
                  <c:v>196811.27619531652</c:v>
                </c:pt>
                <c:pt idx="6">
                  <c:v>1176.8124344869077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19235.100180759469</c:v>
                </c:pt>
                <c:pt idx="2">
                  <c:v>12498.971038468366</c:v>
                </c:pt>
                <c:pt idx="3">
                  <c:v>183.87797149248803</c:v>
                </c:pt>
                <c:pt idx="4">
                  <c:v>7325.6906178596892</c:v>
                </c:pt>
                <c:pt idx="5">
                  <c:v>46565.706644596219</c:v>
                </c:pt>
                <c:pt idx="6">
                  <c:v>49386.887480005884</c:v>
                </c:pt>
                <c:pt idx="7">
                  <c:v>296.4685152509814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19235.100180759469</c:v>
                </c:pt>
                <c:pt idx="2">
                  <c:v>12498.971038468366</c:v>
                </c:pt>
                <c:pt idx="3">
                  <c:v>183.87797149248803</c:v>
                </c:pt>
                <c:pt idx="4">
                  <c:v>7325.6906178596892</c:v>
                </c:pt>
                <c:pt idx="5">
                  <c:v>46565.706644596219</c:v>
                </c:pt>
                <c:pt idx="6">
                  <c:v>49386.887480005884</c:v>
                </c:pt>
                <c:pt idx="7">
                  <c:v>296.4685152509814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38025</v>
      </c>
      <c r="B6" s="380"/>
      <c r="C6" s="381"/>
    </row>
    <row r="7" spans="1:7" s="378" customFormat="1" ht="15.75" customHeight="1">
      <c r="A7" s="382" t="str">
        <f>txtMunicipality</f>
        <v>VEURNE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0.19862745005091911</v>
      </c>
      <c r="C17" s="488">
        <f ca="1">'EF ele_warmte'!B22</f>
        <v>0.22998102466793169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0.19862745005091911</v>
      </c>
      <c r="C29" s="489">
        <f ca="1">'EF ele_warmte'!B22</f>
        <v>0.22998102466793169</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5091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8100.1</v>
      </c>
      <c r="C14" s="322"/>
      <c r="D14" s="322"/>
      <c r="E14" s="322"/>
      <c r="F14" s="322"/>
    </row>
    <row r="15" spans="1:6">
      <c r="A15" s="1248" t="s">
        <v>177</v>
      </c>
      <c r="B15" s="1249">
        <v>1091</v>
      </c>
      <c r="C15" s="322"/>
      <c r="D15" s="322"/>
      <c r="E15" s="322"/>
      <c r="F15" s="322"/>
    </row>
    <row r="16" spans="1:6">
      <c r="A16" s="1248" t="s">
        <v>6</v>
      </c>
      <c r="B16" s="1249">
        <v>2386</v>
      </c>
      <c r="C16" s="322"/>
      <c r="D16" s="322"/>
      <c r="E16" s="322"/>
      <c r="F16" s="322"/>
    </row>
    <row r="17" spans="1:6">
      <c r="A17" s="1248" t="s">
        <v>7</v>
      </c>
      <c r="B17" s="1249">
        <v>2132</v>
      </c>
      <c r="C17" s="322"/>
      <c r="D17" s="322"/>
      <c r="E17" s="322"/>
      <c r="F17" s="322"/>
    </row>
    <row r="18" spans="1:6">
      <c r="A18" s="1248" t="s">
        <v>8</v>
      </c>
      <c r="B18" s="1249">
        <v>3024</v>
      </c>
      <c r="C18" s="322"/>
      <c r="D18" s="322"/>
      <c r="E18" s="322"/>
      <c r="F18" s="322"/>
    </row>
    <row r="19" spans="1:6">
      <c r="A19" s="1248" t="s">
        <v>9</v>
      </c>
      <c r="B19" s="1249">
        <v>2870</v>
      </c>
      <c r="C19" s="322"/>
      <c r="D19" s="322"/>
      <c r="E19" s="322"/>
      <c r="F19" s="322"/>
    </row>
    <row r="20" spans="1:6">
      <c r="A20" s="1248" t="s">
        <v>10</v>
      </c>
      <c r="B20" s="1249">
        <v>1258</v>
      </c>
      <c r="C20" s="322"/>
      <c r="D20" s="322"/>
      <c r="E20" s="322"/>
      <c r="F20" s="322"/>
    </row>
    <row r="21" spans="1:6">
      <c r="A21" s="1248" t="s">
        <v>11</v>
      </c>
      <c r="B21" s="1249">
        <v>21678</v>
      </c>
      <c r="C21" s="322"/>
      <c r="D21" s="322"/>
      <c r="E21" s="322"/>
      <c r="F21" s="322"/>
    </row>
    <row r="22" spans="1:6">
      <c r="A22" s="1248" t="s">
        <v>12</v>
      </c>
      <c r="B22" s="1249">
        <v>48400</v>
      </c>
      <c r="C22" s="322"/>
      <c r="D22" s="322"/>
      <c r="E22" s="322"/>
      <c r="F22" s="322"/>
    </row>
    <row r="23" spans="1:6">
      <c r="A23" s="1248" t="s">
        <v>13</v>
      </c>
      <c r="B23" s="1249">
        <v>789</v>
      </c>
      <c r="C23" s="322"/>
      <c r="D23" s="322"/>
      <c r="E23" s="322"/>
      <c r="F23" s="322"/>
    </row>
    <row r="24" spans="1:6">
      <c r="A24" s="1248" t="s">
        <v>14</v>
      </c>
      <c r="B24" s="1249">
        <v>49</v>
      </c>
      <c r="C24" s="322"/>
      <c r="D24" s="322"/>
      <c r="E24" s="322"/>
      <c r="F24" s="322"/>
    </row>
    <row r="25" spans="1:6">
      <c r="A25" s="1248" t="s">
        <v>15</v>
      </c>
      <c r="B25" s="1249">
        <v>5444</v>
      </c>
      <c r="C25" s="322"/>
      <c r="D25" s="322"/>
      <c r="E25" s="322"/>
      <c r="F25" s="322"/>
    </row>
    <row r="26" spans="1:6">
      <c r="A26" s="1248" t="s">
        <v>16</v>
      </c>
      <c r="B26" s="1249">
        <v>576</v>
      </c>
      <c r="C26" s="322"/>
      <c r="D26" s="322"/>
      <c r="E26" s="322"/>
      <c r="F26" s="322"/>
    </row>
    <row r="27" spans="1:6">
      <c r="A27" s="1248" t="s">
        <v>17</v>
      </c>
      <c r="B27" s="1249">
        <v>17</v>
      </c>
      <c r="C27" s="322"/>
      <c r="D27" s="322"/>
      <c r="E27" s="322"/>
      <c r="F27" s="322"/>
    </row>
    <row r="28" spans="1:6">
      <c r="A28" s="1248" t="s">
        <v>18</v>
      </c>
      <c r="B28" s="1250">
        <v>804993</v>
      </c>
      <c r="C28" s="322"/>
      <c r="D28" s="322"/>
      <c r="E28" s="322"/>
      <c r="F28" s="322"/>
    </row>
    <row r="29" spans="1:6">
      <c r="A29" s="1248" t="s">
        <v>691</v>
      </c>
      <c r="B29" s="1250">
        <v>113</v>
      </c>
      <c r="C29" s="322"/>
      <c r="D29" s="322"/>
      <c r="E29" s="322"/>
      <c r="F29" s="322"/>
    </row>
    <row r="30" spans="1:6">
      <c r="A30" s="1243" t="s">
        <v>692</v>
      </c>
      <c r="B30" s="1251">
        <v>83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15827.233624701699</v>
      </c>
    </row>
    <row r="37" spans="1:6">
      <c r="A37" s="1248" t="s">
        <v>24</v>
      </c>
      <c r="B37" s="1248" t="s">
        <v>27</v>
      </c>
      <c r="C37" s="1249">
        <v>0</v>
      </c>
      <c r="D37" s="1249">
        <v>0</v>
      </c>
      <c r="E37" s="1249">
        <v>0</v>
      </c>
      <c r="F37" s="1249">
        <v>0</v>
      </c>
    </row>
    <row r="38" spans="1:6">
      <c r="A38" s="1248" t="s">
        <v>24</v>
      </c>
      <c r="B38" s="1248" t="s">
        <v>28</v>
      </c>
      <c r="C38" s="1249">
        <v>3</v>
      </c>
      <c r="D38" s="1249">
        <v>472802.59619556298</v>
      </c>
      <c r="E38" s="1249">
        <v>2</v>
      </c>
      <c r="F38" s="1249">
        <v>161690.52540350999</v>
      </c>
    </row>
    <row r="39" spans="1:6">
      <c r="A39" s="1248" t="s">
        <v>29</v>
      </c>
      <c r="B39" s="1248" t="s">
        <v>30</v>
      </c>
      <c r="C39" s="1249">
        <v>3765</v>
      </c>
      <c r="D39" s="1249">
        <v>53158247.7946181</v>
      </c>
      <c r="E39" s="1249">
        <v>4880</v>
      </c>
      <c r="F39" s="1249">
        <v>16225319.4451153</v>
      </c>
    </row>
    <row r="40" spans="1:6">
      <c r="A40" s="1248" t="s">
        <v>29</v>
      </c>
      <c r="B40" s="1248" t="s">
        <v>28</v>
      </c>
      <c r="C40" s="1249">
        <v>0</v>
      </c>
      <c r="D40" s="1249">
        <v>0</v>
      </c>
      <c r="E40" s="1249">
        <v>0</v>
      </c>
      <c r="F40" s="1249">
        <v>0</v>
      </c>
    </row>
    <row r="41" spans="1:6">
      <c r="A41" s="1248" t="s">
        <v>31</v>
      </c>
      <c r="B41" s="1248" t="s">
        <v>32</v>
      </c>
      <c r="C41" s="1249">
        <v>76</v>
      </c>
      <c r="D41" s="1249">
        <v>1789988.5454577999</v>
      </c>
      <c r="E41" s="1249">
        <v>147</v>
      </c>
      <c r="F41" s="1249">
        <v>7681276.3598389002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10</v>
      </c>
      <c r="D44" s="1249">
        <v>640512.41861781303</v>
      </c>
      <c r="E44" s="1249">
        <v>25</v>
      </c>
      <c r="F44" s="1249">
        <v>836875.000583902</v>
      </c>
    </row>
    <row r="45" spans="1:6">
      <c r="A45" s="1248" t="s">
        <v>31</v>
      </c>
      <c r="B45" s="1248" t="s">
        <v>36</v>
      </c>
      <c r="C45" s="1249">
        <v>0</v>
      </c>
      <c r="D45" s="1249">
        <v>0</v>
      </c>
      <c r="E45" s="1249">
        <v>3</v>
      </c>
      <c r="F45" s="1249">
        <v>74146.004493588101</v>
      </c>
    </row>
    <row r="46" spans="1:6">
      <c r="A46" s="1248" t="s">
        <v>31</v>
      </c>
      <c r="B46" s="1248" t="s">
        <v>37</v>
      </c>
      <c r="C46" s="1249">
        <v>0</v>
      </c>
      <c r="D46" s="1249">
        <v>0</v>
      </c>
      <c r="E46" s="1249">
        <v>0</v>
      </c>
      <c r="F46" s="1249">
        <v>0</v>
      </c>
    </row>
    <row r="47" spans="1:6">
      <c r="A47" s="1248" t="s">
        <v>31</v>
      </c>
      <c r="B47" s="1248" t="s">
        <v>38</v>
      </c>
      <c r="C47" s="1249">
        <v>3</v>
      </c>
      <c r="D47" s="1249">
        <v>158304.104926656</v>
      </c>
      <c r="E47" s="1249">
        <v>6</v>
      </c>
      <c r="F47" s="1249">
        <v>215101.54169732399</v>
      </c>
    </row>
    <row r="48" spans="1:6">
      <c r="A48" s="1248" t="s">
        <v>31</v>
      </c>
      <c r="B48" s="1248" t="s">
        <v>28</v>
      </c>
      <c r="C48" s="1249">
        <v>42</v>
      </c>
      <c r="D48" s="1249">
        <v>172870586.71854299</v>
      </c>
      <c r="E48" s="1249">
        <v>42</v>
      </c>
      <c r="F48" s="1249">
        <v>24004759.6471963</v>
      </c>
    </row>
    <row r="49" spans="1:6">
      <c r="A49" s="1248" t="s">
        <v>31</v>
      </c>
      <c r="B49" s="1248" t="s">
        <v>39</v>
      </c>
      <c r="C49" s="1249">
        <v>0</v>
      </c>
      <c r="D49" s="1249">
        <v>0</v>
      </c>
      <c r="E49" s="1249">
        <v>0</v>
      </c>
      <c r="F49" s="1249">
        <v>0</v>
      </c>
    </row>
    <row r="50" spans="1:6">
      <c r="A50" s="1248" t="s">
        <v>31</v>
      </c>
      <c r="B50" s="1248" t="s">
        <v>40</v>
      </c>
      <c r="C50" s="1249">
        <v>16</v>
      </c>
      <c r="D50" s="1249">
        <v>3421948.2989485799</v>
      </c>
      <c r="E50" s="1249">
        <v>35</v>
      </c>
      <c r="F50" s="1249">
        <v>21342365.321957301</v>
      </c>
    </row>
    <row r="51" spans="1:6">
      <c r="A51" s="1248" t="s">
        <v>41</v>
      </c>
      <c r="B51" s="1248" t="s">
        <v>42</v>
      </c>
      <c r="C51" s="1249">
        <v>8</v>
      </c>
      <c r="D51" s="1249">
        <v>123530.461445685</v>
      </c>
      <c r="E51" s="1249">
        <v>205</v>
      </c>
      <c r="F51" s="1249">
        <v>5551235.3064900804</v>
      </c>
    </row>
    <row r="52" spans="1:6">
      <c r="A52" s="1248" t="s">
        <v>41</v>
      </c>
      <c r="B52" s="1248" t="s">
        <v>28</v>
      </c>
      <c r="C52" s="1249">
        <v>4</v>
      </c>
      <c r="D52" s="1249">
        <v>74639.501136305305</v>
      </c>
      <c r="E52" s="1249">
        <v>8</v>
      </c>
      <c r="F52" s="1249">
        <v>114366.92379990099</v>
      </c>
    </row>
    <row r="53" spans="1:6">
      <c r="A53" s="1248" t="s">
        <v>43</v>
      </c>
      <c r="B53" s="1248" t="s">
        <v>44</v>
      </c>
      <c r="C53" s="1249">
        <v>164</v>
      </c>
      <c r="D53" s="1249">
        <v>2679613.2543180301</v>
      </c>
      <c r="E53" s="1249">
        <v>310</v>
      </c>
      <c r="F53" s="1249">
        <v>1511715.6850885199</v>
      </c>
    </row>
    <row r="54" spans="1:6">
      <c r="A54" s="1248" t="s">
        <v>45</v>
      </c>
      <c r="B54" s="1248" t="s">
        <v>46</v>
      </c>
      <c r="C54" s="1249">
        <v>0</v>
      </c>
      <c r="D54" s="1249">
        <v>0</v>
      </c>
      <c r="E54" s="1249">
        <v>1</v>
      </c>
      <c r="F54" s="1249">
        <v>925743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46</v>
      </c>
      <c r="D57" s="1249">
        <v>1672489.11197873</v>
      </c>
      <c r="E57" s="1249">
        <v>80</v>
      </c>
      <c r="F57" s="1249">
        <v>1033815.28717916</v>
      </c>
    </row>
    <row r="58" spans="1:6">
      <c r="A58" s="1248" t="s">
        <v>48</v>
      </c>
      <c r="B58" s="1248" t="s">
        <v>50</v>
      </c>
      <c r="C58" s="1249">
        <v>37</v>
      </c>
      <c r="D58" s="1249">
        <v>3276073.10432328</v>
      </c>
      <c r="E58" s="1249">
        <v>30</v>
      </c>
      <c r="F58" s="1249">
        <v>1675737.5062708501</v>
      </c>
    </row>
    <row r="59" spans="1:6">
      <c r="A59" s="1248" t="s">
        <v>48</v>
      </c>
      <c r="B59" s="1248" t="s">
        <v>51</v>
      </c>
      <c r="C59" s="1249">
        <v>146</v>
      </c>
      <c r="D59" s="1249">
        <v>8003183.0404467499</v>
      </c>
      <c r="E59" s="1249">
        <v>223</v>
      </c>
      <c r="F59" s="1249">
        <v>7669299.9093059599</v>
      </c>
    </row>
    <row r="60" spans="1:6">
      <c r="A60" s="1248" t="s">
        <v>48</v>
      </c>
      <c r="B60" s="1248" t="s">
        <v>52</v>
      </c>
      <c r="C60" s="1249">
        <v>77</v>
      </c>
      <c r="D60" s="1249">
        <v>3526197.82680539</v>
      </c>
      <c r="E60" s="1249">
        <v>100</v>
      </c>
      <c r="F60" s="1249">
        <v>2342812.6649662601</v>
      </c>
    </row>
    <row r="61" spans="1:6">
      <c r="A61" s="1248" t="s">
        <v>48</v>
      </c>
      <c r="B61" s="1248" t="s">
        <v>53</v>
      </c>
      <c r="C61" s="1249">
        <v>135</v>
      </c>
      <c r="D61" s="1249">
        <v>6096530.5260106102</v>
      </c>
      <c r="E61" s="1249">
        <v>379</v>
      </c>
      <c r="F61" s="1249">
        <v>3835696.6162165101</v>
      </c>
    </row>
    <row r="62" spans="1:6">
      <c r="A62" s="1248" t="s">
        <v>48</v>
      </c>
      <c r="B62" s="1248" t="s">
        <v>54</v>
      </c>
      <c r="C62" s="1249">
        <v>18</v>
      </c>
      <c r="D62" s="1249">
        <v>2313223.13737548</v>
      </c>
      <c r="E62" s="1249">
        <v>19</v>
      </c>
      <c r="F62" s="1249">
        <v>759532.70381308196</v>
      </c>
    </row>
    <row r="63" spans="1:6">
      <c r="A63" s="1248" t="s">
        <v>48</v>
      </c>
      <c r="B63" s="1248" t="s">
        <v>28</v>
      </c>
      <c r="C63" s="1249">
        <v>80</v>
      </c>
      <c r="D63" s="1249">
        <v>9524343.7624768205</v>
      </c>
      <c r="E63" s="1249">
        <v>89</v>
      </c>
      <c r="F63" s="1249">
        <v>8359910.2141507203</v>
      </c>
    </row>
    <row r="64" spans="1:6">
      <c r="A64" s="1248" t="s">
        <v>55</v>
      </c>
      <c r="B64" s="1248" t="s">
        <v>56</v>
      </c>
      <c r="C64" s="1249">
        <v>0</v>
      </c>
      <c r="D64" s="1249">
        <v>0</v>
      </c>
      <c r="E64" s="1249">
        <v>0</v>
      </c>
      <c r="F64" s="1249">
        <v>0</v>
      </c>
    </row>
    <row r="65" spans="1:6">
      <c r="A65" s="1248" t="s">
        <v>55</v>
      </c>
      <c r="B65" s="1248" t="s">
        <v>28</v>
      </c>
      <c r="C65" s="1249">
        <v>4</v>
      </c>
      <c r="D65" s="1249">
        <v>656048.29294818302</v>
      </c>
      <c r="E65" s="1249">
        <v>3</v>
      </c>
      <c r="F65" s="1249">
        <v>38584.620973057798</v>
      </c>
    </row>
    <row r="66" spans="1:6">
      <c r="A66" s="1248" t="s">
        <v>55</v>
      </c>
      <c r="B66" s="1248" t="s">
        <v>57</v>
      </c>
      <c r="C66" s="1249">
        <v>0</v>
      </c>
      <c r="D66" s="1249">
        <v>0</v>
      </c>
      <c r="E66" s="1249">
        <v>20</v>
      </c>
      <c r="F66" s="1249">
        <v>516880.40893298498</v>
      </c>
    </row>
    <row r="67" spans="1:6">
      <c r="A67" s="1248" t="s">
        <v>55</v>
      </c>
      <c r="B67" s="1248" t="s">
        <v>58</v>
      </c>
      <c r="C67" s="1249">
        <v>0</v>
      </c>
      <c r="D67" s="1249">
        <v>0</v>
      </c>
      <c r="E67" s="1249">
        <v>0</v>
      </c>
      <c r="F67" s="1249">
        <v>0</v>
      </c>
    </row>
    <row r="68" spans="1:6">
      <c r="A68" s="1243" t="s">
        <v>55</v>
      </c>
      <c r="B68" s="1243" t="s">
        <v>59</v>
      </c>
      <c r="C68" s="1251">
        <v>0</v>
      </c>
      <c r="D68" s="1251">
        <v>0</v>
      </c>
      <c r="E68" s="1251">
        <v>8</v>
      </c>
      <c r="F68" s="1251">
        <v>301909.49261774699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63569452</v>
      </c>
      <c r="E73" s="439"/>
      <c r="F73" s="322"/>
    </row>
    <row r="74" spans="1:6">
      <c r="A74" s="1248" t="s">
        <v>63</v>
      </c>
      <c r="B74" s="1248" t="s">
        <v>617</v>
      </c>
      <c r="C74" s="1261" t="s">
        <v>619</v>
      </c>
      <c r="D74" s="1249">
        <v>7463438.5</v>
      </c>
      <c r="E74" s="439"/>
      <c r="F74" s="322"/>
    </row>
    <row r="75" spans="1:6">
      <c r="A75" s="1248" t="s">
        <v>64</v>
      </c>
      <c r="B75" s="1248" t="s">
        <v>616</v>
      </c>
      <c r="C75" s="1261" t="s">
        <v>620</v>
      </c>
      <c r="D75" s="1249">
        <v>15763292</v>
      </c>
      <c r="E75" s="439"/>
      <c r="F75" s="322"/>
    </row>
    <row r="76" spans="1:6">
      <c r="A76" s="1248" t="s">
        <v>64</v>
      </c>
      <c r="B76" s="1248" t="s">
        <v>617</v>
      </c>
      <c r="C76" s="1261" t="s">
        <v>621</v>
      </c>
      <c r="D76" s="1249">
        <v>2368829.5</v>
      </c>
      <c r="E76" s="439"/>
      <c r="F76" s="322"/>
    </row>
    <row r="77" spans="1:6">
      <c r="A77" s="1248" t="s">
        <v>65</v>
      </c>
      <c r="B77" s="1248" t="s">
        <v>616</v>
      </c>
      <c r="C77" s="1261" t="s">
        <v>622</v>
      </c>
      <c r="D77" s="1249">
        <v>66882328</v>
      </c>
      <c r="E77" s="439"/>
      <c r="F77" s="322"/>
    </row>
    <row r="78" spans="1:6">
      <c r="A78" s="1243" t="s">
        <v>65</v>
      </c>
      <c r="B78" s="1243" t="s">
        <v>617</v>
      </c>
      <c r="C78" s="1243" t="s">
        <v>623</v>
      </c>
      <c r="D78" s="1251">
        <v>26451959</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320077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2917.5997049897019</v>
      </c>
      <c r="C91" s="322"/>
      <c r="D91" s="322"/>
      <c r="E91" s="322"/>
      <c r="F91" s="322"/>
    </row>
    <row r="92" spans="1:6">
      <c r="A92" s="1243" t="s">
        <v>68</v>
      </c>
      <c r="B92" s="1244">
        <v>8119.4634676135674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2583</v>
      </c>
      <c r="C97" s="322"/>
      <c r="D97" s="322"/>
      <c r="E97" s="322"/>
      <c r="F97" s="322"/>
    </row>
    <row r="98" spans="1:6">
      <c r="A98" s="1248" t="s">
        <v>71</v>
      </c>
      <c r="B98" s="1249">
        <v>0</v>
      </c>
      <c r="C98" s="322"/>
      <c r="D98" s="322"/>
      <c r="E98" s="322"/>
      <c r="F98" s="322"/>
    </row>
    <row r="99" spans="1:6">
      <c r="A99" s="1248" t="s">
        <v>72</v>
      </c>
      <c r="B99" s="1249">
        <v>141</v>
      </c>
      <c r="C99" s="322"/>
      <c r="D99" s="322"/>
      <c r="E99" s="322"/>
      <c r="F99" s="322"/>
    </row>
    <row r="100" spans="1:6">
      <c r="A100" s="1248" t="s">
        <v>73</v>
      </c>
      <c r="B100" s="1249">
        <v>366</v>
      </c>
      <c r="C100" s="322"/>
      <c r="D100" s="322"/>
      <c r="E100" s="322"/>
      <c r="F100" s="322"/>
    </row>
    <row r="101" spans="1:6">
      <c r="A101" s="1248" t="s">
        <v>74</v>
      </c>
      <c r="B101" s="1249">
        <v>85</v>
      </c>
      <c r="C101" s="322"/>
      <c r="D101" s="322"/>
      <c r="E101" s="322"/>
      <c r="F101" s="322"/>
    </row>
    <row r="102" spans="1:6">
      <c r="A102" s="1248" t="s">
        <v>75</v>
      </c>
      <c r="B102" s="1249">
        <v>65</v>
      </c>
      <c r="C102" s="322"/>
      <c r="D102" s="322"/>
      <c r="E102" s="322"/>
      <c r="F102" s="322"/>
    </row>
    <row r="103" spans="1:6">
      <c r="A103" s="1248" t="s">
        <v>76</v>
      </c>
      <c r="B103" s="1249">
        <v>106</v>
      </c>
      <c r="C103" s="322"/>
      <c r="D103" s="322"/>
      <c r="E103" s="322"/>
      <c r="F103" s="322"/>
    </row>
    <row r="104" spans="1:6">
      <c r="A104" s="1248" t="s">
        <v>77</v>
      </c>
      <c r="B104" s="1249">
        <v>1077</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12</v>
      </c>
      <c r="C123" s="1249">
        <v>19</v>
      </c>
      <c r="D123" s="322"/>
      <c r="E123" s="322"/>
      <c r="F123" s="322"/>
    </row>
    <row r="124" spans="1:6">
      <c r="A124" s="1248" t="s">
        <v>88</v>
      </c>
      <c r="B124" s="1249">
        <v>1</v>
      </c>
      <c r="C124" s="1249">
        <v>3</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229</v>
      </c>
      <c r="C129" s="322"/>
      <c r="D129" s="322"/>
      <c r="E129" s="322"/>
      <c r="F129" s="322"/>
    </row>
    <row r="130" spans="1:6">
      <c r="A130" s="1248" t="s">
        <v>283</v>
      </c>
      <c r="B130" s="1249">
        <v>7</v>
      </c>
      <c r="C130" s="322"/>
      <c r="D130" s="322"/>
      <c r="E130" s="322"/>
      <c r="F130" s="322"/>
    </row>
    <row r="131" spans="1:6">
      <c r="A131" s="1248" t="s">
        <v>284</v>
      </c>
      <c r="B131" s="1249">
        <v>2</v>
      </c>
      <c r="C131" s="322"/>
      <c r="D131" s="322"/>
      <c r="E131" s="322"/>
      <c r="F131" s="322"/>
    </row>
    <row r="132" spans="1:6">
      <c r="A132" s="1243" t="s">
        <v>285</v>
      </c>
      <c r="B132" s="1244">
        <v>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108482.86373881216</v>
      </c>
      <c r="C3" s="43" t="s">
        <v>163</v>
      </c>
      <c r="D3" s="43"/>
      <c r="E3" s="153"/>
      <c r="F3" s="43"/>
      <c r="G3" s="43"/>
      <c r="H3" s="43"/>
      <c r="I3" s="43"/>
      <c r="J3" s="43"/>
      <c r="K3" s="96"/>
    </row>
    <row r="4" spans="1:11">
      <c r="A4" s="348" t="s">
        <v>164</v>
      </c>
      <c r="B4" s="49">
        <f>IF(ISERROR('SEAP template'!B78+'SEAP template'!C78),0,'SEAP template'!B78+'SEAP template'!C78)</f>
        <v>12390.213172603269</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311.19882352941175</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0.19862745005091911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444.56974789915967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1933.0714285714287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0.22998102466793169</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925.74300000000005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925.74300000000005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0.19862745005091911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183.87797149248803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16225.319445115299</v>
      </c>
      <c r="C5" s="17">
        <f>IF(ISERROR('Eigen informatie GS &amp; warmtenet'!B57),0,'Eigen informatie GS &amp; warmtenet'!B57)</f>
        <v>0</v>
      </c>
      <c r="D5" s="30">
        <f>(SUM(HH_hh_gas_kWh,HH_rest_gas_kWh)/1000)*0.902</f>
        <v>47948.73951074553</v>
      </c>
      <c r="E5" s="17">
        <f>B32*B41</f>
        <v>889.92364042446832</v>
      </c>
      <c r="F5" s="17">
        <f>B36*B45</f>
        <v>20627.737610029508</v>
      </c>
      <c r="G5" s="18"/>
      <c r="H5" s="17"/>
      <c r="I5" s="17"/>
      <c r="J5" s="17">
        <f>B35*B44+C35*C44</f>
        <v>106.0084011818488</v>
      </c>
      <c r="K5" s="17"/>
      <c r="L5" s="17"/>
      <c r="M5" s="17"/>
      <c r="N5" s="17">
        <f>B34*B43+C34*C43</f>
        <v>6818.8859788283189</v>
      </c>
      <c r="O5" s="17">
        <f>B52*B53*B54</f>
        <v>392.3966666666667</v>
      </c>
      <c r="P5" s="17">
        <f>B60*B61*B62/1000-B60*B61*B62/1000/B63</f>
        <v>400.4</v>
      </c>
    </row>
    <row r="6" spans="1:16">
      <c r="A6" s="16" t="s">
        <v>582</v>
      </c>
      <c r="B6" s="716">
        <f>kWh_PV_kleiner_dan_10kW</f>
        <v>2917.5997049897019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19142.919150105001</v>
      </c>
      <c r="C8" s="21">
        <f>C5</f>
        <v>0</v>
      </c>
      <c r="D8" s="21">
        <f>D5</f>
        <v>47948.73951074553</v>
      </c>
      <c r="E8" s="21">
        <f>E5</f>
        <v>889.92364042446832</v>
      </c>
      <c r="F8" s="21">
        <f>F5</f>
        <v>20627.737610029508</v>
      </c>
      <c r="G8" s="21"/>
      <c r="H8" s="21"/>
      <c r="I8" s="21"/>
      <c r="J8" s="21">
        <f>J5</f>
        <v>106.0084011818488</v>
      </c>
      <c r="K8" s="21"/>
      <c r="L8" s="21">
        <f>L5</f>
        <v>0</v>
      </c>
      <c r="M8" s="21">
        <f>M5</f>
        <v>0</v>
      </c>
      <c r="N8" s="21">
        <f>N5</f>
        <v>6818.8859788283189</v>
      </c>
      <c r="O8" s="21">
        <f>O5</f>
        <v>392.3966666666667</v>
      </c>
      <c r="P8" s="21">
        <f>P5</f>
        <v>400.4</v>
      </c>
    </row>
    <row r="9" spans="1:16">
      <c r="B9" s="19"/>
      <c r="C9" s="19"/>
      <c r="D9" s="253"/>
      <c r="E9" s="19"/>
      <c r="F9" s="19"/>
      <c r="G9" s="19"/>
      <c r="H9" s="19"/>
      <c r="I9" s="19"/>
      <c r="J9" s="19"/>
      <c r="K9" s="19"/>
      <c r="L9" s="19"/>
      <c r="M9" s="19"/>
      <c r="N9" s="19"/>
      <c r="O9" s="19"/>
      <c r="P9" s="19"/>
    </row>
    <row r="10" spans="1:16">
      <c r="A10" s="24" t="s">
        <v>207</v>
      </c>
      <c r="B10" s="25">
        <f ca="1">'EF ele_warmte'!B12</f>
        <v>0.19862745005091911</v>
      </c>
      <c r="C10" s="25">
        <f ca="1">'EF ele_warmte'!B22</f>
        <v>0.22998102466793169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3802.309217316264</v>
      </c>
      <c r="C12" s="23">
        <f ca="1">C10*C8</f>
        <v>0</v>
      </c>
      <c r="D12" s="23">
        <f>D8*D10</f>
        <v>9685.6453811705978</v>
      </c>
      <c r="E12" s="23">
        <f>E10*E8</f>
        <v>202.0126663763543</v>
      </c>
      <c r="F12" s="23">
        <f>F10*F8</f>
        <v>5507.6059418778786</v>
      </c>
      <c r="G12" s="23"/>
      <c r="H12" s="23"/>
      <c r="I12" s="23"/>
      <c r="J12" s="23">
        <f>J10*J8</f>
        <v>37.526974018374474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5091</v>
      </c>
      <c r="C26" s="36"/>
      <c r="D26" s="224"/>
    </row>
    <row r="27" spans="1:5" s="15" customFormat="1">
      <c r="A27" s="226" t="s">
        <v>736</v>
      </c>
      <c r="B27" s="37">
        <f>SUM(HH_hh_gas_aantal,HH_rest_gas_aantal)</f>
        <v>3765</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3576.75</v>
      </c>
      <c r="C31" s="34" t="s">
        <v>104</v>
      </c>
      <c r="D31" s="170"/>
    </row>
    <row r="32" spans="1:5">
      <c r="A32" s="167" t="s">
        <v>72</v>
      </c>
      <c r="B32" s="33">
        <f>IF((B21*($B$26-($B$27-0.05*$B$27)-$B$60))&lt;0,0,B21*($B$26-($B$27-0.05*$B$27)-$B$60))</f>
        <v>16.444912942284244</v>
      </c>
      <c r="C32" s="34" t="s">
        <v>104</v>
      </c>
      <c r="D32" s="170"/>
    </row>
    <row r="33" spans="1:6">
      <c r="A33" s="167" t="s">
        <v>73</v>
      </c>
      <c r="B33" s="33">
        <f>IF((B22*($B$26-($B$27-0.05*$B$27)-$B$60))&lt;0,0,B22*($B$26-($B$27-0.05*$B$27)-$B$60))</f>
        <v>341.90355000284666</v>
      </c>
      <c r="C33" s="34" t="s">
        <v>104</v>
      </c>
      <c r="D33" s="170"/>
    </row>
    <row r="34" spans="1:6">
      <c r="A34" s="167" t="s">
        <v>74</v>
      </c>
      <c r="B34" s="33">
        <f>IF((B24*($B$26-($B$27-0.05*$B$27)-$B$60))&lt;0,0,B24*($B$26-($B$27-0.05*$B$27)-$B$60))</f>
        <v>133.44378343744532</v>
      </c>
      <c r="C34" s="33">
        <f>B26*C24</f>
        <v>901.74153591267554</v>
      </c>
      <c r="D34" s="229"/>
    </row>
    <row r="35" spans="1:6">
      <c r="A35" s="167" t="s">
        <v>76</v>
      </c>
      <c r="B35" s="33">
        <f>IF((B19*($B$26-($B$27-0.05*$B$27)-$B$60))&lt;0,0,B19*($B$26-($B$27-0.05*$B$27)-$B$60))</f>
        <v>12.447025831205416</v>
      </c>
      <c r="C35" s="33">
        <f>B35/2</f>
        <v>6.2235129156027078</v>
      </c>
      <c r="D35" s="229"/>
    </row>
    <row r="36" spans="1:6">
      <c r="A36" s="167" t="s">
        <v>77</v>
      </c>
      <c r="B36" s="33">
        <f>IF((B18*($B$26-($B$27-0.05*$B$27)-$B$60))&lt;0,0,B18*($B$26-($B$27-0.05*$B$27)-$B$60))</f>
        <v>989.01072778621835</v>
      </c>
      <c r="C36" s="34" t="s">
        <v>104</v>
      </c>
      <c r="D36" s="170"/>
    </row>
    <row r="37" spans="1:6">
      <c r="A37" s="167" t="s">
        <v>78</v>
      </c>
      <c r="B37" s="33">
        <f>B60</f>
        <v>21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251</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25676.804901902542</v>
      </c>
      <c r="C5" s="17">
        <f>IF(ISERROR('Eigen informatie GS &amp; warmtenet'!B58),0,'Eigen informatie GS &amp; warmtenet'!B58)</f>
        <v>0</v>
      </c>
      <c r="D5" s="30">
        <f>SUM(D6:D12)</f>
        <v>31039.660539494191</v>
      </c>
      <c r="E5" s="17">
        <f>SUM(E6:E12)</f>
        <v>389.17363786473589</v>
      </c>
      <c r="F5" s="17">
        <f>SUM(F6:F12)</f>
        <v>4142.044960762114</v>
      </c>
      <c r="G5" s="18"/>
      <c r="H5" s="17"/>
      <c r="I5" s="17"/>
      <c r="J5" s="17">
        <f>SUM(J6:J12)</f>
        <v>2.837104321695675E-2</v>
      </c>
      <c r="K5" s="17"/>
      <c r="L5" s="17"/>
      <c r="M5" s="17"/>
      <c r="N5" s="17">
        <f>SUM(N6:N12)</f>
        <v>1187.7916535505017</v>
      </c>
      <c r="O5" s="17">
        <f>B38*B39*B40</f>
        <v>10.943333333333335</v>
      </c>
      <c r="P5" s="17">
        <f>B46*B47*B48/1000-B46*B47*B48/1000/B49</f>
        <v>38.133333333333333</v>
      </c>
      <c r="R5" s="32"/>
    </row>
    <row r="6" spans="1:18">
      <c r="A6" s="32" t="s">
        <v>53</v>
      </c>
      <c r="B6" s="37">
        <f>B26</f>
        <v>3835.6966162165099</v>
      </c>
      <c r="C6" s="33"/>
      <c r="D6" s="37">
        <f>IF(ISERROR(TER_kantoor_gas_kWh/1000),0,TER_kantoor_gas_kWh/1000)*0.902</f>
        <v>5499.0705344615699</v>
      </c>
      <c r="E6" s="33">
        <f>$C$26*'E Balans VL '!I12/100/3.6*1000000</f>
        <v>-3.1496061995552049E-4</v>
      </c>
      <c r="F6" s="33">
        <f>$C$26*('E Balans VL '!L12+'E Balans VL '!N12)/100/3.6*1000000</f>
        <v>486.1031274022925</v>
      </c>
      <c r="G6" s="34"/>
      <c r="H6" s="33"/>
      <c r="I6" s="33"/>
      <c r="J6" s="33">
        <f>$C$26*('E Balans VL '!D12+'E Balans VL '!E12)/100/3.6*1000000</f>
        <v>0</v>
      </c>
      <c r="K6" s="33"/>
      <c r="L6" s="33"/>
      <c r="M6" s="33"/>
      <c r="N6" s="33">
        <f>$C$26*'E Balans VL '!Y12/100/3.6*1000000</f>
        <v>4.7047087783346164</v>
      </c>
      <c r="O6" s="33"/>
      <c r="P6" s="33"/>
      <c r="R6" s="32"/>
    </row>
    <row r="7" spans="1:18">
      <c r="A7" s="32" t="s">
        <v>52</v>
      </c>
      <c r="B7" s="37">
        <f t="shared" ref="B7:B12" si="0">B27</f>
        <v>2342.8126649662599</v>
      </c>
      <c r="C7" s="33"/>
      <c r="D7" s="37">
        <f>IF(ISERROR(TER_horeca_gas_kWh/1000),0,TER_horeca_gas_kWh/1000)*0.902</f>
        <v>3180.630439778462</v>
      </c>
      <c r="E7" s="33">
        <f>$C$27*'E Balans VL '!I9/100/3.6*1000000</f>
        <v>26.966921138397652</v>
      </c>
      <c r="F7" s="33">
        <f>$C$27*('E Balans VL '!L9+'E Balans VL '!N9)/100/3.6*1000000</f>
        <v>302.0678258162821</v>
      </c>
      <c r="G7" s="34"/>
      <c r="H7" s="33"/>
      <c r="I7" s="33"/>
      <c r="J7" s="33">
        <f>$C$27*('E Balans VL '!D9+'E Balans VL '!E9)/100/3.6*1000000</f>
        <v>0</v>
      </c>
      <c r="K7" s="33"/>
      <c r="L7" s="33"/>
      <c r="M7" s="33"/>
      <c r="N7" s="33">
        <f>$C$27*'E Balans VL '!Y9/100/3.6*1000000</f>
        <v>24.72785079855878</v>
      </c>
      <c r="O7" s="33"/>
      <c r="P7" s="33"/>
      <c r="R7" s="32"/>
    </row>
    <row r="8" spans="1:18">
      <c r="A8" s="6" t="s">
        <v>51</v>
      </c>
      <c r="B8" s="37">
        <f t="shared" si="0"/>
        <v>7669.2999093059598</v>
      </c>
      <c r="C8" s="33"/>
      <c r="D8" s="37">
        <f>IF(ISERROR(TER_handel_gas_kWh/1000),0,TER_handel_gas_kWh/1000)*0.902</f>
        <v>7218.871102482969</v>
      </c>
      <c r="E8" s="33">
        <f>$C$28*'E Balans VL '!I13/100/3.6*1000000</f>
        <v>216.38473360529306</v>
      </c>
      <c r="F8" s="33">
        <f>$C$28*('E Balans VL '!L13+'E Balans VL '!N13)/100/3.6*1000000</f>
        <v>771.36715027553566</v>
      </c>
      <c r="G8" s="34"/>
      <c r="H8" s="33"/>
      <c r="I8" s="33"/>
      <c r="J8" s="33">
        <f>$C$28*('E Balans VL '!D13+'E Balans VL '!E13)/100/3.6*1000000</f>
        <v>0</v>
      </c>
      <c r="K8" s="33"/>
      <c r="L8" s="33"/>
      <c r="M8" s="33"/>
      <c r="N8" s="33">
        <f>$C$28*'E Balans VL '!Y13/100/3.6*1000000</f>
        <v>10.586609476567126</v>
      </c>
      <c r="O8" s="33"/>
      <c r="P8" s="33"/>
      <c r="R8" s="32"/>
    </row>
    <row r="9" spans="1:18">
      <c r="A9" s="32" t="s">
        <v>50</v>
      </c>
      <c r="B9" s="37">
        <f t="shared" si="0"/>
        <v>1675.7375062708502</v>
      </c>
      <c r="C9" s="33"/>
      <c r="D9" s="37">
        <f>IF(ISERROR(TER_gezond_gas_kWh/1000),0,TER_gezond_gas_kWh/1000)*0.902</f>
        <v>2955.0179400995985</v>
      </c>
      <c r="E9" s="33">
        <f>$C$29*'E Balans VL '!I10/100/3.6*1000000</f>
        <v>3.3476076347545809</v>
      </c>
      <c r="F9" s="33">
        <f>$C$29*('E Balans VL '!L10+'E Balans VL '!N10)/100/3.6*1000000</f>
        <v>146.8282192095495</v>
      </c>
      <c r="G9" s="34"/>
      <c r="H9" s="33"/>
      <c r="I9" s="33"/>
      <c r="J9" s="33">
        <f>$C$29*('E Balans VL '!D10+'E Balans VL '!E10)/100/3.6*1000000</f>
        <v>0</v>
      </c>
      <c r="K9" s="33"/>
      <c r="L9" s="33"/>
      <c r="M9" s="33"/>
      <c r="N9" s="33">
        <f>$C$29*'E Balans VL '!Y10/100/3.6*1000000</f>
        <v>25.34793852518461</v>
      </c>
      <c r="O9" s="33"/>
      <c r="P9" s="33"/>
      <c r="R9" s="32"/>
    </row>
    <row r="10" spans="1:18">
      <c r="A10" s="32" t="s">
        <v>49</v>
      </c>
      <c r="B10" s="37">
        <f t="shared" si="0"/>
        <v>1033.8152871791601</v>
      </c>
      <c r="C10" s="33"/>
      <c r="D10" s="37">
        <f>IF(ISERROR(TER_ander_gas_kWh/1000),0,TER_ander_gas_kWh/1000)*0.902</f>
        <v>1508.5851790048143</v>
      </c>
      <c r="E10" s="33">
        <f>$C$30*'E Balans VL '!I14/100/3.6*1000000</f>
        <v>14.563962691532277</v>
      </c>
      <c r="F10" s="33">
        <f>$C$30*('E Balans VL '!L14+'E Balans VL '!N14)/100/3.6*1000000</f>
        <v>627.12560760357155</v>
      </c>
      <c r="G10" s="34"/>
      <c r="H10" s="33"/>
      <c r="I10" s="33"/>
      <c r="J10" s="33">
        <f>$C$30*('E Balans VL '!D14+'E Balans VL '!E14)/100/3.6*1000000</f>
        <v>1.1349304472452526E-2</v>
      </c>
      <c r="K10" s="33"/>
      <c r="L10" s="33"/>
      <c r="M10" s="33"/>
      <c r="N10" s="33">
        <f>$C$30*'E Balans VL '!Y14/100/3.6*1000000</f>
        <v>437.23278769602871</v>
      </c>
      <c r="O10" s="33"/>
      <c r="P10" s="33"/>
      <c r="R10" s="32"/>
    </row>
    <row r="11" spans="1:18">
      <c r="A11" s="32" t="s">
        <v>54</v>
      </c>
      <c r="B11" s="37">
        <f t="shared" si="0"/>
        <v>759.53270381308198</v>
      </c>
      <c r="C11" s="33"/>
      <c r="D11" s="37">
        <f>IF(ISERROR(TER_onderwijs_gas_kWh/1000),0,TER_onderwijs_gas_kWh/1000)*0.902</f>
        <v>2086.5272699126826</v>
      </c>
      <c r="E11" s="33">
        <f>$C$31*'E Balans VL '!I11/100/3.6*1000000</f>
        <v>19.824176905069752</v>
      </c>
      <c r="F11" s="33">
        <f>$C$31*('E Balans VL '!L11+'E Balans VL '!N11)/100/3.6*1000000</f>
        <v>93.466881608522129</v>
      </c>
      <c r="G11" s="34"/>
      <c r="H11" s="33"/>
      <c r="I11" s="33"/>
      <c r="J11" s="33">
        <f>$C$31*('E Balans VL '!D11+'E Balans VL '!E11)/100/3.6*1000000</f>
        <v>0</v>
      </c>
      <c r="K11" s="33"/>
      <c r="L11" s="33"/>
      <c r="M11" s="33"/>
      <c r="N11" s="33">
        <f>$C$31*'E Balans VL '!Y11/100/3.6*1000000</f>
        <v>2.4052159907213606</v>
      </c>
      <c r="O11" s="33"/>
      <c r="P11" s="33"/>
      <c r="R11" s="32"/>
    </row>
    <row r="12" spans="1:18">
      <c r="A12" s="32" t="s">
        <v>248</v>
      </c>
      <c r="B12" s="37">
        <f t="shared" si="0"/>
        <v>8359.910214150721</v>
      </c>
      <c r="C12" s="33"/>
      <c r="D12" s="37">
        <f>IF(ISERROR(TER_rest_gas_kWh/1000),0,TER_rest_gas_kWh/1000)*0.902</f>
        <v>8590.9580737540928</v>
      </c>
      <c r="E12" s="33">
        <f>$C$32*'E Balans VL '!I8/100/3.6*1000000</f>
        <v>108.08655085030854</v>
      </c>
      <c r="F12" s="33">
        <f>$C$32*('E Balans VL '!L8+'E Balans VL '!N8)/100/3.6*1000000</f>
        <v>1715.0861488463606</v>
      </c>
      <c r="G12" s="34"/>
      <c r="H12" s="33"/>
      <c r="I12" s="33"/>
      <c r="J12" s="33">
        <f>$C$32*('E Balans VL '!D8+'E Balans VL '!E8)/100/3.6*1000000</f>
        <v>1.7021738744504224E-2</v>
      </c>
      <c r="K12" s="33"/>
      <c r="L12" s="33"/>
      <c r="M12" s="33"/>
      <c r="N12" s="33">
        <f>$C$32*'E Balans VL '!Y8/100/3.6*1000000</f>
        <v>682.78654228510652</v>
      </c>
      <c r="O12" s="33"/>
      <c r="P12" s="33"/>
      <c r="R12" s="32"/>
    </row>
    <row r="13" spans="1:18">
      <c r="A13" s="16" t="s">
        <v>473</v>
      </c>
      <c r="B13" s="242">
        <f ca="1">'lokale energieproductie'!N39+'lokale energieproductie'!N32</f>
        <v>1309.5</v>
      </c>
      <c r="C13" s="242">
        <f ca="1">'lokale energieproductie'!O39+'lokale energieproductie'!O32</f>
        <v>1870.7142857142858</v>
      </c>
      <c r="D13" s="300">
        <f ca="1">('lokale energieproductie'!P32+'lokale energieproductie'!P39)*(-1)</f>
        <v>-3741.4285714285716</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26986.304901902542</v>
      </c>
      <c r="C16" s="21">
        <f t="shared" ca="1" si="1"/>
        <v>1870.7142857142858</v>
      </c>
      <c r="D16" s="21">
        <f t="shared" ca="1" si="1"/>
        <v>27298.231968065618</v>
      </c>
      <c r="E16" s="21">
        <f t="shared" si="1"/>
        <v>389.17363786473589</v>
      </c>
      <c r="F16" s="21">
        <f t="shared" ca="1" si="1"/>
        <v>4142.044960762114</v>
      </c>
      <c r="G16" s="21">
        <f t="shared" si="1"/>
        <v>0</v>
      </c>
      <c r="H16" s="21">
        <f t="shared" si="1"/>
        <v>0</v>
      </c>
      <c r="I16" s="21">
        <f t="shared" si="1"/>
        <v>0</v>
      </c>
      <c r="J16" s="21">
        <f t="shared" si="1"/>
        <v>2.837104321695675E-2</v>
      </c>
      <c r="K16" s="21">
        <f t="shared" si="1"/>
        <v>0</v>
      </c>
      <c r="L16" s="21">
        <f t="shared" ca="1" si="1"/>
        <v>0</v>
      </c>
      <c r="M16" s="21">
        <f t="shared" si="1"/>
        <v>0</v>
      </c>
      <c r="N16" s="21">
        <f t="shared" ca="1" si="1"/>
        <v>1187.7916535505017</v>
      </c>
      <c r="O16" s="21">
        <f>O5</f>
        <v>10.943333333333335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0.19862745005091911</v>
      </c>
      <c r="C18" s="25">
        <f ca="1">'EF ele_warmte'!B22</f>
        <v>0.22998102466793169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5360.2209289615212</v>
      </c>
      <c r="C20" s="23">
        <f t="shared" ref="C20:P20" ca="1" si="2">C16*C18</f>
        <v>430.22878828950934</v>
      </c>
      <c r="D20" s="23">
        <f t="shared" ca="1" si="2"/>
        <v>5514.2428575492549</v>
      </c>
      <c r="E20" s="23">
        <f t="shared" si="2"/>
        <v>88.342415795295054</v>
      </c>
      <c r="F20" s="23">
        <f t="shared" ca="1" si="2"/>
        <v>1105.9260045234846</v>
      </c>
      <c r="G20" s="23">
        <f t="shared" si="2"/>
        <v>0</v>
      </c>
      <c r="H20" s="23">
        <f t="shared" si="2"/>
        <v>0</v>
      </c>
      <c r="I20" s="23">
        <f t="shared" si="2"/>
        <v>0</v>
      </c>
      <c r="J20" s="23">
        <f t="shared" si="2"/>
        <v>1.0043349298802689E-2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3835.6966162165099</v>
      </c>
      <c r="C26" s="39">
        <f>IF(ISERROR(B26*3.6/1000000/'E Balans VL '!Z12*100),0,B26*3.6/1000000/'E Balans VL '!Z12*100)</f>
        <v>0.10398903165631929</v>
      </c>
      <c r="D26" s="232" t="s">
        <v>700</v>
      </c>
      <c r="F26" s="6"/>
    </row>
    <row r="27" spans="1:18">
      <c r="A27" s="227" t="s">
        <v>52</v>
      </c>
      <c r="B27" s="33">
        <f>IF(ISERROR(TER_horeca_ele_kWh/1000),0,TER_horeca_ele_kWh/1000)</f>
        <v>2342.8126649662599</v>
      </c>
      <c r="C27" s="39">
        <f>IF(ISERROR(B27*3.6/1000000/'E Balans VL '!Z9*100),0,B27*3.6/1000000/'E Balans VL '!Z9*100)</f>
        <v>0.18121901719979358</v>
      </c>
      <c r="D27" s="232" t="s">
        <v>700</v>
      </c>
      <c r="F27" s="6"/>
    </row>
    <row r="28" spans="1:18">
      <c r="A28" s="167" t="s">
        <v>51</v>
      </c>
      <c r="B28" s="33">
        <f>IF(ISERROR(TER_handel_ele_kWh/1000),0,TER_handel_ele_kWh/1000)</f>
        <v>7669.2999093059598</v>
      </c>
      <c r="C28" s="39">
        <f>IF(ISERROR(B28*3.6/1000000/'E Balans VL '!Z13*100),0,B28*3.6/1000000/'E Balans VL '!Z13*100)</f>
        <v>0.22181598853622739</v>
      </c>
      <c r="D28" s="232" t="s">
        <v>700</v>
      </c>
      <c r="F28" s="6"/>
    </row>
    <row r="29" spans="1:18">
      <c r="A29" s="227" t="s">
        <v>50</v>
      </c>
      <c r="B29" s="33">
        <f>IF(ISERROR(TER_gezond_ele_kWh/1000),0,TER_gezond_ele_kWh/1000)</f>
        <v>1675.7375062708502</v>
      </c>
      <c r="C29" s="39">
        <f>IF(ISERROR(B29*3.6/1000000/'E Balans VL '!Z10*100),0,B29*3.6/1000000/'E Balans VL '!Z10*100)</f>
        <v>0.17258452921228748</v>
      </c>
      <c r="D29" s="232" t="s">
        <v>700</v>
      </c>
      <c r="F29" s="6"/>
    </row>
    <row r="30" spans="1:18">
      <c r="A30" s="227" t="s">
        <v>49</v>
      </c>
      <c r="B30" s="33">
        <f>IF(ISERROR(TER_ander_ele_kWh/1000),0,TER_ander_ele_kWh/1000)</f>
        <v>1033.8152871791601</v>
      </c>
      <c r="C30" s="39">
        <f>IF(ISERROR(B30*3.6/1000000/'E Balans VL '!Z14*100),0,B30*3.6/1000000/'E Balans VL '!Z14*100)</f>
        <v>4.6481793061239007E-2</v>
      </c>
      <c r="D30" s="232" t="s">
        <v>700</v>
      </c>
      <c r="F30" s="6"/>
    </row>
    <row r="31" spans="1:18">
      <c r="A31" s="227" t="s">
        <v>54</v>
      </c>
      <c r="B31" s="33">
        <f>IF(ISERROR(TER_onderwijs_ele_kWh/1000),0,TER_onderwijs_ele_kWh/1000)</f>
        <v>759.53270381308198</v>
      </c>
      <c r="C31" s="39">
        <f>IF(ISERROR(B31*3.6/1000000/'E Balans VL '!Z11*100),0,B31*3.6/1000000/'E Balans VL '!Z11*100)</f>
        <v>0.21226427167869577</v>
      </c>
      <c r="D31" s="232" t="s">
        <v>700</v>
      </c>
    </row>
    <row r="32" spans="1:18">
      <c r="A32" s="227" t="s">
        <v>248</v>
      </c>
      <c r="B32" s="33">
        <f>IF(ISERROR(TER_rest_ele_kWh/1000),0,TER_rest_ele_kWh/1000)</f>
        <v>8359.910214150721</v>
      </c>
      <c r="C32" s="39">
        <f>IF(ISERROR(B32*3.6/1000000/'E Balans VL '!Z8*100),0,B32*3.6/1000000/'E Balans VL '!Z8*100)</f>
        <v>6.9713605779539473E-2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7</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54154.523875767321</v>
      </c>
      <c r="C5" s="17">
        <f>IF(ISERROR('Eigen informatie GS &amp; warmtenet'!B59),0,'Eigen informatie GS &amp; warmtenet'!B59)</f>
        <v>0</v>
      </c>
      <c r="D5" s="30">
        <f>SUM(D6:D15)</f>
        <v>161350.96875801744</v>
      </c>
      <c r="E5" s="17">
        <f>SUM(E6:E15)</f>
        <v>1398.1859971143581</v>
      </c>
      <c r="F5" s="17">
        <f>SUM(F6:F15)</f>
        <v>10744.813825059759</v>
      </c>
      <c r="G5" s="18"/>
      <c r="H5" s="17"/>
      <c r="I5" s="17"/>
      <c r="J5" s="17">
        <f>SUM(J6:J15)</f>
        <v>84.69620529803116</v>
      </c>
      <c r="K5" s="17"/>
      <c r="L5" s="17"/>
      <c r="M5" s="17"/>
      <c r="N5" s="17">
        <f>SUM(N6:N15)</f>
        <v>1609.5395346197299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836.87500058390197</v>
      </c>
      <c r="C8" s="33"/>
      <c r="D8" s="37">
        <f>IF( ISERROR(IND_metaal_Gas_kWH/1000),0,IND_metaal_Gas_kWH/1000)*0.902</f>
        <v>577.7422015932674</v>
      </c>
      <c r="E8" s="33">
        <f>C30*'E Balans VL '!I18/100/3.6*1000000</f>
        <v>7.5948970349018321</v>
      </c>
      <c r="F8" s="33">
        <f>C30*'E Balans VL '!L18/100/3.6*1000000+C30*'E Balans VL '!N18/100/3.6*1000000</f>
        <v>77.027718858944354</v>
      </c>
      <c r="G8" s="34"/>
      <c r="H8" s="33"/>
      <c r="I8" s="33"/>
      <c r="J8" s="40">
        <f>C30*'E Balans VL '!D18/100/3.6*1000000+C30*'E Balans VL '!E18/100/3.6*1000000</f>
        <v>0</v>
      </c>
      <c r="K8" s="33"/>
      <c r="L8" s="33"/>
      <c r="M8" s="33"/>
      <c r="N8" s="33">
        <f>C30*'E Balans VL '!Y18/100/3.6*1000000</f>
        <v>12.217715980260744</v>
      </c>
      <c r="O8" s="33"/>
      <c r="P8" s="33"/>
      <c r="R8" s="32"/>
    </row>
    <row r="9" spans="1:18">
      <c r="A9" s="6" t="s">
        <v>32</v>
      </c>
      <c r="B9" s="37">
        <f t="shared" si="0"/>
        <v>7681.2763598389001</v>
      </c>
      <c r="C9" s="33"/>
      <c r="D9" s="37">
        <f>IF( ISERROR(IND_andere_gas_kWh/1000),0,IND_andere_gas_kWh/1000)*0.902</f>
        <v>1614.5696680029357</v>
      </c>
      <c r="E9" s="33">
        <f>C31*'E Balans VL '!I19/100/3.6*1000000</f>
        <v>44.583863932407439</v>
      </c>
      <c r="F9" s="33">
        <f>C31*'E Balans VL '!L19/100/3.6*1000000+C31*'E Balans VL '!N19/100/3.6*1000000</f>
        <v>5065.7155082212257</v>
      </c>
      <c r="G9" s="34"/>
      <c r="H9" s="33"/>
      <c r="I9" s="33"/>
      <c r="J9" s="40">
        <f>C31*'E Balans VL '!D19/100/3.6*1000000+C31*'E Balans VL '!E19/100/3.6*1000000</f>
        <v>0</v>
      </c>
      <c r="K9" s="33"/>
      <c r="L9" s="33"/>
      <c r="M9" s="33"/>
      <c r="N9" s="33">
        <f>C31*'E Balans VL '!Y19/100/3.6*1000000</f>
        <v>355.72658524038633</v>
      </c>
      <c r="O9" s="33"/>
      <c r="P9" s="33"/>
      <c r="R9" s="32"/>
    </row>
    <row r="10" spans="1:18">
      <c r="A10" s="6" t="s">
        <v>40</v>
      </c>
      <c r="B10" s="37">
        <f t="shared" si="0"/>
        <v>21342.365321957303</v>
      </c>
      <c r="C10" s="33"/>
      <c r="D10" s="37">
        <f>IF( ISERROR(IND_voed_gas_kWh/1000),0,IND_voed_gas_kWh/1000)*0.902</f>
        <v>3086.5973656516194</v>
      </c>
      <c r="E10" s="33">
        <f>C32*'E Balans VL '!I20/100/3.6*1000000</f>
        <v>45.22945037647051</v>
      </c>
      <c r="F10" s="33">
        <f>C32*'E Balans VL '!L20/100/3.6*1000000+C32*'E Balans VL '!N20/100/3.6*1000000</f>
        <v>1356.3954780353124</v>
      </c>
      <c r="G10" s="34"/>
      <c r="H10" s="33"/>
      <c r="I10" s="33"/>
      <c r="J10" s="40">
        <f>C32*'E Balans VL '!D20/100/3.6*1000000+C32*'E Balans VL '!E20/100/3.6*1000000</f>
        <v>0</v>
      </c>
      <c r="K10" s="33"/>
      <c r="L10" s="33"/>
      <c r="M10" s="33"/>
      <c r="N10" s="33">
        <f>C32*'E Balans VL '!Y20/100/3.6*1000000</f>
        <v>618.69153214962103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74.146004493588094</v>
      </c>
      <c r="C12" s="33"/>
      <c r="D12" s="37">
        <f>IF( ISERROR(IND_min_gas_kWh/1000),0,IND_min_gas_kWh/1000)*0.902</f>
        <v>0</v>
      </c>
      <c r="E12" s="33">
        <f>C34*'E Balans VL '!I22/100/3.6*1000000</f>
        <v>1.8071615041725781</v>
      </c>
      <c r="F12" s="33">
        <f>C34*'E Balans VL '!L22/100/3.6*1000000+C34*'E Balans VL '!N22/100/3.6*1000000</f>
        <v>20.915901359415937</v>
      </c>
      <c r="G12" s="34"/>
      <c r="H12" s="33"/>
      <c r="I12" s="33"/>
      <c r="J12" s="40">
        <f>C34*'E Balans VL '!D22/100/3.6*1000000+C34*'E Balans VL '!E22/100/3.6*1000000</f>
        <v>0.12676454302847737</v>
      </c>
      <c r="K12" s="33"/>
      <c r="L12" s="33"/>
      <c r="M12" s="33"/>
      <c r="N12" s="33">
        <f>C34*'E Balans VL '!Y22/100/3.6*1000000</f>
        <v>16.887250596794939</v>
      </c>
      <c r="O12" s="33"/>
      <c r="P12" s="33"/>
      <c r="R12" s="32"/>
    </row>
    <row r="13" spans="1:18">
      <c r="A13" s="6" t="s">
        <v>38</v>
      </c>
      <c r="B13" s="37">
        <f t="shared" si="0"/>
        <v>215.101541697324</v>
      </c>
      <c r="C13" s="33"/>
      <c r="D13" s="37">
        <f>IF( ISERROR(IND_papier_gas_kWh/1000),0,IND_papier_gas_kWh/1000)*0.902</f>
        <v>142.79030264384372</v>
      </c>
      <c r="E13" s="33">
        <f>C35*'E Balans VL '!I23/100/3.6*1000000</f>
        <v>0.31750366988993878</v>
      </c>
      <c r="F13" s="33">
        <f>C35*'E Balans VL '!L23/100/3.6*1000000+C35*'E Balans VL '!N23/100/3.6*1000000</f>
        <v>5.5704805599971916</v>
      </c>
      <c r="G13" s="34"/>
      <c r="H13" s="33"/>
      <c r="I13" s="33"/>
      <c r="J13" s="40">
        <f>C35*'E Balans VL '!D23/100/3.6*1000000+C35*'E Balans VL '!E23/100/3.6*1000000</f>
        <v>3.4610880127849589E-2</v>
      </c>
      <c r="K13" s="33"/>
      <c r="L13" s="33"/>
      <c r="M13" s="33"/>
      <c r="N13" s="33">
        <f>C35*'E Balans VL '!Y23/100/3.6*1000000</f>
        <v>-9.7692598709919753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24004.759647196301</v>
      </c>
      <c r="C15" s="33"/>
      <c r="D15" s="37">
        <f>IF( ISERROR(IND_rest_gas_kWh/1000),0,IND_rest_gas_kWh/1000)*0.902</f>
        <v>155929.26922012577</v>
      </c>
      <c r="E15" s="33">
        <f>C37*'E Balans VL '!I15/100/3.6*1000000</f>
        <v>1298.6531205965157</v>
      </c>
      <c r="F15" s="33">
        <f>C37*'E Balans VL '!L15/100/3.6*1000000+C37*'E Balans VL '!N15/100/3.6*1000000</f>
        <v>4219.1887380248618</v>
      </c>
      <c r="G15" s="34"/>
      <c r="H15" s="33"/>
      <c r="I15" s="33"/>
      <c r="J15" s="40">
        <f>C37*'E Balans VL '!D15/100/3.6*1000000+C37*'E Balans VL '!E15/100/3.6*1000000</f>
        <v>84.534829874874831</v>
      </c>
      <c r="K15" s="33"/>
      <c r="L15" s="33"/>
      <c r="M15" s="33"/>
      <c r="N15" s="33">
        <f>C37*'E Balans VL '!Y15/100/3.6*1000000</f>
        <v>615.78571052365885</v>
      </c>
      <c r="O15" s="33"/>
      <c r="P15" s="33"/>
      <c r="R15" s="32"/>
    </row>
    <row r="16" spans="1:18">
      <c r="A16" s="16" t="s">
        <v>473</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54154.523875767321</v>
      </c>
      <c r="C18" s="21">
        <f>C5+C16</f>
        <v>0</v>
      </c>
      <c r="D18" s="21">
        <f>MAX((D5+D16),0)</f>
        <v>161350.96875801744</v>
      </c>
      <c r="E18" s="21">
        <f>MAX((E5+E16),0)</f>
        <v>1398.1859971143581</v>
      </c>
      <c r="F18" s="21">
        <f>MAX((F5+F16),0)</f>
        <v>10744.813825059759</v>
      </c>
      <c r="G18" s="21"/>
      <c r="H18" s="21"/>
      <c r="I18" s="21"/>
      <c r="J18" s="21">
        <f>MAX((J5+J16),0)</f>
        <v>84.69620529803116</v>
      </c>
      <c r="K18" s="21"/>
      <c r="L18" s="21">
        <f>MAX((L5+L16),0)</f>
        <v>0</v>
      </c>
      <c r="M18" s="21"/>
      <c r="N18" s="21">
        <f>MAX((N5+N16),0)</f>
        <v>1609.5395346197299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0.19862745005091911</v>
      </c>
      <c r="C20" s="25">
        <f ca="1">'EF ele_warmte'!B22</f>
        <v>0.22998102466793169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10756.57498616528</v>
      </c>
      <c r="C22" s="23">
        <f ca="1">C18*C20</f>
        <v>0</v>
      </c>
      <c r="D22" s="23">
        <f>D18*D20</f>
        <v>32592.895689119523</v>
      </c>
      <c r="E22" s="23">
        <f>E18*E20</f>
        <v>317.38822134495928</v>
      </c>
      <c r="F22" s="23">
        <f>F18*F20</f>
        <v>2868.8652912909556</v>
      </c>
      <c r="G22" s="23"/>
      <c r="H22" s="23"/>
      <c r="I22" s="23"/>
      <c r="J22" s="23">
        <f>J18*J20</f>
        <v>29.98245667550303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836.87500058390197</v>
      </c>
      <c r="C30" s="39">
        <f>IF(ISERROR(B30*3.6/1000000/'E Balans VL '!Z18*100),0,B30*3.6/1000000/'E Balans VL '!Z18*100)</f>
        <v>4.8533409606539492E-2</v>
      </c>
      <c r="D30" s="232" t="s">
        <v>700</v>
      </c>
    </row>
    <row r="31" spans="1:18">
      <c r="A31" s="6" t="s">
        <v>32</v>
      </c>
      <c r="B31" s="37">
        <f>IF( ISERROR(IND_ander_ele_kWh/1000),0,IND_ander_ele_kWh/1000)</f>
        <v>7681.2763598389001</v>
      </c>
      <c r="C31" s="39">
        <f>IF(ISERROR(B31*3.6/1000000/'E Balans VL '!Z19*100),0,B31*3.6/1000000/'E Balans VL '!Z19*100)</f>
        <v>0.32079900606495543</v>
      </c>
      <c r="D31" s="232" t="s">
        <v>700</v>
      </c>
    </row>
    <row r="32" spans="1:18">
      <c r="A32" s="167" t="s">
        <v>40</v>
      </c>
      <c r="B32" s="37">
        <f>IF( ISERROR(IND_voed_ele_kWh/1000),0,IND_voed_ele_kWh/1000)</f>
        <v>21342.365321957303</v>
      </c>
      <c r="C32" s="39">
        <f>IF(ISERROR(B32*3.6/1000000/'E Balans VL '!Z20*100),0,B32*3.6/1000000/'E Balans VL '!Z20*100)</f>
        <v>0.66195608099932501</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74.146004493588094</v>
      </c>
      <c r="C34" s="39">
        <f>IF(ISERROR(B34*3.6/1000000/'E Balans VL '!Z22*100),0,B34*3.6/1000000/'E Balans VL '!Z22*100)</f>
        <v>1.3875109604819715E-2</v>
      </c>
      <c r="D34" s="232" t="s">
        <v>700</v>
      </c>
    </row>
    <row r="35" spans="1:5">
      <c r="A35" s="167" t="s">
        <v>38</v>
      </c>
      <c r="B35" s="37">
        <f>IF( ISERROR(IND_papier_ele_kWh/1000),0,IND_papier_ele_kWh/1000)</f>
        <v>215.101541697324</v>
      </c>
      <c r="C35" s="39">
        <f>IF(ISERROR(B35*3.6/1000000/'E Balans VL '!Z22*100),0,B35*3.6/1000000/'E Balans VL '!Z22*100)</f>
        <v>4.0252438248026746E-2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24004.759647196301</v>
      </c>
      <c r="C37" s="39">
        <f>IF(ISERROR(B37*3.6/1000000/'E Balans VL '!Z15*100),0,B37*3.6/1000000/'E Balans VL '!Z15*100)</f>
        <v>0.18716366045743593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5665.6022302899819</v>
      </c>
      <c r="C5" s="17">
        <f>'Eigen informatie GS &amp; warmtenet'!B60</f>
        <v>0</v>
      </c>
      <c r="D5" s="30">
        <f>IF(ISERROR(SUM(LB_lb_gas_kWh,LB_rest_gas_kWh)/1000),0,SUM(LB_lb_gas_kWh,LB_rest_gas_kWh)/1000)*0.902</f>
        <v>178.74930624895524</v>
      </c>
      <c r="E5" s="17">
        <f>B17*'E Balans VL '!I25/3.6*1000000/100</f>
        <v>183.86741670560829</v>
      </c>
      <c r="F5" s="17">
        <f>B17*('E Balans VL '!L25/3.6*1000000+'E Balans VL '!N25/3.6*1000000)/100</f>
        <v>20901.506020340526</v>
      </c>
      <c r="G5" s="18"/>
      <c r="H5" s="17"/>
      <c r="I5" s="17"/>
      <c r="J5" s="17">
        <f>('E Balans VL '!D25+'E Balans VL '!E25)/3.6*1000000*landbouw!B17/100</f>
        <v>1489.9948117495958</v>
      </c>
      <c r="K5" s="17"/>
      <c r="L5" s="17">
        <f>L6*(-1)</f>
        <v>0</v>
      </c>
      <c r="M5" s="17"/>
      <c r="N5" s="17">
        <f>N6*(-1)</f>
        <v>124.71428571428569</v>
      </c>
      <c r="O5" s="17"/>
      <c r="P5" s="17"/>
      <c r="R5" s="32"/>
    </row>
    <row r="6" spans="1:18">
      <c r="A6" s="16" t="s">
        <v>473</v>
      </c>
      <c r="B6" s="17" t="s">
        <v>204</v>
      </c>
      <c r="C6" s="17">
        <f>'lokale energieproductie'!O40+'lokale energieproductie'!O33</f>
        <v>62.357142857142847</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5665.6022302899819</v>
      </c>
      <c r="C8" s="21">
        <f>C5+C6</f>
        <v>62.357142857142847</v>
      </c>
      <c r="D8" s="21">
        <f>MAX((D5+D6),0)</f>
        <v>178.74930624895524</v>
      </c>
      <c r="E8" s="21">
        <f>MAX((E5+E6),0)</f>
        <v>183.86741670560829</v>
      </c>
      <c r="F8" s="21">
        <f>MAX((F5+F6),0)</f>
        <v>20901.506020340526</v>
      </c>
      <c r="G8" s="21"/>
      <c r="H8" s="21"/>
      <c r="I8" s="21"/>
      <c r="J8" s="21">
        <f>MAX((J5+J6),0)</f>
        <v>1489.9948117495958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0.19862745005091911</v>
      </c>
      <c r="C10" s="31">
        <f ca="1">'EF ele_warmte'!B22</f>
        <v>0.22998102466793169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1125.3441240052994</v>
      </c>
      <c r="C12" s="23">
        <f ca="1">C8*C10</f>
        <v>14.340959609650309</v>
      </c>
      <c r="D12" s="23">
        <f>D8*D10</f>
        <v>36.107359862288959</v>
      </c>
      <c r="E12" s="23">
        <f>E8*E10</f>
        <v>41.737903592173083</v>
      </c>
      <c r="F12" s="23">
        <f>F8*F10</f>
        <v>5580.7021074309205</v>
      </c>
      <c r="G12" s="23"/>
      <c r="H12" s="23"/>
      <c r="I12" s="23"/>
      <c r="J12" s="23">
        <f>J8*J10</f>
        <v>527.45816335935683</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0.80396673176305511</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866.8560656121706</v>
      </c>
      <c r="C26" s="242">
        <f>B26*'GWP N2O_CH4'!B5</f>
        <v>18203.977377855583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467.36882906646696</v>
      </c>
      <c r="C27" s="242">
        <f>B27*'GWP N2O_CH4'!B5</f>
        <v>9814.7454103958062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14.542191043018846</v>
      </c>
      <c r="C28" s="242">
        <f>B28*'GWP N2O_CH4'!B4</f>
        <v>4508.0792233358425</v>
      </c>
      <c r="D28" s="50"/>
    </row>
    <row r="29" spans="1:4">
      <c r="A29" s="41" t="s">
        <v>265</v>
      </c>
      <c r="B29" s="242">
        <f>B34*'ha_N2O bodem landbouw'!B4</f>
        <v>52.701197742694433</v>
      </c>
      <c r="C29" s="242">
        <f>B29*'GWP N2O_CH4'!B4</f>
        <v>16337.371300235274</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1.2026231708475865E-2</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3.0358005495091184E-4</v>
      </c>
      <c r="C5" s="427" t="s">
        <v>204</v>
      </c>
      <c r="D5" s="412">
        <f>SUM(D6:D11)</f>
        <v>4.658635168552865E-4</v>
      </c>
      <c r="E5" s="412">
        <f>SUM(E6:E11)</f>
        <v>8.8347009544606872E-4</v>
      </c>
      <c r="F5" s="425" t="s">
        <v>204</v>
      </c>
      <c r="G5" s="412">
        <f>SUM(G6:G11)</f>
        <v>0.58797975771954292</v>
      </c>
      <c r="H5" s="412">
        <f>SUM(H6:H11)</f>
        <v>8.2117462420204693E-2</v>
      </c>
      <c r="I5" s="427" t="s">
        <v>204</v>
      </c>
      <c r="J5" s="427" t="s">
        <v>204</v>
      </c>
      <c r="K5" s="427" t="s">
        <v>204</v>
      </c>
      <c r="L5" s="427" t="s">
        <v>204</v>
      </c>
      <c r="M5" s="412">
        <f>SUM(M6:M11)</f>
        <v>3.6770460496139641E-2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1.1150370223785185E-4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1.8840351531649408E-4</v>
      </c>
      <c r="E6" s="818">
        <f>vkm_GW_PW*SUMIFS(TableVerdeelsleutelVkm[LPG],TableVerdeelsleutelVkm[Voertuigtype],"Lichte voertuigen")*SUMIFS(TableECFTransport[EnergieConsumptieFactor (PJ per km)],TableECFTransport[Index],CONCATENATE($A6,"_LPG_LPG"))</f>
        <v>3.2750193256229232E-4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9.9191649701215662E-2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3.2665629965341531E-2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6.7570212958965583E-3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2.1829469964473385E-6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7.0116783104296629E-2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1.3988940782299588E-6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4.0966186919689507E-3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3.6564377730103338E-5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7.9099173567249789E-5</v>
      </c>
      <c r="E8" s="415">
        <f>vkm_NGW_PW*SUMIFS(TableVerdeelsleutelVkm[LPG],TableVerdeelsleutelVkm[Voertuigtype],"Lichte voertuigen")*SUMIFS(TableECFTransport[EnergieConsumptieFactor (PJ per km)],TableECFTransport[Index],CONCATENATE($A8,"_LPG_LPG"))</f>
        <v>1.312641741020272E-4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3.7129293676393317E-2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1.3397799618289514E-2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2.5637399255604987E-3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6.9284810776170399E-7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2.8553930209732899E-2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5.3591525841572271E-7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1.6682809642751366E-3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1.4489936735604807E-4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1.9836082797154264E-4</v>
      </c>
      <c r="E10" s="415">
        <f>vkm_SW_PW*SUMIFS(TableVerdeelsleutelVkm[LPG],TableVerdeelsleutelVkm[Voertuigtype],"Lichte voertuigen")*SUMIFS(TableECFTransport[EnergieConsumptieFactor (PJ per km)],TableECFTransport[Index],CONCATENATE($A10,"_LPG_LPG"))</f>
        <v>4.247039887817492E-4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0.11628806278785543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3.6046994926359939E-2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7.8554346067959916E-3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7.7368125226995777E-6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0.23670003824004895</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5.1031008770712956E-6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1.3829365011642501E-2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84.327793041919961</v>
      </c>
      <c r="C14" s="21"/>
      <c r="D14" s="21">
        <f t="shared" ref="D14:M14" si="0">((D5)*10^9/3600)+D12</f>
        <v>129.40653245980181</v>
      </c>
      <c r="E14" s="21">
        <f t="shared" si="0"/>
        <v>245.4083598461302</v>
      </c>
      <c r="F14" s="21"/>
      <c r="G14" s="21">
        <f t="shared" si="0"/>
        <v>163327.71047765081</v>
      </c>
      <c r="H14" s="21">
        <f t="shared" si="0"/>
        <v>22810.406227834639</v>
      </c>
      <c r="I14" s="21"/>
      <c r="J14" s="21"/>
      <c r="K14" s="21"/>
      <c r="L14" s="21"/>
      <c r="M14" s="21">
        <f t="shared" si="0"/>
        <v>10214.016804483233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0.19862745005091911</v>
      </c>
      <c r="C16" s="56">
        <f ca="1">'EF ele_warmte'!B22</f>
        <v>0.22998102466793169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16.7498145003382</v>
      </c>
      <c r="C18" s="23"/>
      <c r="D18" s="23">
        <f t="shared" ref="D18:M18" si="1">D14*D16</f>
        <v>26.140119556879966</v>
      </c>
      <c r="E18" s="23">
        <f t="shared" si="1"/>
        <v>55.707697685071558</v>
      </c>
      <c r="F18" s="23"/>
      <c r="G18" s="23">
        <f t="shared" si="1"/>
        <v>43608.49869753277</v>
      </c>
      <c r="H18" s="23">
        <f t="shared" si="1"/>
        <v>5679.7911507308254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4.2217569420736134E-5</v>
      </c>
      <c r="C50" s="311">
        <f t="shared" ref="C50:P50" si="2">SUM(C51:C52)</f>
        <v>0</v>
      </c>
      <c r="D50" s="311">
        <f t="shared" si="2"/>
        <v>0</v>
      </c>
      <c r="E50" s="311">
        <f t="shared" si="2"/>
        <v>0</v>
      </c>
      <c r="F50" s="311">
        <f t="shared" si="2"/>
        <v>0</v>
      </c>
      <c r="G50" s="311">
        <f t="shared" si="2"/>
        <v>3.9659216731915518E-3</v>
      </c>
      <c r="H50" s="311">
        <f t="shared" si="2"/>
        <v>0</v>
      </c>
      <c r="I50" s="311">
        <f t="shared" si="2"/>
        <v>0</v>
      </c>
      <c r="J50" s="311">
        <f t="shared" si="2"/>
        <v>0</v>
      </c>
      <c r="K50" s="311">
        <f t="shared" si="2"/>
        <v>0</v>
      </c>
      <c r="L50" s="311">
        <f t="shared" si="2"/>
        <v>0</v>
      </c>
      <c r="M50" s="311">
        <f t="shared" si="2"/>
        <v>2.2838552154057915E-4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4.2217569420736134E-5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3.9659216731915518E-3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2.2838552154057915E-4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11.72710261687115</v>
      </c>
      <c r="C54" s="21">
        <f t="shared" ref="C54:P54" si="3">(C50)*10^9/3600</f>
        <v>0</v>
      </c>
      <c r="D54" s="21">
        <f t="shared" si="3"/>
        <v>0</v>
      </c>
      <c r="E54" s="21">
        <f t="shared" si="3"/>
        <v>0</v>
      </c>
      <c r="F54" s="21">
        <f t="shared" si="3"/>
        <v>0</v>
      </c>
      <c r="G54" s="21">
        <f t="shared" si="3"/>
        <v>1101.6449092198757</v>
      </c>
      <c r="H54" s="21">
        <f t="shared" si="3"/>
        <v>0</v>
      </c>
      <c r="I54" s="21">
        <f t="shared" si="3"/>
        <v>0</v>
      </c>
      <c r="J54" s="21">
        <f t="shared" si="3"/>
        <v>0</v>
      </c>
      <c r="K54" s="21">
        <f t="shared" si="3"/>
        <v>0</v>
      </c>
      <c r="L54" s="21">
        <f t="shared" si="3"/>
        <v>0</v>
      </c>
      <c r="M54" s="21">
        <f t="shared" si="3"/>
        <v>63.440422650160876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0.19862745005091911</v>
      </c>
      <c r="C56" s="56">
        <f ca="1">'EF ele_warmte'!B22</f>
        <v>0.22998102466793169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2.329324489274577</v>
      </c>
      <c r="C58" s="23">
        <f t="shared" ref="C58:P58" ca="1" si="4">C54*C56</f>
        <v>0</v>
      </c>
      <c r="D58" s="23">
        <f t="shared" si="4"/>
        <v>0</v>
      </c>
      <c r="E58" s="23">
        <f t="shared" si="4"/>
        <v>0</v>
      </c>
      <c r="F58" s="23">
        <f t="shared" si="4"/>
        <v>0</v>
      </c>
      <c r="G58" s="23">
        <f t="shared" si="4"/>
        <v>294.1391907617068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11037.06317260327</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1353.15</v>
      </c>
      <c r="C8" s="534">
        <f>B49</f>
        <v>1540.5882352941176</v>
      </c>
      <c r="D8" s="962"/>
      <c r="E8" s="962">
        <f>E49</f>
        <v>0</v>
      </c>
      <c r="F8" s="963"/>
      <c r="G8" s="535"/>
      <c r="H8" s="962">
        <f>I49</f>
        <v>0</v>
      </c>
      <c r="I8" s="962">
        <f>G49+F49</f>
        <v>0</v>
      </c>
      <c r="J8" s="962">
        <f>H49+D49+C49</f>
        <v>51.35294117647058</v>
      </c>
      <c r="K8" s="962"/>
      <c r="L8" s="962"/>
      <c r="M8" s="962"/>
      <c r="N8" s="536"/>
      <c r="O8" s="537">
        <f>C8*$C$12+D8*$D$12+E8*$E$12+F8*$F$12+G8*$G$12+H8*$H$12+I8*$I$12+J8*$J$12</f>
        <v>311.19882352941175</v>
      </c>
      <c r="P8" s="1180"/>
      <c r="Q8" s="1181"/>
      <c r="S8" s="925"/>
      <c r="T8" s="1217"/>
      <c r="U8" s="1217"/>
    </row>
    <row r="9" spans="1:21" s="523" customFormat="1" ht="17.45" customHeight="1" thickBot="1">
      <c r="A9" s="538" t="s">
        <v>236</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12390.213172603269</v>
      </c>
      <c r="C10" s="547">
        <f t="shared" ref="C10:L10" si="0">SUM(C8:C9)</f>
        <v>1540.5882352941176</v>
      </c>
      <c r="D10" s="547">
        <f t="shared" si="0"/>
        <v>0</v>
      </c>
      <c r="E10" s="547">
        <f t="shared" si="0"/>
        <v>0</v>
      </c>
      <c r="F10" s="547">
        <f t="shared" si="0"/>
        <v>0</v>
      </c>
      <c r="G10" s="547">
        <f t="shared" si="0"/>
        <v>0</v>
      </c>
      <c r="H10" s="547">
        <f t="shared" si="0"/>
        <v>0</v>
      </c>
      <c r="I10" s="547">
        <f t="shared" si="0"/>
        <v>0</v>
      </c>
      <c r="J10" s="547">
        <f t="shared" si="0"/>
        <v>51.35294117647058</v>
      </c>
      <c r="K10" s="547">
        <f t="shared" si="0"/>
        <v>0</v>
      </c>
      <c r="L10" s="547">
        <f t="shared" si="0"/>
        <v>0</v>
      </c>
      <c r="M10" s="965"/>
      <c r="N10" s="965"/>
      <c r="O10" s="548">
        <f>SUM(O4:O9)</f>
        <v>311.19882352941175</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1933.0714285714287</v>
      </c>
      <c r="C17" s="559">
        <f>B50</f>
        <v>2200.8403361344535</v>
      </c>
      <c r="D17" s="560"/>
      <c r="E17" s="560">
        <f>E50</f>
        <v>0</v>
      </c>
      <c r="F17" s="968"/>
      <c r="G17" s="561"/>
      <c r="H17" s="559">
        <f>I50</f>
        <v>0</v>
      </c>
      <c r="I17" s="560">
        <f>G50+F50</f>
        <v>0</v>
      </c>
      <c r="J17" s="560">
        <f>H50+D50+C50</f>
        <v>73.3613445378151</v>
      </c>
      <c r="K17" s="560"/>
      <c r="L17" s="560"/>
      <c r="M17" s="560"/>
      <c r="N17" s="969"/>
      <c r="O17" s="562">
        <f>C17*$C$22+E17*$E$22+H17*$H$22+I17*$I$22+J17*$J$22+D17*$D$22+F17*$F$22+G17*$G$22+K17*$K$22+L17*$L$22</f>
        <v>444.56974789915967</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1933.0714285714287</v>
      </c>
      <c r="C20" s="546">
        <f>SUM(C17:C19)</f>
        <v>2200.8403361344535</v>
      </c>
      <c r="D20" s="546">
        <f t="shared" ref="D20:L20" si="1">SUM(D17:D19)</f>
        <v>0</v>
      </c>
      <c r="E20" s="546">
        <f t="shared" si="1"/>
        <v>0</v>
      </c>
      <c r="F20" s="546">
        <f t="shared" si="1"/>
        <v>0</v>
      </c>
      <c r="G20" s="546">
        <f t="shared" si="1"/>
        <v>0</v>
      </c>
      <c r="H20" s="546">
        <f t="shared" si="1"/>
        <v>0</v>
      </c>
      <c r="I20" s="546">
        <f t="shared" si="1"/>
        <v>0</v>
      </c>
      <c r="J20" s="546">
        <f t="shared" si="1"/>
        <v>73.3613445378151</v>
      </c>
      <c r="K20" s="546">
        <f t="shared" si="1"/>
        <v>0</v>
      </c>
      <c r="L20" s="546">
        <f t="shared" si="1"/>
        <v>0</v>
      </c>
      <c r="M20" s="546"/>
      <c r="N20" s="546"/>
      <c r="O20" s="565">
        <f>SUM(O17:O19)</f>
        <v>444.56974789915967</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51" hidden="1">
      <c r="A28" s="569"/>
      <c r="B28" s="724">
        <v>38025</v>
      </c>
      <c r="C28" s="724">
        <v>8630</v>
      </c>
      <c r="D28" s="617"/>
      <c r="E28" s="616"/>
      <c r="F28" s="616"/>
      <c r="G28" s="616" t="s">
        <v>878</v>
      </c>
      <c r="H28" s="616" t="s">
        <v>879</v>
      </c>
      <c r="I28" s="616"/>
      <c r="J28" s="723"/>
      <c r="K28" s="723"/>
      <c r="L28" s="616" t="s">
        <v>880</v>
      </c>
      <c r="M28" s="616">
        <v>291</v>
      </c>
      <c r="N28" s="616">
        <v>1309.5</v>
      </c>
      <c r="O28" s="616">
        <v>1870.7142857142858</v>
      </c>
      <c r="P28" s="616">
        <v>3741.4285714285716</v>
      </c>
      <c r="Q28" s="616">
        <v>0</v>
      </c>
      <c r="R28" s="616">
        <v>0</v>
      </c>
      <c r="S28" s="616">
        <v>0</v>
      </c>
      <c r="T28" s="616">
        <v>0</v>
      </c>
      <c r="U28" s="616">
        <v>0</v>
      </c>
      <c r="V28" s="616">
        <v>0</v>
      </c>
      <c r="W28" s="616">
        <v>0</v>
      </c>
      <c r="X28" s="616"/>
      <c r="Y28" s="616">
        <v>1500</v>
      </c>
      <c r="Z28" s="616" t="s">
        <v>50</v>
      </c>
      <c r="AA28" s="618" t="s">
        <v>149</v>
      </c>
    </row>
    <row r="29" spans="1:27" s="570" customFormat="1" ht="25.5" hidden="1">
      <c r="A29" s="569"/>
      <c r="B29" s="724">
        <v>38025</v>
      </c>
      <c r="C29" s="724">
        <v>8630</v>
      </c>
      <c r="D29" s="617"/>
      <c r="E29" s="616"/>
      <c r="F29" s="616"/>
      <c r="G29" s="616" t="s">
        <v>878</v>
      </c>
      <c r="H29" s="616" t="s">
        <v>879</v>
      </c>
      <c r="I29" s="616"/>
      <c r="J29" s="723"/>
      <c r="K29" s="723"/>
      <c r="L29" s="616" t="s">
        <v>880</v>
      </c>
      <c r="M29" s="616">
        <v>9.6999999999999993</v>
      </c>
      <c r="N29" s="616">
        <v>43.649999999999991</v>
      </c>
      <c r="O29" s="616">
        <v>62.357142857142847</v>
      </c>
      <c r="P29" s="616">
        <v>0</v>
      </c>
      <c r="Q29" s="616">
        <v>124.71428571428569</v>
      </c>
      <c r="R29" s="616">
        <v>0</v>
      </c>
      <c r="S29" s="616">
        <v>0</v>
      </c>
      <c r="T29" s="616">
        <v>0</v>
      </c>
      <c r="U29" s="616">
        <v>0</v>
      </c>
      <c r="V29" s="616">
        <v>0</v>
      </c>
      <c r="W29" s="616">
        <v>0</v>
      </c>
      <c r="X29" s="616"/>
      <c r="Y29" s="616">
        <v>10</v>
      </c>
      <c r="Z29" s="616" t="s">
        <v>105</v>
      </c>
      <c r="AA29" s="618" t="s">
        <v>105</v>
      </c>
    </row>
    <row r="30" spans="1:27" s="554" customFormat="1" hidden="1">
      <c r="A30" s="572" t="s">
        <v>268</v>
      </c>
      <c r="B30" s="573"/>
      <c r="C30" s="573"/>
      <c r="D30" s="573"/>
      <c r="E30" s="573"/>
      <c r="F30" s="573"/>
      <c r="G30" s="573"/>
      <c r="H30" s="573"/>
      <c r="I30" s="573"/>
      <c r="J30" s="573"/>
      <c r="K30" s="573"/>
      <c r="L30" s="574"/>
      <c r="M30" s="574">
        <f>SUM(M28:M29)</f>
        <v>300.7</v>
      </c>
      <c r="N30" s="574">
        <f>SUM(N28:N29)</f>
        <v>1353.15</v>
      </c>
      <c r="O30" s="574">
        <f>SUM(O28:O29)</f>
        <v>1933.0714285714287</v>
      </c>
      <c r="P30" s="574">
        <f>SUM(P28:P29)</f>
        <v>3741.4285714285716</v>
      </c>
      <c r="Q30" s="574">
        <f>SUM(Q28:Q29)</f>
        <v>124.71428571428569</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291</v>
      </c>
      <c r="N32" s="574">
        <f ca="1">SUMIF($AA$28:AE29,"tertiair",N28:N29)</f>
        <v>1309.5</v>
      </c>
      <c r="O32" s="574">
        <f ca="1">SUMIF($AA$28:AF29,"tertiair",O28:O29)</f>
        <v>1870.7142857142858</v>
      </c>
      <c r="P32" s="574">
        <f ca="1">SUMIF($AA$28:AG29,"tertiair",P28:P29)</f>
        <v>3741.4285714285716</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9.6999999999999993</v>
      </c>
      <c r="N33" s="579">
        <f>SUMIF($AA$28:$AA$29,"landbouw",N28:N29)</f>
        <v>43.649999999999991</v>
      </c>
      <c r="O33" s="579">
        <f>SUMIF($AA$28:$AA$29,"landbouw",O28:O29)</f>
        <v>62.357142857142847</v>
      </c>
      <c r="P33" s="579">
        <f>SUMIF($AA$28:$AA$29,"landbouw",P28:P29)</f>
        <v>0</v>
      </c>
      <c r="Q33" s="579">
        <f>SUMIF($AA$28:$AA$29,"landbouw",Q28:Q29)</f>
        <v>124.71428571428569</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268</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0.58823529411764697</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1540.5882352941176</v>
      </c>
      <c r="C49" s="608">
        <f t="shared" si="2"/>
        <v>51.35294117647058</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2200.8403361344535</v>
      </c>
      <c r="C50" s="611">
        <f t="shared" si="3"/>
        <v>73.3613445378151</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27912.047901902541</v>
      </c>
      <c r="D10" s="931">
        <f ca="1">tertiair!C16</f>
        <v>1870.7142857142858</v>
      </c>
      <c r="E10" s="931">
        <f ca="1">tertiair!D16</f>
        <v>27298.231968065618</v>
      </c>
      <c r="F10" s="931">
        <f>tertiair!E16</f>
        <v>389.17363786473589</v>
      </c>
      <c r="G10" s="931">
        <f ca="1">tertiair!F16</f>
        <v>4142.044960762114</v>
      </c>
      <c r="H10" s="931">
        <f>tertiair!G16</f>
        <v>0</v>
      </c>
      <c r="I10" s="931">
        <f>tertiair!H16</f>
        <v>0</v>
      </c>
      <c r="J10" s="931">
        <f>tertiair!I16</f>
        <v>0</v>
      </c>
      <c r="K10" s="931">
        <f>tertiair!J16</f>
        <v>2.837104321695675E-2</v>
      </c>
      <c r="L10" s="931">
        <f>tertiair!K16</f>
        <v>0</v>
      </c>
      <c r="M10" s="931">
        <f ca="1">tertiair!L16</f>
        <v>0</v>
      </c>
      <c r="N10" s="931">
        <f>tertiair!M16</f>
        <v>0</v>
      </c>
      <c r="O10" s="931">
        <f ca="1">tertiair!N16</f>
        <v>1187.7916535505017</v>
      </c>
      <c r="P10" s="931">
        <f>tertiair!O16</f>
        <v>10.943333333333335</v>
      </c>
      <c r="Q10" s="932">
        <f>tertiair!P16</f>
        <v>38.133333333333333</v>
      </c>
      <c r="R10" s="628">
        <f ca="1">SUM(C10:Q10)</f>
        <v>62849.10944556968</v>
      </c>
      <c r="S10" s="67"/>
    </row>
    <row r="11" spans="1:19" s="437" customFormat="1">
      <c r="A11" s="736" t="s">
        <v>213</v>
      </c>
      <c r="B11" s="741"/>
      <c r="C11" s="931">
        <f>huishoudens!B8</f>
        <v>19142.919150105001</v>
      </c>
      <c r="D11" s="931">
        <f>huishoudens!C8</f>
        <v>0</v>
      </c>
      <c r="E11" s="931">
        <f>huishoudens!D8</f>
        <v>47948.73951074553</v>
      </c>
      <c r="F11" s="931">
        <f>huishoudens!E8</f>
        <v>889.92364042446832</v>
      </c>
      <c r="G11" s="931">
        <f>huishoudens!F8</f>
        <v>20627.737610029508</v>
      </c>
      <c r="H11" s="931">
        <f>huishoudens!G8</f>
        <v>0</v>
      </c>
      <c r="I11" s="931">
        <f>huishoudens!H8</f>
        <v>0</v>
      </c>
      <c r="J11" s="931">
        <f>huishoudens!I8</f>
        <v>0</v>
      </c>
      <c r="K11" s="931">
        <f>huishoudens!J8</f>
        <v>106.0084011818488</v>
      </c>
      <c r="L11" s="931">
        <f>huishoudens!K8</f>
        <v>0</v>
      </c>
      <c r="M11" s="931">
        <f>huishoudens!L8</f>
        <v>0</v>
      </c>
      <c r="N11" s="931">
        <f>huishoudens!M8</f>
        <v>0</v>
      </c>
      <c r="O11" s="931">
        <f>huishoudens!N8</f>
        <v>6818.8859788283189</v>
      </c>
      <c r="P11" s="931">
        <f>huishoudens!O8</f>
        <v>392.3966666666667</v>
      </c>
      <c r="Q11" s="932">
        <f>huishoudens!P8</f>
        <v>400.4</v>
      </c>
      <c r="R11" s="628">
        <f>SUM(C11:Q11)</f>
        <v>96327.010957981343</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54154.523875767321</v>
      </c>
      <c r="D13" s="931">
        <f>industrie!C18</f>
        <v>0</v>
      </c>
      <c r="E13" s="931">
        <f>industrie!D18</f>
        <v>161350.96875801744</v>
      </c>
      <c r="F13" s="931">
        <f>industrie!E18</f>
        <v>1398.1859971143581</v>
      </c>
      <c r="G13" s="931">
        <f>industrie!F18</f>
        <v>10744.813825059759</v>
      </c>
      <c r="H13" s="931">
        <f>industrie!G18</f>
        <v>0</v>
      </c>
      <c r="I13" s="931">
        <f>industrie!H18</f>
        <v>0</v>
      </c>
      <c r="J13" s="931">
        <f>industrie!I18</f>
        <v>0</v>
      </c>
      <c r="K13" s="931">
        <f>industrie!J18</f>
        <v>84.69620529803116</v>
      </c>
      <c r="L13" s="931">
        <f>industrie!K18</f>
        <v>0</v>
      </c>
      <c r="M13" s="931">
        <f>industrie!L18</f>
        <v>0</v>
      </c>
      <c r="N13" s="931">
        <f>industrie!M18</f>
        <v>0</v>
      </c>
      <c r="O13" s="931">
        <f>industrie!N18</f>
        <v>1609.5395346197299</v>
      </c>
      <c r="P13" s="931">
        <f>industrie!O18</f>
        <v>0</v>
      </c>
      <c r="Q13" s="932">
        <f>industrie!P18</f>
        <v>0</v>
      </c>
      <c r="R13" s="628">
        <f>SUM(C13:Q13)</f>
        <v>229342.72819587667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101209.49092777487</v>
      </c>
      <c r="D16" s="660">
        <f t="shared" ref="D16:R16" ca="1" si="0">SUM(D9:D15)</f>
        <v>1870.7142857142858</v>
      </c>
      <c r="E16" s="660">
        <f t="shared" ca="1" si="0"/>
        <v>236597.94023682858</v>
      </c>
      <c r="F16" s="660">
        <f t="shared" si="0"/>
        <v>2677.2832754035626</v>
      </c>
      <c r="G16" s="660">
        <f t="shared" ca="1" si="0"/>
        <v>35514.596395851375</v>
      </c>
      <c r="H16" s="660">
        <f t="shared" si="0"/>
        <v>0</v>
      </c>
      <c r="I16" s="660">
        <f t="shared" si="0"/>
        <v>0</v>
      </c>
      <c r="J16" s="660">
        <f t="shared" si="0"/>
        <v>0</v>
      </c>
      <c r="K16" s="660">
        <f t="shared" si="0"/>
        <v>190.73297752309691</v>
      </c>
      <c r="L16" s="660">
        <f t="shared" si="0"/>
        <v>0</v>
      </c>
      <c r="M16" s="660">
        <f t="shared" ca="1" si="0"/>
        <v>0</v>
      </c>
      <c r="N16" s="660">
        <f t="shared" si="0"/>
        <v>0</v>
      </c>
      <c r="O16" s="660">
        <f t="shared" ca="1" si="0"/>
        <v>9616.217166998551</v>
      </c>
      <c r="P16" s="660">
        <f t="shared" si="0"/>
        <v>403.34000000000003</v>
      </c>
      <c r="Q16" s="660">
        <f t="shared" si="0"/>
        <v>438.5333333333333</v>
      </c>
      <c r="R16" s="660">
        <f t="shared" ca="1" si="0"/>
        <v>388518.84859942773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11.72710261687115</v>
      </c>
      <c r="D19" s="931">
        <f>transport!C54</f>
        <v>0</v>
      </c>
      <c r="E19" s="931">
        <f>transport!D54</f>
        <v>0</v>
      </c>
      <c r="F19" s="931">
        <f>transport!E54</f>
        <v>0</v>
      </c>
      <c r="G19" s="931">
        <f>transport!F54</f>
        <v>0</v>
      </c>
      <c r="H19" s="931">
        <f>transport!G54</f>
        <v>1101.6449092198757</v>
      </c>
      <c r="I19" s="931">
        <f>transport!H54</f>
        <v>0</v>
      </c>
      <c r="J19" s="931">
        <f>transport!I54</f>
        <v>0</v>
      </c>
      <c r="K19" s="931">
        <f>transport!J54</f>
        <v>0</v>
      </c>
      <c r="L19" s="931">
        <f>transport!K54</f>
        <v>0</v>
      </c>
      <c r="M19" s="931">
        <f>transport!L54</f>
        <v>0</v>
      </c>
      <c r="N19" s="931">
        <f>transport!M54</f>
        <v>63.440422650160876</v>
      </c>
      <c r="O19" s="931">
        <f>transport!N54</f>
        <v>0</v>
      </c>
      <c r="P19" s="931">
        <f>transport!O54</f>
        <v>0</v>
      </c>
      <c r="Q19" s="932">
        <f>transport!P54</f>
        <v>0</v>
      </c>
      <c r="R19" s="628">
        <f>SUM(C19:Q19)</f>
        <v>1176.8124344869077</v>
      </c>
      <c r="S19" s="67"/>
    </row>
    <row r="20" spans="1:19" s="437" customFormat="1">
      <c r="A20" s="736" t="s">
        <v>295</v>
      </c>
      <c r="B20" s="741"/>
      <c r="C20" s="931">
        <f>transport!B14</f>
        <v>84.327793041919961</v>
      </c>
      <c r="D20" s="931">
        <f>transport!C14</f>
        <v>0</v>
      </c>
      <c r="E20" s="931">
        <f>transport!D14</f>
        <v>129.40653245980181</v>
      </c>
      <c r="F20" s="931">
        <f>transport!E14</f>
        <v>245.4083598461302</v>
      </c>
      <c r="G20" s="931">
        <f>transport!F14</f>
        <v>0</v>
      </c>
      <c r="H20" s="931">
        <f>transport!G14</f>
        <v>163327.71047765081</v>
      </c>
      <c r="I20" s="931">
        <f>transport!H14</f>
        <v>22810.406227834639</v>
      </c>
      <c r="J20" s="931">
        <f>transport!I14</f>
        <v>0</v>
      </c>
      <c r="K20" s="931">
        <f>transport!J14</f>
        <v>0</v>
      </c>
      <c r="L20" s="931">
        <f>transport!K14</f>
        <v>0</v>
      </c>
      <c r="M20" s="931">
        <f>transport!L14</f>
        <v>0</v>
      </c>
      <c r="N20" s="931">
        <f>transport!M14</f>
        <v>10214.016804483233</v>
      </c>
      <c r="O20" s="931">
        <f>transport!N14</f>
        <v>0</v>
      </c>
      <c r="P20" s="931">
        <f>transport!O14</f>
        <v>0</v>
      </c>
      <c r="Q20" s="932">
        <f>transport!P14</f>
        <v>0</v>
      </c>
      <c r="R20" s="628">
        <f>SUM(C20:Q20)</f>
        <v>196811.27619531652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96.054895658791111</v>
      </c>
      <c r="D22" s="739">
        <f t="shared" ref="D22:R22" si="1">SUM(D18:D21)</f>
        <v>0</v>
      </c>
      <c r="E22" s="739">
        <f t="shared" si="1"/>
        <v>129.40653245980181</v>
      </c>
      <c r="F22" s="739">
        <f t="shared" si="1"/>
        <v>245.4083598461302</v>
      </c>
      <c r="G22" s="739">
        <f t="shared" si="1"/>
        <v>0</v>
      </c>
      <c r="H22" s="739">
        <f t="shared" si="1"/>
        <v>164429.35538687068</v>
      </c>
      <c r="I22" s="739">
        <f t="shared" si="1"/>
        <v>22810.406227834639</v>
      </c>
      <c r="J22" s="739">
        <f t="shared" si="1"/>
        <v>0</v>
      </c>
      <c r="K22" s="739">
        <f t="shared" si="1"/>
        <v>0</v>
      </c>
      <c r="L22" s="739">
        <f t="shared" si="1"/>
        <v>0</v>
      </c>
      <c r="M22" s="739">
        <f t="shared" si="1"/>
        <v>0</v>
      </c>
      <c r="N22" s="739">
        <f t="shared" si="1"/>
        <v>10277.457227133395</v>
      </c>
      <c r="O22" s="739">
        <f t="shared" si="1"/>
        <v>0</v>
      </c>
      <c r="P22" s="739">
        <f t="shared" si="1"/>
        <v>0</v>
      </c>
      <c r="Q22" s="739">
        <f t="shared" si="1"/>
        <v>0</v>
      </c>
      <c r="R22" s="739">
        <f t="shared" si="1"/>
        <v>197988.08862980342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5665.6022302899819</v>
      </c>
      <c r="D24" s="931">
        <f>+landbouw!C8</f>
        <v>62.357142857142847</v>
      </c>
      <c r="E24" s="931">
        <f>+landbouw!D8</f>
        <v>178.74930624895524</v>
      </c>
      <c r="F24" s="931">
        <f>+landbouw!E8</f>
        <v>183.86741670560829</v>
      </c>
      <c r="G24" s="931">
        <f>+landbouw!F8</f>
        <v>20901.506020340526</v>
      </c>
      <c r="H24" s="931">
        <f>+landbouw!G8</f>
        <v>0</v>
      </c>
      <c r="I24" s="931">
        <f>+landbouw!H8</f>
        <v>0</v>
      </c>
      <c r="J24" s="931">
        <f>+landbouw!I8</f>
        <v>0</v>
      </c>
      <c r="K24" s="931">
        <f>+landbouw!J8</f>
        <v>1489.9948117495958</v>
      </c>
      <c r="L24" s="931">
        <f>+landbouw!K8</f>
        <v>0</v>
      </c>
      <c r="M24" s="931">
        <f>+landbouw!L8</f>
        <v>0</v>
      </c>
      <c r="N24" s="931">
        <f>+landbouw!M8</f>
        <v>0</v>
      </c>
      <c r="O24" s="931">
        <f>+landbouw!N8</f>
        <v>0</v>
      </c>
      <c r="P24" s="931">
        <f>+landbouw!O8</f>
        <v>0</v>
      </c>
      <c r="Q24" s="932">
        <f>+landbouw!P8</f>
        <v>0</v>
      </c>
      <c r="R24" s="628">
        <f>SUM(C24:Q24)</f>
        <v>28482.076928191811</v>
      </c>
      <c r="S24" s="67"/>
    </row>
    <row r="25" spans="1:19" s="437" customFormat="1" ht="15" thickBot="1">
      <c r="A25" s="758" t="s">
        <v>775</v>
      </c>
      <c r="B25" s="934"/>
      <c r="C25" s="935">
        <f>IF(Onbekend_ele_kWh="---",0,Onbekend_ele_kWh)/1000+IF(REST_rest_ele_kWh="---",0,REST_rest_ele_kWh)/1000</f>
        <v>1511.7156850885199</v>
      </c>
      <c r="D25" s="935"/>
      <c r="E25" s="935">
        <f>IF(onbekend_gas_kWh="---",0,onbekend_gas_kWh)/1000+IF(REST_rest_gas_kWh="---",0,REST_rest_gas_kWh)/1000</f>
        <v>2679.6132543180302</v>
      </c>
      <c r="F25" s="935"/>
      <c r="G25" s="935"/>
      <c r="H25" s="935"/>
      <c r="I25" s="935"/>
      <c r="J25" s="935"/>
      <c r="K25" s="935"/>
      <c r="L25" s="935"/>
      <c r="M25" s="935"/>
      <c r="N25" s="935"/>
      <c r="O25" s="935"/>
      <c r="P25" s="935"/>
      <c r="Q25" s="936"/>
      <c r="R25" s="628">
        <f>SUM(C25:Q25)</f>
        <v>4191.3289394065505</v>
      </c>
      <c r="S25" s="67"/>
    </row>
    <row r="26" spans="1:19" s="437" customFormat="1" ht="15.75" thickBot="1">
      <c r="A26" s="633" t="s">
        <v>776</v>
      </c>
      <c r="B26" s="744"/>
      <c r="C26" s="739">
        <f>SUM(C24:C25)</f>
        <v>7177.3179153785022</v>
      </c>
      <c r="D26" s="739">
        <f t="shared" ref="D26:R26" si="2">SUM(D24:D25)</f>
        <v>62.357142857142847</v>
      </c>
      <c r="E26" s="739">
        <f t="shared" si="2"/>
        <v>2858.3625605669854</v>
      </c>
      <c r="F26" s="739">
        <f t="shared" si="2"/>
        <v>183.86741670560829</v>
      </c>
      <c r="G26" s="739">
        <f t="shared" si="2"/>
        <v>20901.506020340526</v>
      </c>
      <c r="H26" s="739">
        <f t="shared" si="2"/>
        <v>0</v>
      </c>
      <c r="I26" s="739">
        <f t="shared" si="2"/>
        <v>0</v>
      </c>
      <c r="J26" s="739">
        <f t="shared" si="2"/>
        <v>0</v>
      </c>
      <c r="K26" s="739">
        <f t="shared" si="2"/>
        <v>1489.9948117495958</v>
      </c>
      <c r="L26" s="739">
        <f t="shared" si="2"/>
        <v>0</v>
      </c>
      <c r="M26" s="739">
        <f t="shared" si="2"/>
        <v>0</v>
      </c>
      <c r="N26" s="739">
        <f t="shared" si="2"/>
        <v>0</v>
      </c>
      <c r="O26" s="739">
        <f t="shared" si="2"/>
        <v>0</v>
      </c>
      <c r="P26" s="739">
        <f t="shared" si="2"/>
        <v>0</v>
      </c>
      <c r="Q26" s="739">
        <f t="shared" si="2"/>
        <v>0</v>
      </c>
      <c r="R26" s="739">
        <f t="shared" si="2"/>
        <v>32673.405867598362</v>
      </c>
      <c r="S26" s="67"/>
    </row>
    <row r="27" spans="1:19" s="437" customFormat="1" ht="17.25" thickTop="1" thickBot="1">
      <c r="A27" s="634" t="s">
        <v>109</v>
      </c>
      <c r="B27" s="732"/>
      <c r="C27" s="635">
        <f ca="1">C22+C16+C26</f>
        <v>108482.86373881216</v>
      </c>
      <c r="D27" s="635">
        <f t="shared" ref="D27:R27" ca="1" si="3">D22+D16+D26</f>
        <v>1933.0714285714287</v>
      </c>
      <c r="E27" s="635">
        <f t="shared" ca="1" si="3"/>
        <v>239585.70932985537</v>
      </c>
      <c r="F27" s="635">
        <f t="shared" si="3"/>
        <v>3106.5590519553011</v>
      </c>
      <c r="G27" s="635">
        <f t="shared" ca="1" si="3"/>
        <v>56416.102416191905</v>
      </c>
      <c r="H27" s="635">
        <f t="shared" si="3"/>
        <v>164429.35538687068</v>
      </c>
      <c r="I27" s="635">
        <f t="shared" si="3"/>
        <v>22810.406227834639</v>
      </c>
      <c r="J27" s="635">
        <f t="shared" si="3"/>
        <v>0</v>
      </c>
      <c r="K27" s="635">
        <f t="shared" si="3"/>
        <v>1680.7277892726927</v>
      </c>
      <c r="L27" s="635">
        <f t="shared" si="3"/>
        <v>0</v>
      </c>
      <c r="M27" s="635">
        <f t="shared" ca="1" si="3"/>
        <v>0</v>
      </c>
      <c r="N27" s="635">
        <f t="shared" si="3"/>
        <v>10277.457227133395</v>
      </c>
      <c r="O27" s="635">
        <f t="shared" ca="1" si="3"/>
        <v>9616.217166998551</v>
      </c>
      <c r="P27" s="635">
        <f t="shared" si="3"/>
        <v>403.34000000000003</v>
      </c>
      <c r="Q27" s="635">
        <f t="shared" si="3"/>
        <v>438.5333333333333</v>
      </c>
      <c r="R27" s="635">
        <f t="shared" ca="1" si="3"/>
        <v>619180.34309682949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5544.0989004540088</v>
      </c>
      <c r="D40" s="931">
        <f ca="1">tertiair!C20</f>
        <v>430.22878828950934</v>
      </c>
      <c r="E40" s="931">
        <f ca="1">tertiair!D20</f>
        <v>5514.2428575492549</v>
      </c>
      <c r="F40" s="931">
        <f>tertiair!E20</f>
        <v>88.342415795295054</v>
      </c>
      <c r="G40" s="931">
        <f ca="1">tertiair!F20</f>
        <v>1105.9260045234846</v>
      </c>
      <c r="H40" s="931">
        <f>tertiair!G20</f>
        <v>0</v>
      </c>
      <c r="I40" s="931">
        <f>tertiair!H20</f>
        <v>0</v>
      </c>
      <c r="J40" s="931">
        <f>tertiair!I20</f>
        <v>0</v>
      </c>
      <c r="K40" s="931">
        <f>tertiair!J20</f>
        <v>1.0043349298802689E-2</v>
      </c>
      <c r="L40" s="931">
        <f>tertiair!K20</f>
        <v>0</v>
      </c>
      <c r="M40" s="931">
        <f ca="1">tertiair!L20</f>
        <v>0</v>
      </c>
      <c r="N40" s="931">
        <f>tertiair!M20</f>
        <v>0</v>
      </c>
      <c r="O40" s="931">
        <f ca="1">tertiair!N20</f>
        <v>0</v>
      </c>
      <c r="P40" s="931">
        <f>tertiair!O20</f>
        <v>0</v>
      </c>
      <c r="Q40" s="702">
        <f>tertiair!P20</f>
        <v>0</v>
      </c>
      <c r="R40" s="777">
        <f t="shared" ca="1" si="4"/>
        <v>12682.849009960852</v>
      </c>
    </row>
    <row r="41" spans="1:18">
      <c r="A41" s="749" t="s">
        <v>213</v>
      </c>
      <c r="B41" s="756"/>
      <c r="C41" s="931">
        <f ca="1">huishoudens!B12</f>
        <v>3802.309217316264</v>
      </c>
      <c r="D41" s="931">
        <f ca="1">huishoudens!C12</f>
        <v>0</v>
      </c>
      <c r="E41" s="931">
        <f>huishoudens!D12</f>
        <v>9685.6453811705978</v>
      </c>
      <c r="F41" s="931">
        <f>huishoudens!E12</f>
        <v>202.0126663763543</v>
      </c>
      <c r="G41" s="931">
        <f>huishoudens!F12</f>
        <v>5507.6059418778786</v>
      </c>
      <c r="H41" s="931">
        <f>huishoudens!G12</f>
        <v>0</v>
      </c>
      <c r="I41" s="931">
        <f>huishoudens!H12</f>
        <v>0</v>
      </c>
      <c r="J41" s="931">
        <f>huishoudens!I12</f>
        <v>0</v>
      </c>
      <c r="K41" s="931">
        <f>huishoudens!J12</f>
        <v>37.526974018374474</v>
      </c>
      <c r="L41" s="931">
        <f>huishoudens!K12</f>
        <v>0</v>
      </c>
      <c r="M41" s="931">
        <f>huishoudens!L12</f>
        <v>0</v>
      </c>
      <c r="N41" s="931">
        <f>huishoudens!M12</f>
        <v>0</v>
      </c>
      <c r="O41" s="931">
        <f>huishoudens!N12</f>
        <v>0</v>
      </c>
      <c r="P41" s="931">
        <f>huishoudens!O12</f>
        <v>0</v>
      </c>
      <c r="Q41" s="702">
        <f>huishoudens!P12</f>
        <v>0</v>
      </c>
      <c r="R41" s="777">
        <f t="shared" ca="1" si="4"/>
        <v>19235.100180759469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10756.57498616528</v>
      </c>
      <c r="D43" s="931">
        <f ca="1">industrie!C22</f>
        <v>0</v>
      </c>
      <c r="E43" s="931">
        <f>industrie!D22</f>
        <v>32592.895689119523</v>
      </c>
      <c r="F43" s="931">
        <f>industrie!E22</f>
        <v>317.38822134495928</v>
      </c>
      <c r="G43" s="931">
        <f>industrie!F22</f>
        <v>2868.8652912909556</v>
      </c>
      <c r="H43" s="931">
        <f>industrie!G22</f>
        <v>0</v>
      </c>
      <c r="I43" s="931">
        <f>industrie!H22</f>
        <v>0</v>
      </c>
      <c r="J43" s="931">
        <f>industrie!I22</f>
        <v>0</v>
      </c>
      <c r="K43" s="931">
        <f>industrie!J22</f>
        <v>29.98245667550303</v>
      </c>
      <c r="L43" s="931">
        <f>industrie!K22</f>
        <v>0</v>
      </c>
      <c r="M43" s="931">
        <f>industrie!L22</f>
        <v>0</v>
      </c>
      <c r="N43" s="931">
        <f>industrie!M22</f>
        <v>0</v>
      </c>
      <c r="O43" s="931">
        <f>industrie!N22</f>
        <v>0</v>
      </c>
      <c r="P43" s="931">
        <f>industrie!O22</f>
        <v>0</v>
      </c>
      <c r="Q43" s="702">
        <f>industrie!P22</f>
        <v>0</v>
      </c>
      <c r="R43" s="776">
        <f t="shared" ca="1" si="4"/>
        <v>46565.706644596219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20102.983103935552</v>
      </c>
      <c r="D46" s="660">
        <f t="shared" ref="D46:Q46" ca="1" si="5">SUM(D39:D45)</f>
        <v>430.22878828950934</v>
      </c>
      <c r="E46" s="660">
        <f t="shared" ca="1" si="5"/>
        <v>47792.78392783938</v>
      </c>
      <c r="F46" s="660">
        <f t="shared" si="5"/>
        <v>607.74330351660865</v>
      </c>
      <c r="G46" s="660">
        <f t="shared" ca="1" si="5"/>
        <v>9482.3972376923193</v>
      </c>
      <c r="H46" s="660">
        <f t="shared" si="5"/>
        <v>0</v>
      </c>
      <c r="I46" s="660">
        <f t="shared" si="5"/>
        <v>0</v>
      </c>
      <c r="J46" s="660">
        <f t="shared" si="5"/>
        <v>0</v>
      </c>
      <c r="K46" s="660">
        <f t="shared" si="5"/>
        <v>67.519474043176302</v>
      </c>
      <c r="L46" s="660">
        <f t="shared" si="5"/>
        <v>0</v>
      </c>
      <c r="M46" s="660">
        <f t="shared" ca="1" si="5"/>
        <v>0</v>
      </c>
      <c r="N46" s="660">
        <f t="shared" si="5"/>
        <v>0</v>
      </c>
      <c r="O46" s="660">
        <f t="shared" ca="1" si="5"/>
        <v>0</v>
      </c>
      <c r="P46" s="660">
        <f t="shared" si="5"/>
        <v>0</v>
      </c>
      <c r="Q46" s="660">
        <f t="shared" si="5"/>
        <v>0</v>
      </c>
      <c r="R46" s="660">
        <f ca="1">SUM(R39:R45)</f>
        <v>78483.655835316546</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2.329324489274577</v>
      </c>
      <c r="D49" s="931">
        <f ca="1">transport!C58</f>
        <v>0</v>
      </c>
      <c r="E49" s="931">
        <f>transport!D58</f>
        <v>0</v>
      </c>
      <c r="F49" s="931">
        <f>transport!E58</f>
        <v>0</v>
      </c>
      <c r="G49" s="931">
        <f>transport!F58</f>
        <v>0</v>
      </c>
      <c r="H49" s="931">
        <f>transport!G58</f>
        <v>294.1391907617068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296.4685152509814</v>
      </c>
    </row>
    <row r="50" spans="1:18">
      <c r="A50" s="752" t="s">
        <v>295</v>
      </c>
      <c r="B50" s="762"/>
      <c r="C50" s="631">
        <f ca="1">transport!B18</f>
        <v>16.7498145003382</v>
      </c>
      <c r="D50" s="631">
        <f>transport!C18</f>
        <v>0</v>
      </c>
      <c r="E50" s="631">
        <f>transport!D18</f>
        <v>26.140119556879966</v>
      </c>
      <c r="F50" s="631">
        <f>transport!E18</f>
        <v>55.707697685071558</v>
      </c>
      <c r="G50" s="631">
        <f>transport!F18</f>
        <v>0</v>
      </c>
      <c r="H50" s="631">
        <f>transport!G18</f>
        <v>43608.49869753277</v>
      </c>
      <c r="I50" s="631">
        <f>transport!H18</f>
        <v>5679.7911507308254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49386.887480005884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19.079138989612776</v>
      </c>
      <c r="D52" s="660">
        <f t="shared" ref="D52:Q52" ca="1" si="6">SUM(D48:D51)</f>
        <v>0</v>
      </c>
      <c r="E52" s="660">
        <f t="shared" si="6"/>
        <v>26.140119556879966</v>
      </c>
      <c r="F52" s="660">
        <f t="shared" si="6"/>
        <v>55.707697685071558</v>
      </c>
      <c r="G52" s="660">
        <f t="shared" si="6"/>
        <v>0</v>
      </c>
      <c r="H52" s="660">
        <f t="shared" si="6"/>
        <v>43902.637888294477</v>
      </c>
      <c r="I52" s="660">
        <f t="shared" si="6"/>
        <v>5679.7911507308254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49683.355995256868</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1125.3441240052994</v>
      </c>
      <c r="D54" s="631">
        <f ca="1">+landbouw!C12</f>
        <v>14.340959609650309</v>
      </c>
      <c r="E54" s="631">
        <f>+landbouw!D12</f>
        <v>36.107359862288959</v>
      </c>
      <c r="F54" s="631">
        <f>+landbouw!E12</f>
        <v>41.737903592173083</v>
      </c>
      <c r="G54" s="631">
        <f>+landbouw!F12</f>
        <v>5580.7021074309205</v>
      </c>
      <c r="H54" s="631">
        <f>+landbouw!G12</f>
        <v>0</v>
      </c>
      <c r="I54" s="631">
        <f>+landbouw!H12</f>
        <v>0</v>
      </c>
      <c r="J54" s="631">
        <f>+landbouw!I12</f>
        <v>0</v>
      </c>
      <c r="K54" s="631">
        <f>+landbouw!J12</f>
        <v>527.45816335935683</v>
      </c>
      <c r="L54" s="631">
        <f>+landbouw!K12</f>
        <v>0</v>
      </c>
      <c r="M54" s="631">
        <f>+landbouw!L12</f>
        <v>0</v>
      </c>
      <c r="N54" s="631">
        <f>+landbouw!M12</f>
        <v>0</v>
      </c>
      <c r="O54" s="631">
        <f>+landbouw!N12</f>
        <v>0</v>
      </c>
      <c r="P54" s="631">
        <f>+landbouw!O12</f>
        <v>0</v>
      </c>
      <c r="Q54" s="632">
        <f>+landbouw!P12</f>
        <v>0</v>
      </c>
      <c r="R54" s="659">
        <f ca="1">SUM(C54:Q54)</f>
        <v>7325.6906178596892</v>
      </c>
    </row>
    <row r="55" spans="1:18" ht="15" thickBot="1">
      <c r="A55" s="752" t="s">
        <v>775</v>
      </c>
      <c r="B55" s="762"/>
      <c r="C55" s="631">
        <f ca="1">C25*'EF ele_warmte'!B12</f>
        <v>300.26823173111097</v>
      </c>
      <c r="D55" s="631"/>
      <c r="E55" s="631">
        <f>E25*EF_CO2_aardgas</f>
        <v>541.28187737224209</v>
      </c>
      <c r="F55" s="631"/>
      <c r="G55" s="631"/>
      <c r="H55" s="631"/>
      <c r="I55" s="631"/>
      <c r="J55" s="631"/>
      <c r="K55" s="631"/>
      <c r="L55" s="631"/>
      <c r="M55" s="631"/>
      <c r="N55" s="631"/>
      <c r="O55" s="631"/>
      <c r="P55" s="631"/>
      <c r="Q55" s="632"/>
      <c r="R55" s="659">
        <f ca="1">SUM(C55:Q55)</f>
        <v>841.55010910335307</v>
      </c>
    </row>
    <row r="56" spans="1:18" ht="15.75" thickBot="1">
      <c r="A56" s="750" t="s">
        <v>776</v>
      </c>
      <c r="B56" s="763"/>
      <c r="C56" s="660">
        <f ca="1">SUM(C54:C55)</f>
        <v>1425.6123557364103</v>
      </c>
      <c r="D56" s="660">
        <f t="shared" ref="D56:Q56" ca="1" si="7">SUM(D54:D55)</f>
        <v>14.340959609650309</v>
      </c>
      <c r="E56" s="660">
        <f t="shared" si="7"/>
        <v>577.38923723453104</v>
      </c>
      <c r="F56" s="660">
        <f t="shared" si="7"/>
        <v>41.737903592173083</v>
      </c>
      <c r="G56" s="660">
        <f t="shared" si="7"/>
        <v>5580.7021074309205</v>
      </c>
      <c r="H56" s="660">
        <f t="shared" si="7"/>
        <v>0</v>
      </c>
      <c r="I56" s="660">
        <f t="shared" si="7"/>
        <v>0</v>
      </c>
      <c r="J56" s="660">
        <f t="shared" si="7"/>
        <v>0</v>
      </c>
      <c r="K56" s="660">
        <f t="shared" si="7"/>
        <v>527.45816335935683</v>
      </c>
      <c r="L56" s="660">
        <f t="shared" si="7"/>
        <v>0</v>
      </c>
      <c r="M56" s="660">
        <f t="shared" si="7"/>
        <v>0</v>
      </c>
      <c r="N56" s="660">
        <f t="shared" si="7"/>
        <v>0</v>
      </c>
      <c r="O56" s="660">
        <f t="shared" si="7"/>
        <v>0</v>
      </c>
      <c r="P56" s="660">
        <f t="shared" si="7"/>
        <v>0</v>
      </c>
      <c r="Q56" s="661">
        <f t="shared" si="7"/>
        <v>0</v>
      </c>
      <c r="R56" s="662">
        <f ca="1">SUM(R54:R55)</f>
        <v>8167.2407269630421</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21547.674598661575</v>
      </c>
      <c r="D61" s="668">
        <f t="shared" ref="D61:Q61" ca="1" si="8">D46+D52+D56</f>
        <v>444.56974789915967</v>
      </c>
      <c r="E61" s="668">
        <f t="shared" ca="1" si="8"/>
        <v>48396.313284630793</v>
      </c>
      <c r="F61" s="668">
        <f t="shared" si="8"/>
        <v>705.18890479385334</v>
      </c>
      <c r="G61" s="668">
        <f t="shared" ca="1" si="8"/>
        <v>15063.099345123239</v>
      </c>
      <c r="H61" s="668">
        <f t="shared" si="8"/>
        <v>43902.637888294477</v>
      </c>
      <c r="I61" s="668">
        <f t="shared" si="8"/>
        <v>5679.7911507308254</v>
      </c>
      <c r="J61" s="668">
        <f t="shared" si="8"/>
        <v>0</v>
      </c>
      <c r="K61" s="668">
        <f t="shared" si="8"/>
        <v>594.97763740253311</v>
      </c>
      <c r="L61" s="668">
        <f t="shared" si="8"/>
        <v>0</v>
      </c>
      <c r="M61" s="668">
        <f t="shared" ca="1" si="8"/>
        <v>0</v>
      </c>
      <c r="N61" s="668">
        <f t="shared" si="8"/>
        <v>0</v>
      </c>
      <c r="O61" s="668">
        <f t="shared" ca="1" si="8"/>
        <v>0</v>
      </c>
      <c r="P61" s="668">
        <f t="shared" si="8"/>
        <v>0</v>
      </c>
      <c r="Q61" s="668">
        <f t="shared" si="8"/>
        <v>0</v>
      </c>
      <c r="R61" s="668">
        <f ca="1">R46+R52+R56</f>
        <v>136334.25255753644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0.19862745005091911</v>
      </c>
      <c r="D63" s="709">
        <f t="shared" ca="1" si="9"/>
        <v>0.22998102466793169</v>
      </c>
      <c r="E63" s="942">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11037.06317260327</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43.65</v>
      </c>
      <c r="C76" s="678">
        <f>'lokale energieproductie'!B8*IFERROR(SUM(D76:H76)/SUM(D76:O76),0)</f>
        <v>1309.5000000000002</v>
      </c>
      <c r="D76" s="952">
        <f>'lokale energieproductie'!C8</f>
        <v>1540.5882352941176</v>
      </c>
      <c r="E76" s="953">
        <f>'lokale energieproductie'!D8</f>
        <v>0</v>
      </c>
      <c r="F76" s="953">
        <f>'lokale energieproductie'!E8</f>
        <v>0</v>
      </c>
      <c r="G76" s="953">
        <f>'lokale energieproductie'!F8</f>
        <v>0</v>
      </c>
      <c r="H76" s="953">
        <f>'lokale energieproductie'!G8</f>
        <v>0</v>
      </c>
      <c r="I76" s="953">
        <f>'lokale energieproductie'!I8</f>
        <v>0</v>
      </c>
      <c r="J76" s="953">
        <f>'lokale energieproductie'!J8</f>
        <v>51.35294117647058</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311.19882352941175</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11080.713172603269</v>
      </c>
      <c r="C78" s="683">
        <f>SUM(C72:C77)</f>
        <v>1309.5000000000002</v>
      </c>
      <c r="D78" s="684">
        <f t="shared" ref="D78:H78" si="10">SUM(D76:D77)</f>
        <v>1540.5882352941176</v>
      </c>
      <c r="E78" s="684">
        <f t="shared" si="10"/>
        <v>0</v>
      </c>
      <c r="F78" s="684">
        <f t="shared" si="10"/>
        <v>0</v>
      </c>
      <c r="G78" s="684">
        <f t="shared" si="10"/>
        <v>0</v>
      </c>
      <c r="H78" s="684">
        <f t="shared" si="10"/>
        <v>0</v>
      </c>
      <c r="I78" s="684">
        <f>SUM(I76:I77)</f>
        <v>0</v>
      </c>
      <c r="J78" s="684">
        <f>SUM(J76:J77)</f>
        <v>51.35294117647058</v>
      </c>
      <c r="K78" s="684">
        <f t="shared" ref="K78:L78" si="11">SUM(K76:K77)</f>
        <v>0</v>
      </c>
      <c r="L78" s="684">
        <f t="shared" si="11"/>
        <v>0</v>
      </c>
      <c r="M78" s="684">
        <f>SUM(M76:M77)</f>
        <v>0</v>
      </c>
      <c r="N78" s="684">
        <f>SUM(N76:N77)</f>
        <v>0</v>
      </c>
      <c r="O78" s="787">
        <f>SUM(O76:O77)</f>
        <v>0</v>
      </c>
      <c r="P78" s="685">
        <v>0</v>
      </c>
      <c r="Q78" s="685">
        <f>SUM(Q76:Q77)</f>
        <v>311.19882352941175</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62.357142857142847</v>
      </c>
      <c r="C87" s="694">
        <f>'lokale energieproductie'!B17*IFERROR(SUM(D87:H87)/SUM(D87:O87),0)</f>
        <v>1870.7142857142858</v>
      </c>
      <c r="D87" s="705">
        <f>'lokale energieproductie'!C17</f>
        <v>2200.8403361344535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444.56974789915967</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62.357142857142847</v>
      </c>
      <c r="C90" s="683">
        <f>SUM(C87:C89)</f>
        <v>1870.7142857142858</v>
      </c>
      <c r="D90" s="683">
        <f t="shared" ref="D90:H90" si="12">SUM(D87:D89)</f>
        <v>2200.8403361344535</v>
      </c>
      <c r="E90" s="683">
        <f t="shared" si="12"/>
        <v>0</v>
      </c>
      <c r="F90" s="683">
        <f t="shared" si="12"/>
        <v>0</v>
      </c>
      <c r="G90" s="683">
        <f t="shared" si="12"/>
        <v>0</v>
      </c>
      <c r="H90" s="683">
        <f t="shared" si="12"/>
        <v>0</v>
      </c>
      <c r="I90" s="683">
        <f>SUM(I87:I89)</f>
        <v>0</v>
      </c>
      <c r="J90" s="683">
        <f>SUM(J87:J89)</f>
        <v>73.3613445378151</v>
      </c>
      <c r="K90" s="683">
        <f t="shared" ref="K90:L90" si="13">SUM(K87:K89)</f>
        <v>0</v>
      </c>
      <c r="L90" s="683">
        <f t="shared" si="13"/>
        <v>0</v>
      </c>
      <c r="M90" s="683">
        <f>SUM(M87:M89)</f>
        <v>0</v>
      </c>
      <c r="N90" s="683">
        <f>SUM(N87:N89)</f>
        <v>0</v>
      </c>
      <c r="O90" s="683">
        <f>SUM(O87:O89)</f>
        <v>0</v>
      </c>
      <c r="P90" s="683">
        <v>0</v>
      </c>
      <c r="Q90" s="683">
        <f>SUM(Q87:Q89)</f>
        <v>444.56974789915967</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19142.919150105001</v>
      </c>
      <c r="C4" s="441">
        <f>huishoudens!C8</f>
        <v>0</v>
      </c>
      <c r="D4" s="441">
        <f>huishoudens!D8</f>
        <v>47948.73951074553</v>
      </c>
      <c r="E4" s="441">
        <f>huishoudens!E8</f>
        <v>889.92364042446832</v>
      </c>
      <c r="F4" s="441">
        <f>huishoudens!F8</f>
        <v>20627.737610029508</v>
      </c>
      <c r="G4" s="441">
        <f>huishoudens!G8</f>
        <v>0</v>
      </c>
      <c r="H4" s="441">
        <f>huishoudens!H8</f>
        <v>0</v>
      </c>
      <c r="I4" s="441">
        <f>huishoudens!I8</f>
        <v>0</v>
      </c>
      <c r="J4" s="441">
        <f>huishoudens!J8</f>
        <v>106.0084011818488</v>
      </c>
      <c r="K4" s="441">
        <f>huishoudens!K8</f>
        <v>0</v>
      </c>
      <c r="L4" s="441">
        <f>huishoudens!L8</f>
        <v>0</v>
      </c>
      <c r="M4" s="441">
        <f>huishoudens!M8</f>
        <v>0</v>
      </c>
      <c r="N4" s="441">
        <f>huishoudens!N8</f>
        <v>6818.8859788283189</v>
      </c>
      <c r="O4" s="441">
        <f>huishoudens!O8</f>
        <v>392.3966666666667</v>
      </c>
      <c r="P4" s="442">
        <f>huishoudens!P8</f>
        <v>400.4</v>
      </c>
      <c r="Q4" s="443">
        <f>SUM(B4:P4)</f>
        <v>96327.010957981343</v>
      </c>
    </row>
    <row r="5" spans="1:17">
      <c r="A5" s="440" t="s">
        <v>149</v>
      </c>
      <c r="B5" s="441">
        <f ca="1">tertiair!B16</f>
        <v>26986.304901902542</v>
      </c>
      <c r="C5" s="441">
        <f ca="1">tertiair!C16</f>
        <v>1870.7142857142858</v>
      </c>
      <c r="D5" s="441">
        <f ca="1">tertiair!D16</f>
        <v>27298.231968065618</v>
      </c>
      <c r="E5" s="441">
        <f>tertiair!E16</f>
        <v>389.17363786473589</v>
      </c>
      <c r="F5" s="441">
        <f ca="1">tertiair!F16</f>
        <v>4142.044960762114</v>
      </c>
      <c r="G5" s="441">
        <f>tertiair!G16</f>
        <v>0</v>
      </c>
      <c r="H5" s="441">
        <f>tertiair!H16</f>
        <v>0</v>
      </c>
      <c r="I5" s="441">
        <f>tertiair!I16</f>
        <v>0</v>
      </c>
      <c r="J5" s="441">
        <f>tertiair!J16</f>
        <v>2.837104321695675E-2</v>
      </c>
      <c r="K5" s="441">
        <f>tertiair!K16</f>
        <v>0</v>
      </c>
      <c r="L5" s="441">
        <f ca="1">tertiair!L16</f>
        <v>0</v>
      </c>
      <c r="M5" s="441">
        <f>tertiair!M16</f>
        <v>0</v>
      </c>
      <c r="N5" s="441">
        <f ca="1">tertiair!N16</f>
        <v>1187.7916535505017</v>
      </c>
      <c r="O5" s="441">
        <f>tertiair!O16</f>
        <v>10.943333333333335</v>
      </c>
      <c r="P5" s="442">
        <f>tertiair!P16</f>
        <v>38.133333333333333</v>
      </c>
      <c r="Q5" s="440">
        <f t="shared" ref="Q5:Q14" ca="1" si="0">SUM(B5:P5)</f>
        <v>61923.366445569678</v>
      </c>
    </row>
    <row r="6" spans="1:17">
      <c r="A6" s="440" t="s">
        <v>187</v>
      </c>
      <c r="B6" s="441">
        <f>'openbare verlichting'!B8</f>
        <v>925.74300000000005</v>
      </c>
      <c r="C6" s="441"/>
      <c r="D6" s="441"/>
      <c r="E6" s="441"/>
      <c r="F6" s="441"/>
      <c r="G6" s="441"/>
      <c r="H6" s="441"/>
      <c r="I6" s="441"/>
      <c r="J6" s="441"/>
      <c r="K6" s="441"/>
      <c r="L6" s="441"/>
      <c r="M6" s="441"/>
      <c r="N6" s="441"/>
      <c r="O6" s="441"/>
      <c r="P6" s="442"/>
      <c r="Q6" s="440">
        <f t="shared" si="0"/>
        <v>925.74300000000005</v>
      </c>
    </row>
    <row r="7" spans="1:17">
      <c r="A7" s="440" t="s">
        <v>105</v>
      </c>
      <c r="B7" s="441">
        <f>landbouw!B8</f>
        <v>5665.6022302899819</v>
      </c>
      <c r="C7" s="441">
        <f>landbouw!C8</f>
        <v>62.357142857142847</v>
      </c>
      <c r="D7" s="441">
        <f>landbouw!D8</f>
        <v>178.74930624895524</v>
      </c>
      <c r="E7" s="441">
        <f>landbouw!E8</f>
        <v>183.86741670560829</v>
      </c>
      <c r="F7" s="441">
        <f>landbouw!F8</f>
        <v>20901.506020340526</v>
      </c>
      <c r="G7" s="441">
        <f>landbouw!G8</f>
        <v>0</v>
      </c>
      <c r="H7" s="441">
        <f>landbouw!H8</f>
        <v>0</v>
      </c>
      <c r="I7" s="441">
        <f>landbouw!I8</f>
        <v>0</v>
      </c>
      <c r="J7" s="441">
        <f>landbouw!J8</f>
        <v>1489.9948117495958</v>
      </c>
      <c r="K7" s="441">
        <f>landbouw!K8</f>
        <v>0</v>
      </c>
      <c r="L7" s="441">
        <f>landbouw!L8</f>
        <v>0</v>
      </c>
      <c r="M7" s="441">
        <f>landbouw!M8</f>
        <v>0</v>
      </c>
      <c r="N7" s="441">
        <f>landbouw!N8</f>
        <v>0</v>
      </c>
      <c r="O7" s="441">
        <f>landbouw!O8</f>
        <v>0</v>
      </c>
      <c r="P7" s="442">
        <f>landbouw!P8</f>
        <v>0</v>
      </c>
      <c r="Q7" s="440">
        <f t="shared" si="0"/>
        <v>28482.076928191811</v>
      </c>
    </row>
    <row r="8" spans="1:17">
      <c r="A8" s="440" t="s">
        <v>596</v>
      </c>
      <c r="B8" s="441">
        <f>industrie!B18</f>
        <v>54154.523875767321</v>
      </c>
      <c r="C8" s="441">
        <f>industrie!C18</f>
        <v>0</v>
      </c>
      <c r="D8" s="441">
        <f>industrie!D18</f>
        <v>161350.96875801744</v>
      </c>
      <c r="E8" s="441">
        <f>industrie!E18</f>
        <v>1398.1859971143581</v>
      </c>
      <c r="F8" s="441">
        <f>industrie!F18</f>
        <v>10744.813825059759</v>
      </c>
      <c r="G8" s="441">
        <f>industrie!G18</f>
        <v>0</v>
      </c>
      <c r="H8" s="441">
        <f>industrie!H18</f>
        <v>0</v>
      </c>
      <c r="I8" s="441">
        <f>industrie!I18</f>
        <v>0</v>
      </c>
      <c r="J8" s="441">
        <f>industrie!J18</f>
        <v>84.69620529803116</v>
      </c>
      <c r="K8" s="441">
        <f>industrie!K18</f>
        <v>0</v>
      </c>
      <c r="L8" s="441">
        <f>industrie!L18</f>
        <v>0</v>
      </c>
      <c r="M8" s="441">
        <f>industrie!M18</f>
        <v>0</v>
      </c>
      <c r="N8" s="441">
        <f>industrie!N18</f>
        <v>1609.5395346197299</v>
      </c>
      <c r="O8" s="441">
        <f>industrie!O18</f>
        <v>0</v>
      </c>
      <c r="P8" s="442">
        <f>industrie!P18</f>
        <v>0</v>
      </c>
      <c r="Q8" s="440">
        <f t="shared" si="0"/>
        <v>229342.72819587667</v>
      </c>
    </row>
    <row r="9" spans="1:17" s="446" customFormat="1">
      <c r="A9" s="444" t="s">
        <v>545</v>
      </c>
      <c r="B9" s="445">
        <f>transport!B14</f>
        <v>84.327793041919961</v>
      </c>
      <c r="C9" s="445">
        <f>transport!C14</f>
        <v>0</v>
      </c>
      <c r="D9" s="445">
        <f>transport!D14</f>
        <v>129.40653245980181</v>
      </c>
      <c r="E9" s="445">
        <f>transport!E14</f>
        <v>245.4083598461302</v>
      </c>
      <c r="F9" s="445">
        <f>transport!F14</f>
        <v>0</v>
      </c>
      <c r="G9" s="445">
        <f>transport!G14</f>
        <v>163327.71047765081</v>
      </c>
      <c r="H9" s="445">
        <f>transport!H14</f>
        <v>22810.406227834639</v>
      </c>
      <c r="I9" s="445">
        <f>transport!I14</f>
        <v>0</v>
      </c>
      <c r="J9" s="445">
        <f>transport!J14</f>
        <v>0</v>
      </c>
      <c r="K9" s="445">
        <f>transport!K14</f>
        <v>0</v>
      </c>
      <c r="L9" s="445">
        <f>transport!L14</f>
        <v>0</v>
      </c>
      <c r="M9" s="445">
        <f>transport!M14</f>
        <v>10214.016804483233</v>
      </c>
      <c r="N9" s="445">
        <f>transport!N14</f>
        <v>0</v>
      </c>
      <c r="O9" s="445">
        <f>transport!O14</f>
        <v>0</v>
      </c>
      <c r="P9" s="445">
        <f>transport!P14</f>
        <v>0</v>
      </c>
      <c r="Q9" s="444">
        <f>SUM(B9:P9)</f>
        <v>196811.27619531652</v>
      </c>
    </row>
    <row r="10" spans="1:17">
      <c r="A10" s="440" t="s">
        <v>535</v>
      </c>
      <c r="B10" s="441">
        <f>transport!B54</f>
        <v>11.72710261687115</v>
      </c>
      <c r="C10" s="441">
        <f>transport!C54</f>
        <v>0</v>
      </c>
      <c r="D10" s="441">
        <f>transport!D54</f>
        <v>0</v>
      </c>
      <c r="E10" s="441">
        <f>transport!E54</f>
        <v>0</v>
      </c>
      <c r="F10" s="441">
        <f>transport!F54</f>
        <v>0</v>
      </c>
      <c r="G10" s="441">
        <f>transport!G54</f>
        <v>1101.6449092198757</v>
      </c>
      <c r="H10" s="441">
        <f>transport!H54</f>
        <v>0</v>
      </c>
      <c r="I10" s="441">
        <f>transport!I54</f>
        <v>0</v>
      </c>
      <c r="J10" s="441">
        <f>transport!J54</f>
        <v>0</v>
      </c>
      <c r="K10" s="441">
        <f>transport!K54</f>
        <v>0</v>
      </c>
      <c r="L10" s="441">
        <f>transport!L54</f>
        <v>0</v>
      </c>
      <c r="M10" s="441">
        <f>transport!M54</f>
        <v>63.440422650160876</v>
      </c>
      <c r="N10" s="441">
        <f>transport!N54</f>
        <v>0</v>
      </c>
      <c r="O10" s="441">
        <f>transport!O54</f>
        <v>0</v>
      </c>
      <c r="P10" s="442">
        <f>transport!P54</f>
        <v>0</v>
      </c>
      <c r="Q10" s="440">
        <f t="shared" si="0"/>
        <v>1176.8124344869077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1511.7156850885199</v>
      </c>
      <c r="C14" s="448"/>
      <c r="D14" s="448">
        <f>'SEAP template'!E25</f>
        <v>2679.6132543180302</v>
      </c>
      <c r="E14" s="448"/>
      <c r="F14" s="448"/>
      <c r="G14" s="448"/>
      <c r="H14" s="448"/>
      <c r="I14" s="448"/>
      <c r="J14" s="448"/>
      <c r="K14" s="448"/>
      <c r="L14" s="448"/>
      <c r="M14" s="448"/>
      <c r="N14" s="448"/>
      <c r="O14" s="448"/>
      <c r="P14" s="449"/>
      <c r="Q14" s="440">
        <f t="shared" si="0"/>
        <v>4191.3289394065505</v>
      </c>
    </row>
    <row r="15" spans="1:17" s="450" customFormat="1">
      <c r="A15" s="957" t="s">
        <v>539</v>
      </c>
      <c r="B15" s="905">
        <f ca="1">SUM(B4:B14)</f>
        <v>108482.86373881216</v>
      </c>
      <c r="C15" s="905">
        <f t="shared" ref="C15:Q15" ca="1" si="1">SUM(C4:C14)</f>
        <v>1933.0714285714287</v>
      </c>
      <c r="D15" s="905">
        <f t="shared" ca="1" si="1"/>
        <v>239585.7093298554</v>
      </c>
      <c r="E15" s="905">
        <f t="shared" si="1"/>
        <v>3106.5590519553007</v>
      </c>
      <c r="F15" s="905">
        <f t="shared" ca="1" si="1"/>
        <v>56416.102416191905</v>
      </c>
      <c r="G15" s="905">
        <f t="shared" si="1"/>
        <v>164429.35538687068</v>
      </c>
      <c r="H15" s="905">
        <f t="shared" si="1"/>
        <v>22810.406227834639</v>
      </c>
      <c r="I15" s="905">
        <f t="shared" si="1"/>
        <v>0</v>
      </c>
      <c r="J15" s="905">
        <f t="shared" si="1"/>
        <v>1680.7277892726927</v>
      </c>
      <c r="K15" s="905">
        <f t="shared" si="1"/>
        <v>0</v>
      </c>
      <c r="L15" s="905">
        <f t="shared" ca="1" si="1"/>
        <v>0</v>
      </c>
      <c r="M15" s="905">
        <f t="shared" si="1"/>
        <v>10277.457227133395</v>
      </c>
      <c r="N15" s="905">
        <f t="shared" ca="1" si="1"/>
        <v>9616.217166998551</v>
      </c>
      <c r="O15" s="905">
        <f t="shared" si="1"/>
        <v>403.34000000000003</v>
      </c>
      <c r="P15" s="905">
        <f t="shared" si="1"/>
        <v>438.5333333333333</v>
      </c>
      <c r="Q15" s="905">
        <f t="shared" ca="1" si="1"/>
        <v>619180.34309682949</v>
      </c>
    </row>
    <row r="17" spans="1:17">
      <c r="A17" s="451" t="s">
        <v>540</v>
      </c>
      <c r="B17" s="714">
        <f ca="1">huishoudens!B10</f>
        <v>0.19862745005091911</v>
      </c>
      <c r="C17" s="714">
        <f ca="1">huishoudens!C10</f>
        <v>0.22998102466793169</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3802.309217316264</v>
      </c>
      <c r="C22" s="441">
        <f t="shared" ref="C22:C32" ca="1" si="3">C4*$C$17</f>
        <v>0</v>
      </c>
      <c r="D22" s="441">
        <f t="shared" ref="D22:D32" si="4">D4*$D$17</f>
        <v>9685.6453811705978</v>
      </c>
      <c r="E22" s="441">
        <f t="shared" ref="E22:E32" si="5">E4*$E$17</f>
        <v>202.0126663763543</v>
      </c>
      <c r="F22" s="441">
        <f t="shared" ref="F22:F32" si="6">F4*$F$17</f>
        <v>5507.6059418778786</v>
      </c>
      <c r="G22" s="441">
        <f t="shared" ref="G22:G32" si="7">G4*$G$17</f>
        <v>0</v>
      </c>
      <c r="H22" s="441">
        <f t="shared" ref="H22:H32" si="8">H4*$H$17</f>
        <v>0</v>
      </c>
      <c r="I22" s="441">
        <f t="shared" ref="I22:I32" si="9">I4*$I$17</f>
        <v>0</v>
      </c>
      <c r="J22" s="441">
        <f t="shared" ref="J22:J32" si="10">J4*$J$17</f>
        <v>37.526974018374474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19235.100180759469</v>
      </c>
    </row>
    <row r="23" spans="1:17">
      <c r="A23" s="440" t="s">
        <v>149</v>
      </c>
      <c r="B23" s="441">
        <f t="shared" ca="1" si="2"/>
        <v>5360.2209289615212</v>
      </c>
      <c r="C23" s="441">
        <f t="shared" ca="1" si="3"/>
        <v>430.22878828950934</v>
      </c>
      <c r="D23" s="441">
        <f t="shared" ca="1" si="4"/>
        <v>5514.2428575492549</v>
      </c>
      <c r="E23" s="441">
        <f t="shared" si="5"/>
        <v>88.342415795295054</v>
      </c>
      <c r="F23" s="441">
        <f t="shared" ca="1" si="6"/>
        <v>1105.9260045234846</v>
      </c>
      <c r="G23" s="441">
        <f t="shared" si="7"/>
        <v>0</v>
      </c>
      <c r="H23" s="441">
        <f t="shared" si="8"/>
        <v>0</v>
      </c>
      <c r="I23" s="441">
        <f t="shared" si="9"/>
        <v>0</v>
      </c>
      <c r="J23" s="441">
        <f t="shared" si="10"/>
        <v>1.0043349298802689E-2</v>
      </c>
      <c r="K23" s="441">
        <f t="shared" si="11"/>
        <v>0</v>
      </c>
      <c r="L23" s="441">
        <f t="shared" ca="1" si="12"/>
        <v>0</v>
      </c>
      <c r="M23" s="441">
        <f t="shared" si="13"/>
        <v>0</v>
      </c>
      <c r="N23" s="441">
        <f t="shared" ca="1" si="14"/>
        <v>0</v>
      </c>
      <c r="O23" s="441">
        <f t="shared" si="15"/>
        <v>0</v>
      </c>
      <c r="P23" s="442">
        <f t="shared" si="16"/>
        <v>0</v>
      </c>
      <c r="Q23" s="440">
        <f t="shared" ref="Q23:Q32" ca="1" si="17">SUM(B23:P23)</f>
        <v>12498.971038468366</v>
      </c>
    </row>
    <row r="24" spans="1:17">
      <c r="A24" s="440" t="s">
        <v>187</v>
      </c>
      <c r="B24" s="441">
        <f t="shared" ca="1" si="2"/>
        <v>183.87797149248803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183.87797149248803</v>
      </c>
    </row>
    <row r="25" spans="1:17">
      <c r="A25" s="440" t="s">
        <v>105</v>
      </c>
      <c r="B25" s="441">
        <f t="shared" ca="1" si="2"/>
        <v>1125.3441240052994</v>
      </c>
      <c r="C25" s="441">
        <f t="shared" ca="1" si="3"/>
        <v>14.340959609650309</v>
      </c>
      <c r="D25" s="441">
        <f t="shared" si="4"/>
        <v>36.107359862288959</v>
      </c>
      <c r="E25" s="441">
        <f t="shared" si="5"/>
        <v>41.737903592173083</v>
      </c>
      <c r="F25" s="441">
        <f t="shared" si="6"/>
        <v>5580.7021074309205</v>
      </c>
      <c r="G25" s="441">
        <f t="shared" si="7"/>
        <v>0</v>
      </c>
      <c r="H25" s="441">
        <f t="shared" si="8"/>
        <v>0</v>
      </c>
      <c r="I25" s="441">
        <f t="shared" si="9"/>
        <v>0</v>
      </c>
      <c r="J25" s="441">
        <f t="shared" si="10"/>
        <v>527.45816335935683</v>
      </c>
      <c r="K25" s="441">
        <f t="shared" si="11"/>
        <v>0</v>
      </c>
      <c r="L25" s="441">
        <f t="shared" si="12"/>
        <v>0</v>
      </c>
      <c r="M25" s="441">
        <f t="shared" si="13"/>
        <v>0</v>
      </c>
      <c r="N25" s="441">
        <f t="shared" si="14"/>
        <v>0</v>
      </c>
      <c r="O25" s="441">
        <f t="shared" si="15"/>
        <v>0</v>
      </c>
      <c r="P25" s="442">
        <f t="shared" si="16"/>
        <v>0</v>
      </c>
      <c r="Q25" s="440">
        <f t="shared" ca="1" si="17"/>
        <v>7325.6906178596892</v>
      </c>
    </row>
    <row r="26" spans="1:17">
      <c r="A26" s="440" t="s">
        <v>596</v>
      </c>
      <c r="B26" s="441">
        <f t="shared" ca="1" si="2"/>
        <v>10756.57498616528</v>
      </c>
      <c r="C26" s="441">
        <f t="shared" ca="1" si="3"/>
        <v>0</v>
      </c>
      <c r="D26" s="441">
        <f t="shared" si="4"/>
        <v>32592.895689119523</v>
      </c>
      <c r="E26" s="441">
        <f t="shared" si="5"/>
        <v>317.38822134495928</v>
      </c>
      <c r="F26" s="441">
        <f t="shared" si="6"/>
        <v>2868.8652912909556</v>
      </c>
      <c r="G26" s="441">
        <f t="shared" si="7"/>
        <v>0</v>
      </c>
      <c r="H26" s="441">
        <f t="shared" si="8"/>
        <v>0</v>
      </c>
      <c r="I26" s="441">
        <f t="shared" si="9"/>
        <v>0</v>
      </c>
      <c r="J26" s="441">
        <f t="shared" si="10"/>
        <v>29.98245667550303</v>
      </c>
      <c r="K26" s="441">
        <f t="shared" si="11"/>
        <v>0</v>
      </c>
      <c r="L26" s="441">
        <f t="shared" si="12"/>
        <v>0</v>
      </c>
      <c r="M26" s="441">
        <f t="shared" si="13"/>
        <v>0</v>
      </c>
      <c r="N26" s="441">
        <f t="shared" si="14"/>
        <v>0</v>
      </c>
      <c r="O26" s="441">
        <f t="shared" si="15"/>
        <v>0</v>
      </c>
      <c r="P26" s="442">
        <f t="shared" si="16"/>
        <v>0</v>
      </c>
      <c r="Q26" s="440">
        <f t="shared" ca="1" si="17"/>
        <v>46565.706644596219</v>
      </c>
    </row>
    <row r="27" spans="1:17" s="446" customFormat="1">
      <c r="A27" s="444" t="s">
        <v>545</v>
      </c>
      <c r="B27" s="708">
        <f t="shared" ca="1" si="2"/>
        <v>16.7498145003382</v>
      </c>
      <c r="C27" s="445">
        <f t="shared" ca="1" si="3"/>
        <v>0</v>
      </c>
      <c r="D27" s="445">
        <f t="shared" si="4"/>
        <v>26.140119556879966</v>
      </c>
      <c r="E27" s="445">
        <f t="shared" si="5"/>
        <v>55.707697685071558</v>
      </c>
      <c r="F27" s="445">
        <f t="shared" si="6"/>
        <v>0</v>
      </c>
      <c r="G27" s="445">
        <f t="shared" si="7"/>
        <v>43608.49869753277</v>
      </c>
      <c r="H27" s="445">
        <f t="shared" si="8"/>
        <v>5679.7911507308254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49386.887480005884</v>
      </c>
    </row>
    <row r="28" spans="1:17">
      <c r="A28" s="440" t="s">
        <v>535</v>
      </c>
      <c r="B28" s="441">
        <f t="shared" ca="1" si="2"/>
        <v>2.329324489274577</v>
      </c>
      <c r="C28" s="441">
        <f t="shared" ca="1" si="3"/>
        <v>0</v>
      </c>
      <c r="D28" s="441">
        <f t="shared" si="4"/>
        <v>0</v>
      </c>
      <c r="E28" s="441">
        <f t="shared" si="5"/>
        <v>0</v>
      </c>
      <c r="F28" s="441">
        <f t="shared" si="6"/>
        <v>0</v>
      </c>
      <c r="G28" s="441">
        <f t="shared" si="7"/>
        <v>294.1391907617068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296.4685152509814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300.26823173111097</v>
      </c>
      <c r="C32" s="441">
        <f t="shared" ca="1" si="3"/>
        <v>0</v>
      </c>
      <c r="D32" s="441">
        <f t="shared" si="4"/>
        <v>541.28187737224209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841.55010910335307</v>
      </c>
    </row>
    <row r="33" spans="1:17" s="450" customFormat="1">
      <c r="A33" s="957" t="s">
        <v>539</v>
      </c>
      <c r="B33" s="905">
        <f ca="1">SUM(B22:B32)</f>
        <v>21547.674598661579</v>
      </c>
      <c r="C33" s="905">
        <f t="shared" ref="C33:Q33" ca="1" si="18">SUM(C22:C32)</f>
        <v>444.56974789915967</v>
      </c>
      <c r="D33" s="905">
        <f t="shared" ca="1" si="18"/>
        <v>48396.313284630793</v>
      </c>
      <c r="E33" s="905">
        <f t="shared" si="18"/>
        <v>705.18890479385334</v>
      </c>
      <c r="F33" s="905">
        <f t="shared" ca="1" si="18"/>
        <v>15063.099345123239</v>
      </c>
      <c r="G33" s="905">
        <f t="shared" si="18"/>
        <v>43902.637888294477</v>
      </c>
      <c r="H33" s="905">
        <f t="shared" si="18"/>
        <v>5679.7911507308254</v>
      </c>
      <c r="I33" s="905">
        <f t="shared" si="18"/>
        <v>0</v>
      </c>
      <c r="J33" s="905">
        <f t="shared" si="18"/>
        <v>594.97763740253311</v>
      </c>
      <c r="K33" s="905">
        <f t="shared" si="18"/>
        <v>0</v>
      </c>
      <c r="L33" s="905">
        <f t="shared" ca="1" si="18"/>
        <v>0</v>
      </c>
      <c r="M33" s="905">
        <f t="shared" si="18"/>
        <v>0</v>
      </c>
      <c r="N33" s="905">
        <f t="shared" ca="1" si="18"/>
        <v>0</v>
      </c>
      <c r="O33" s="905">
        <f t="shared" si="18"/>
        <v>0</v>
      </c>
      <c r="P33" s="905">
        <f t="shared" si="18"/>
        <v>0</v>
      </c>
      <c r="Q33" s="905">
        <f t="shared" ca="1" si="18"/>
        <v>136334.25255753644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11037.06317260327</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43.65</v>
      </c>
      <c r="C8" s="974">
        <f>'SEAP template'!C76</f>
        <v>1309.5000000000002</v>
      </c>
      <c r="D8" s="974">
        <f>'SEAP template'!D76</f>
        <v>1540.5882352941176</v>
      </c>
      <c r="E8" s="974">
        <f>'SEAP template'!E76</f>
        <v>0</v>
      </c>
      <c r="F8" s="974">
        <f>'SEAP template'!F76</f>
        <v>0</v>
      </c>
      <c r="G8" s="974">
        <f>'SEAP template'!G76</f>
        <v>0</v>
      </c>
      <c r="H8" s="974">
        <f>'SEAP template'!H76</f>
        <v>0</v>
      </c>
      <c r="I8" s="974">
        <f>'SEAP template'!I76</f>
        <v>0</v>
      </c>
      <c r="J8" s="974">
        <f>'SEAP template'!J76</f>
        <v>51.35294117647058</v>
      </c>
      <c r="K8" s="974">
        <f>'SEAP template'!K76</f>
        <v>0</v>
      </c>
      <c r="L8" s="974">
        <f>'SEAP template'!L76</f>
        <v>0</v>
      </c>
      <c r="M8" s="974">
        <f>'SEAP template'!M76</f>
        <v>0</v>
      </c>
      <c r="N8" s="974">
        <f>'SEAP template'!N76</f>
        <v>0</v>
      </c>
      <c r="O8" s="974">
        <f>'SEAP template'!O76</f>
        <v>0</v>
      </c>
      <c r="P8" s="975">
        <f>'SEAP template'!Q76</f>
        <v>311.19882352941175</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11080.713172603269</v>
      </c>
      <c r="C10" s="978">
        <f>SUM(C4:C9)</f>
        <v>1309.5000000000002</v>
      </c>
      <c r="D10" s="978">
        <f t="shared" ref="D10:H10" si="0">SUM(D8:D9)</f>
        <v>1540.5882352941176</v>
      </c>
      <c r="E10" s="978">
        <f t="shared" si="0"/>
        <v>0</v>
      </c>
      <c r="F10" s="978">
        <f t="shared" si="0"/>
        <v>0</v>
      </c>
      <c r="G10" s="978">
        <f t="shared" si="0"/>
        <v>0</v>
      </c>
      <c r="H10" s="978">
        <f t="shared" si="0"/>
        <v>0</v>
      </c>
      <c r="I10" s="978">
        <f>SUM(I8:I9)</f>
        <v>0</v>
      </c>
      <c r="J10" s="978">
        <f>SUM(J8:J9)</f>
        <v>51.35294117647058</v>
      </c>
      <c r="K10" s="978">
        <f t="shared" ref="K10:L10" si="1">SUM(K8:K9)</f>
        <v>0</v>
      </c>
      <c r="L10" s="978">
        <f t="shared" si="1"/>
        <v>0</v>
      </c>
      <c r="M10" s="978">
        <f>SUM(M8:M9)</f>
        <v>0</v>
      </c>
      <c r="N10" s="978">
        <f>SUM(N8:N9)</f>
        <v>0</v>
      </c>
      <c r="O10" s="978">
        <f>SUM(O8:O9)</f>
        <v>0</v>
      </c>
      <c r="P10" s="978">
        <f>SUM(P8:P9)</f>
        <v>311.19882352941175</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0.19862745005091911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62.357142857142847</v>
      </c>
      <c r="C17" s="980">
        <f>'SEAP template'!C87</f>
        <v>1870.7142857142858</v>
      </c>
      <c r="D17" s="975">
        <f>'SEAP template'!D87</f>
        <v>2200.8403361344535</v>
      </c>
      <c r="E17" s="975">
        <f>'SEAP template'!E87</f>
        <v>0</v>
      </c>
      <c r="F17" s="975">
        <f>'SEAP template'!F87</f>
        <v>0</v>
      </c>
      <c r="G17" s="975">
        <f>'SEAP template'!G87</f>
        <v>0</v>
      </c>
      <c r="H17" s="975">
        <f>'SEAP template'!H87</f>
        <v>0</v>
      </c>
      <c r="I17" s="975">
        <f>'SEAP template'!I87</f>
        <v>0</v>
      </c>
      <c r="J17" s="975">
        <f>'SEAP template'!J87</f>
        <v>73.3613445378151</v>
      </c>
      <c r="K17" s="975">
        <f>'SEAP template'!K87</f>
        <v>0</v>
      </c>
      <c r="L17" s="975">
        <f>'SEAP template'!L87</f>
        <v>0</v>
      </c>
      <c r="M17" s="975">
        <f>'SEAP template'!M87</f>
        <v>0</v>
      </c>
      <c r="N17" s="975">
        <f>'SEAP template'!N87</f>
        <v>0</v>
      </c>
      <c r="O17" s="975">
        <f>'SEAP template'!O87</f>
        <v>0</v>
      </c>
      <c r="P17" s="975">
        <f>'SEAP template'!Q87</f>
        <v>444.56974789915967</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62.357142857142847</v>
      </c>
      <c r="C20" s="978">
        <f>SUM(C17:C19)</f>
        <v>1870.7142857142858</v>
      </c>
      <c r="D20" s="978">
        <f t="shared" ref="D20:H20" si="2">SUM(D17:D19)</f>
        <v>2200.8403361344535</v>
      </c>
      <c r="E20" s="978">
        <f t="shared" si="2"/>
        <v>0</v>
      </c>
      <c r="F20" s="978">
        <f t="shared" si="2"/>
        <v>0</v>
      </c>
      <c r="G20" s="978">
        <f t="shared" si="2"/>
        <v>0</v>
      </c>
      <c r="H20" s="978">
        <f t="shared" si="2"/>
        <v>0</v>
      </c>
      <c r="I20" s="978">
        <f>SUM(I17:I19)</f>
        <v>0</v>
      </c>
      <c r="J20" s="978">
        <f>SUM(J17:J19)</f>
        <v>73.3613445378151</v>
      </c>
      <c r="K20" s="978">
        <f t="shared" ref="K20:L20" si="3">SUM(K17:K19)</f>
        <v>0</v>
      </c>
      <c r="L20" s="978">
        <f t="shared" si="3"/>
        <v>0</v>
      </c>
      <c r="M20" s="978">
        <f>SUM(M17:M19)</f>
        <v>0</v>
      </c>
      <c r="N20" s="978">
        <f>SUM(N17:N19)</f>
        <v>0</v>
      </c>
      <c r="O20" s="978">
        <f>SUM(O17:O19)</f>
        <v>0</v>
      </c>
      <c r="P20" s="978">
        <f>SUM(P17:P19)</f>
        <v>444.56974789915967</v>
      </c>
    </row>
    <row r="22" spans="1:16">
      <c r="A22" s="451" t="s">
        <v>800</v>
      </c>
      <c r="B22" s="714" t="s">
        <v>794</v>
      </c>
      <c r="C22" s="714">
        <f ca="1">'EF ele_warmte'!B22</f>
        <v>0.22998102466793169</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0.19862745005091911</v>
      </c>
      <c r="C17" s="488">
        <f ca="1">'EF ele_warmte'!B22</f>
        <v>0.22998102466793169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1</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19.066666666666666</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2022-07-26T10:45:59Z</dcterms:modified>
</cp:coreProperties>
</file>