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15C650B-B89D-43A4-8B2B-9DF894FFB9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Q40" i="18"/>
  <c r="R40" i="18"/>
  <c r="J9" i="18"/>
  <c r="J77" i="14"/>
  <c r="J9" i="61"/>
  <c r="U40" i="18"/>
  <c r="T40" i="18"/>
  <c r="I9" i="18"/>
  <c r="S40" i="18"/>
  <c r="E9" i="18"/>
  <c r="P40" i="18"/>
  <c r="C9" i="18"/>
  <c r="O40" i="18"/>
  <c r="N40" i="18"/>
  <c r="B9" i="18"/>
  <c r="M40" i="18"/>
  <c r="W36" i="18"/>
  <c r="V36" i="18"/>
  <c r="U36" i="18"/>
  <c r="T36" i="18"/>
  <c r="S36" i="18"/>
  <c r="R36" i="18"/>
  <c r="Q36" i="18"/>
  <c r="P36" i="18"/>
  <c r="O36" i="18"/>
  <c r="N36" i="18"/>
  <c r="M36" i="18"/>
  <c r="W35" i="18"/>
  <c r="V35" i="18"/>
  <c r="U35" i="18"/>
  <c r="T35" i="18"/>
  <c r="S35" i="18"/>
  <c r="F13" i="15"/>
  <c r="R35" i="18"/>
  <c r="Q35" i="18"/>
  <c r="P35" i="18"/>
  <c r="D13" i="15"/>
  <c r="O35" i="18"/>
  <c r="C13" i="15"/>
  <c r="N35" i="18"/>
  <c r="M35" i="18"/>
  <c r="W34" i="18"/>
  <c r="V34" i="18"/>
  <c r="U34" i="18"/>
  <c r="T34" i="18"/>
  <c r="S34" i="18"/>
  <c r="R34" i="18"/>
  <c r="Q34" i="18"/>
  <c r="P34" i="18"/>
  <c r="O34" i="18"/>
  <c r="N34" i="18"/>
  <c r="M34" i="18"/>
  <c r="W33" i="18"/>
  <c r="V33" i="18"/>
  <c r="U33" i="18"/>
  <c r="T33" i="18"/>
  <c r="S33" i="18"/>
  <c r="R33" i="18"/>
  <c r="Q33" i="18"/>
  <c r="P33" i="18"/>
  <c r="O33" i="18"/>
  <c r="N33" i="18"/>
  <c r="B49" i="18"/>
  <c r="M33"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9"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2" i="18"/>
  <c r="H8" i="18"/>
  <c r="E52" i="18"/>
  <c r="E8" i="18"/>
  <c r="G52" i="18"/>
  <c r="F52" i="18"/>
  <c r="H52" i="18"/>
  <c r="D52" i="18"/>
  <c r="C52" i="18"/>
  <c r="B52" i="18"/>
  <c r="C8" i="18"/>
  <c r="I53" i="18"/>
  <c r="H17" i="18"/>
  <c r="E53" i="18"/>
  <c r="E17" i="18"/>
  <c r="C53" i="18"/>
  <c r="B53" i="18"/>
  <c r="C17" i="18"/>
  <c r="H53" i="18"/>
  <c r="D53" i="18"/>
  <c r="G53" i="18"/>
  <c r="F53"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<sst xmlns="http://schemas.openxmlformats.org/spreadsheetml/2006/main" count="2427" uniqueCount="884">
  <si>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</si>
  <si>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</si>
  <si>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</si>
  <si>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</si>
  <si>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</si>
  <si>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</si>
  <si>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</si>
  <si>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</si>
  <si>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</si>
  <si>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</si>
  <si>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</si>
  <si>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</si>
  <si>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</si>
  <si>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</si>
  <si>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</si>
  <si>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</si>
  <si>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</si>
  <si>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</si>
  <si>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</si>
  <si>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</si>
  <si>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</si>
  <si>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</si>
  <si>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</si>
  <si>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</si>
  <si>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</si>
  <si>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</si>
  <si>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</si>
  <si>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</si>
  <si>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</si>
  <si>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</si>
  <si>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</si>
  <si>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</si>
  <si>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</si>
  <si>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</si>
  <si>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</si>
  <si>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</si>
  <si>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</si>
  <si>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</si>
  <si>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</si>
  <si>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</si>
  <si>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</si>
  <si>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</si>
  <si>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</si>
  <si>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</si>
  <si>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</si>
  <si>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</si>
  <si>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</si>
  <si>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</si>
  <si>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</si>
  <si>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</si>
  <si>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</si>
  <si>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</si>
  <si>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</si>
  <si>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</si>
  <si>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</si>
  <si>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</si>
  <si>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</si>
  <si>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</si>
  <si>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</si>
  <si>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</si>
  <si>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</si>
  <si>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</si>
  <si>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</si>
  <si>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</si>
  <si>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</si>
  <si>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</si>
  <si>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</si>
  <si>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</si>
  <si>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</si>
  <si>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</si>
  <si>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</si>
  <si>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</si>
  <si>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</si>
  <si>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</si>
  <si>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</si>
  <si>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</si>
  <si>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</si>
  <si>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</si>
  <si>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</si>
  <si>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</si>
  <si>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</si>
  <si>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</si>
  <si>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</si>
  <si>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</si>
  <si>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</si>
  <si>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</si>
  <si>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</si>
  <si>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</si>
  <si>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</si>
  <si>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</si>
  <si>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</si>
  <si>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</si>
  <si>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</si>
  <si>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</si>
  <si>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</si>
  <si>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</si>
  <si>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</si>
  <si>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</si>
  <si>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</si>
  <si>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</si>
  <si>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</si>
  <si>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</si>
  <si>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</si>
  <si>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</si>
  <si>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</si>
  <si>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</si>
  <si>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</si>
  <si>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</si>
  <si>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</si>
  <si>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</si>
  <si>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</si>
  <si>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</si>
  <si>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</si>
  <si>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</si>
  <si>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</si>
  <si>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</si>
  <si>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</si>
  <si>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</si>
  <si>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</si>
  <si>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</si>
  <si>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</si>
  <si>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</si>
  <si>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</si>
  <si>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</si>
  <si>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</si>
  <si>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</si>
  <si>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</si>
  <si>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</si>
  <si>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</si>
  <si>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</si>
  <si>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</si>
  <si>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</si>
  <si>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</si>
  <si>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</si>
  <si>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</si>
  <si>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</si>
  <si>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</si>
  <si>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</si>
  <si>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</si>
  <si>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</si>
  <si>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</si>
  <si>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</si>
  <si>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</si>
  <si>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</si>
  <si>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</si>
  <si>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</si>
  <si>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</si>
  <si>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</si>
  <si>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</si>
  <si>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</si>
  <si>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</si>
  <si>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</si>
  <si>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</si>
  <si>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</si>
  <si>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</si>
  <si>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</si>
  <si>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</si>
  <si>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</si>
  <si>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</si>
  <si>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</si>
  <si>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</si>
  <si>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</si>
  <si>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</si>
  <si>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</si>
  <si>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</si>
  <si>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</si>
  <si>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</si>
  <si>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</si>
  <si>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</si>
  <si>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</si>
  <si>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</si>
  <si>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</si>
  <si>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</si>
  <si>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</si>
  <si>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</si>
  <si>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</si>
  <si>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</si>
  <si>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</si>
  <si>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</si>
  <si>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</si>
  <si>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</si>
  <si>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</si>
  <si>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</si>
  <si>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</si>
  <si>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</si>
  <si>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</si>
  <si>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</si>
  <si>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</si>
  <si>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</si>
  <si>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</si>
  <si>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</si>
  <si>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</si>
  <si>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</si>
  <si>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</si>
  <si>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</si>
  <si>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</si>
  <si>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</si>
  <si>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</si>
  <si>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</si>
  <si>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</si>
  <si>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</si>
  <si>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</si>
  <si>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</si>
  <si>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</si>
  <si>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</si>
  <si>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</si>
  <si>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</si>
  <si>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</si>
  <si>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</si>
  <si>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</si>
  <si>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</si>
  <si>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</si>
  <si>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</si>
  <si>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</si>
  <si>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</si>
  <si>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</si>
  <si>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</si>
  <si>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</si>
  <si>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</si>
  <si>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</si>
  <si>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</si>
  <si>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</si>
  <si>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</si>
  <si>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</si>
  <si>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</si>
  <si>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</si>
  <si>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</si>
  <si>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</si>
  <si>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</si>
  <si>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</si>
  <si>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</si>
  <si>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</si>
  <si>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</si>
  <si>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</si>
  <si>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</si>
  <si>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</si>
  <si>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</si>
  <si>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</si>
  <si>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</si>
  <si>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</si>
  <si>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</si>
  <si>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</si>
  <si>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</si>
  <si>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</si>
  <si>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</si>
  <si>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</si>
  <si>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</si>
  <si>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</si>
  <si>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</si>
  <si>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</si>
  <si>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</si>
  <si>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</si>
  <si>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</si>
  <si>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</si>
  <si>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</si>
  <si>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</si>
  <si>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</si>
  <si>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</si>
  <si>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</si>
  <si>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</si>
  <si>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</si>
  <si>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</si>
  <si>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</si>
  <si>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</si>
  <si>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</si>
  <si>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</si>
  <si>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</si>
  <si>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</si>
  <si>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</si>
  <si>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</si>
  <si>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</si>
  <si>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</si>
  <si>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</si>
  <si>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</si>
  <si>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</si>
  <si>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</si>
  <si>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</si>
  <si>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</si>
  <si>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</si>
  <si>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</si>
  <si>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</si>
  <si>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</si>
  <si>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</si>
  <si>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</si>
  <si>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</si>
  <si>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</si>
  <si>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</si>
  <si>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</si>
  <si>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</si>
  <si>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</si>
  <si>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</si>
  <si>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</si>
  <si>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</si>
  <si>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</si>
  <si>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</si>
  <si>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</si>
  <si>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</si>
  <si>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</si>
  <si>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</si>
  <si>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</si>
  <si>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</si>
  <si>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</si>
  <si>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</si>
  <si>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</si>
  <si>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</si>
  <si>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</si>
  <si>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</si>
  <si>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</si>
  <si>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</si>
  <si>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</si>
  <si>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</si>
  <si>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</si>
  <si>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</si>
  <si>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</si>
  <si>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</si>
  <si>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</si>
  <si>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</si>
  <si>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</si>
  <si>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</si>
  <si>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</si>
  <si>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</si>
  <si>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</si>
  <si>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</si>
  <si>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</si>
  <si>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</si>
  <si>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</si>
  <si>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</si>
  <si>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</si>
  <si>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</si>
  <si>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</si>
  <si>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</si>
  <si>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</si>
  <si>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</si>
  <si>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</si>
  <si>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</si>
  <si>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</si>
  <si>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</si>
  <si>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</si>
  <si>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</si>
  <si>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</si>
  <si>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</si>
  <si>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</si>
  <si>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</si>
  <si>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</si>
  <si>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</si>
  <si>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</si>
  <si>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</si>
  <si>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</si>
  <si>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</si>
  <si>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</si>
  <si>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</si>
  <si>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</si>
  <si>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</si>
  <si>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</si>
  <si>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</si>
  <si>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</si>
  <si>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</si>
  <si>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</si>
  <si>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</si>
  <si>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</si>
  <si>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</si>
  <si>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</si>
  <si>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</si>
  <si>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</si>
  <si>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</si>
  <si>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</si>
  <si>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</si>
  <si>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</si>
  <si>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</si>
  <si>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</si>
  <si>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</si>
  <si>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</si>
  <si>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</si>
  <si>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</si>
  <si>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</si>
  <si>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</si>
  <si>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</si>
  <si>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</si>
  <si>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</si>
  <si>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</si>
  <si>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</si>
  <si>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</si>
  <si>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</si>
  <si>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</si>
  <si>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</si>
  <si>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</si>
  <si>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</si>
  <si>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</si>
  <si>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</si>
  <si>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</si>
  <si>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</si>
  <si>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</si>
  <si>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</si>
  <si>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</si>
  <si>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</si>
  <si>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</si>
  <si>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</si>
  <si>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</si>
  <si>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</si>
  <si>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</si>
  <si>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</si>
  <si>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</si>
  <si>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</si>
  <si>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</si>
  <si>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</si>
  <si>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</si>
  <si>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</si>
  <si>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</si>
  <si>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</si>
  <si>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</si>
  <si>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</si>
  <si>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</si>
  <si>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</si>
  <si>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</si>
  <si>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</si>
  <si>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</si>
  <si>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</si>
  <si>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</si>
  <si>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</si>
  <si>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</si>
  <si>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</si>
  <si>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</si>
  <si>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</si>
  <si>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</si>
  <si>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</si>
  <si>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</si>
  <si>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</si>
  <si>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</si>
  <si>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</si>
  <si>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</si>
  <si>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</si>
  <si>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</si>
  <si>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</si>
  <si>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</si>
  <si>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</si>
  <si>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</si>
  <si>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</si>
  <si>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</si>
  <si>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</si>
  <si>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</si>
  <si>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</si>
  <si>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</si>
  <si>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</si>
  <si>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</si>
  <si>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</si>
  <si>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</si>
  <si>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</si>
  <si>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</si>
  <si>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</si>
  <si>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</si>
  <si>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</si>
  <si>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</si>
  <si>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</si>
  <si>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</si>
  <si>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</si>
  <si>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</si>
  <si>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</si>
  <si>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</si>
  <si>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</si>
  <si>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</si>
  <si>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</si>
  <si>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</si>
  <si>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</si>
  <si>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</si>
  <si>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</si>
  <si>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</si>
  <si>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</si>
  <si>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</si>
  <si>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</si>
  <si>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</si>
  <si>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</si>
  <si>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</si>
  <si>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</si>
  <si>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</si>
  <si>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</si>
  <si>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</si>
  <si>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</si>
  <si>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</si>
  <si>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</si>
  <si>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</si>
  <si>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</si>
  <si>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</si>
  <si>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</si>
  <si>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</si>
  <si>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</si>
  <si>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</si>
  <si>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</si>
  <si>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</si>
  <si>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</si>
  <si>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</si>
  <si>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</si>
  <si>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</si>
  <si>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</si>
  <si>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</si>
  <si>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</si>
  <si>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</si>
  <si>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</si>
  <si>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</si>
  <si>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</si>
  <si>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</si>
  <si>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</si>
  <si>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</si>
  <si>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</si>
  <si>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</si>
  <si>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</si>
  <si>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</si>
  <si>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</si>
  <si>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</si>
  <si>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</si>
  <si>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</si>
  <si>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</si>
  <si>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</si>
  <si>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</si>
  <si>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</si>
  <si>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</si>
  <si>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</si>
  <si>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</si>
  <si>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</si>
  <si>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</si>
  <si>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</si>
  <si>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</si>
  <si>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</si>
  <si>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</si>
  <si>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</si>
  <si>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</si>
  <si>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</si>
  <si>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</si>
  <si>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</si>
  <si>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</si>
  <si>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</si>
  <si>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</si>
  <si>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</si>
  <si>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</si>
  <si>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</si>
  <si>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</si>
  <si>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</si>
  <si>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</si>
  <si>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</si>
  <si>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</si>
  <si>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</si>
  <si>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</si>
  <si>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</si>
  <si>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</si>
  <si>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</si>
  <si>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</si>
  <si>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</si>
  <si>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</si>
  <si>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</si>
  <si>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</si>
  <si>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</si>
  <si>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</si>
  <si>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</si>
  <si>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</si>
  <si>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</si>
  <si>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</si>
  <si>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</si>
  <si>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</si>
  <si>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</si>
  <si>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</si>
  <si>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</si>
  <si>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</si>
  <si>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</si>
  <si>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</si>
  <si>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</si>
  <si>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</si>
  <si>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</si>
  <si>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</si>
  <si>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</si>
  <si>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</si>
  <si>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</si>
  <si>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</si>
  <si>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</si>
  <si>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</si>
  <si>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</si>
  <si>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</si>
  <si>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</si>
  <si>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</si>
  <si>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</si>
  <si>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</si>
  <si>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</si>
  <si>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</si>
  <si>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</si>
  <si>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</si>
  <si>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</si>
  <si>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</si>
  <si>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</si>
  <si>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</si>
  <si>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</si>
  <si>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</si>
  <si>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</si>
  <si>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</si>
  <si>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</si>
  <si>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</si>
  <si>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</si>
  <si>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</si>
  <si>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</si>
  <si>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</si>
  <si>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</si>
  <si>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</si>
  <si>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</si>
  <si>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</si>
  <si>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</si>
  <si>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</si>
  <si>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</si>
  <si>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</si>
  <si>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</si>
  <si>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</si>
  <si>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</si>
  <si>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</si>
  <si>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</si>
  <si>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</si>
  <si>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</si>
  <si>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</si>
  <si>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</si>
  <si>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</si>
  <si>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</si>
  <si>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</si>
  <si>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</si>
  <si>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</si>
  <si>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</si>
  <si>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</si>
  <si>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</si>
  <si>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</si>
  <si>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</si>
  <si>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</si>
  <si>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</si>
  <si>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</si>
  <si>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</si>
  <si>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</si>
  <si>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</si>
  <si>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</si>
  <si>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</si>
  <si>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</si>
  <si>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</si>
  <si>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</si>
  <si>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</si>
  <si>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</si>
  <si>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</si>
  <si>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</si>
  <si>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</si>
  <si>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</si>
  <si>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</si>
  <si>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</si>
  <si>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</si>
  <si>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</si>
  <si>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</si>
  <si>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</si>
  <si>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</si>
  <si>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</si>
  <si>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</si>
  <si>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</si>
  <si>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</si>
  <si>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</si>
  <si>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</si>
  <si>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</si>
  <si>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</si>
  <si>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</si>
  <si>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</si>
  <si>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</si>
  <si>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</si>
  <si>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</si>
  <si>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</si>
  <si>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</si>
  <si>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</si>
  <si>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</si>
  <si>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</si>
  <si>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</si>
  <si>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</si>
  <si>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</si>
  <si>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</si>
  <si>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</si>
  <si>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</si>
  <si>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</si>
  <si>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</si>
  <si>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</si>
  <si>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</si>
  <si>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</si>
  <si>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</si>
  <si>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</si>
  <si>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</si>
  <si>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</si>
  <si>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</si>
  <si>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</si>
  <si>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</si>
  <si>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</si>
  <si>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</si>
  <si>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</si>
  <si>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</si>
  <si>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</si>
  <si>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</si>
  <si>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</si>
  <si>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</si>
  <si>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</si>
  <si>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</si>
  <si>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</si>
  <si>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</si>
  <si>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</si>
  <si>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</si>
  <si>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</si>
  <si>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</si>
  <si>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</si>
  <si>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</si>
  <si>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</si>
  <si>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</si>
  <si>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</si>
  <si>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</si>
  <si>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</si>
  <si>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</si>
  <si>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</si>
  <si>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</si>
  <si>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</si>
  <si>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</si>
  <si>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</si>
  <si>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</si>
  <si>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</si>
  <si>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</si>
  <si>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</si>
  <si>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</si>
  <si>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</si>
  <si>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</si>
  <si>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</si>
  <si>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</si>
  <si>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</si>
  <si>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</si>
  <si>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</si>
  <si>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</si>
  <si>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</si>
  <si>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</si>
  <si>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</si>
  <si>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</si>
  <si>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</si>
  <si>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</si>
  <si>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</si>
  <si>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</si>
  <si>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</si>
  <si>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</si>
  <si>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</si>
  <si>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</si>
  <si>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</si>
  <si>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</si>
  <si>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</si>
  <si>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</si>
  <si>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</si>
  <si>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</si>
  <si>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</si>
  <si>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</si>
  <si>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</si>
  <si>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</si>
  <si>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</si>
  <si>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</si>
  <si>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</si>
  <si>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</si>
  <si>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</si>
  <si>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</si>
  <si>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</si>
  <si>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</si>
  <si>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</si>
  <si>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</si>
  <si>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</si>
  <si>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</si>
  <si>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</si>
  <si>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</si>
  <si>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</si>
  <si>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</si>
  <si>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</si>
  <si>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</si>
  <si>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</si>
  <si>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</si>
  <si>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</si>
  <si>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</si>
  <si>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</si>
  <si>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</si>
  <si>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</si>
  <si>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</si>
  <si>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</si>
  <si>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</si>
  <si>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</si>
  <si>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</si>
  <si>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</si>
  <si>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</si>
  <si>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</si>
  <si>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</si>
  <si>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</si>
  <si>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</si>
  <si>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</si>
  <si>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</si>
  <si>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</si>
  <si>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</si>
  <si>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</si>
  <si>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</si>
  <si>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</si>
  <si>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</si>
  <si>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</si>
  <si>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</si>
  <si>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</si>
  <si>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</si>
  <si>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</si>
  <si>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</si>
  <si>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</si>
  <si>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</si>
  <si>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</si>
  <si>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</si>
  <si>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</si>
  <si>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</si>
  <si>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</si>
  <si>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</si>
  <si>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</si>
  <si>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</si>
  <si>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</si>
  <si>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</si>
  <si>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</si>
  <si>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</si>
  <si>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</si>
  <si>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</si>
  <si>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</si>
  <si>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</si>
  <si>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</si>
  <si>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</si>
  <si>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</si>
  <si>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</si>
  <si>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</si>
  <si>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</si>
  <si>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</si>
  <si>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</si>
  <si>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</si>
  <si>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</si>
  <si>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</si>
  <si>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</si>
  <si>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</si>
  <si>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</si>
  <si>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</si>
  <si>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</si>
  <si>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</si>
  <si>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</si>
  <si>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</si>
  <si>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</si>
  <si>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</si>
  <si>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</si>
  <si>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</si>
  <si>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</si>
  <si>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</si>
  <si>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</si>
  <si>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</si>
  <si>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</si>
  <si>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</si>
  <si>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</si>
  <si>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</si>
  <si>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</si>
  <si>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</si>
  <si>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</si>
  <si>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</si>
  <si>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</si>
  <si>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</si>
  <si>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</si>
  <si>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</si>
  <si>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</si>
  <si>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</si>
  <si>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</si>
  <si>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</si>
  <si>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</si>
  <si>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</si>
  <si>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</si>
  <si>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</si>
  <si>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</si>
  <si>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</si>
  <si>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</si>
  <si>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</si>
  <si>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</si>
  <si>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</si>
  <si>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</si>
  <si>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</si>
  <si>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</si>
  <si>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</si>
  <si>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</si>
  <si>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</si>
  <si>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36015</t>
  </si>
  <si>
    <t>ROESELARE</t>
  </si>
  <si>
    <t>vloeibaar gas (MWh)</t>
  </si>
  <si>
    <t>interne verbrandingsmotor</t>
  </si>
  <si>
    <t>WKK interne verbrandinsgmotor (gas)</t>
  </si>
  <si>
    <t>GASELWEST</t>
  </si>
  <si>
    <t>biogas - hoofdzakelijk agrarische stromen</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</si>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</sst>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B215EAE-51FD-4F02-8516-700AF61EC42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495948.54830884136</c:v>
                </c:pt>
                <c:pt idx="1">
                  <c:v>428917.84593349881</c:v>
                </c:pt>
                <c:pt idx="2">
                  <c:v>5452.5029999999997</c:v>
                </c:pt>
                <c:pt idx="3">
                  <c:v>19634.429334612065</c:v>
                </c:pt>
                <c:pt idx="4">
                  <c:v>546123.37278679293</c:v>
                </c:pt>
                <c:pt idx="5">
                  <c:v>279595.94720378687</c:v>
                </c:pt>
                <c:pt idx="6">
                  <c:v>5208.4107902334117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495948.54830884136</c:v>
                </c:pt>
                <c:pt idx="1">
                  <c:v>428917.84593349881</c:v>
                </c:pt>
                <c:pt idx="2">
                  <c:v>5452.5029999999997</c:v>
                </c:pt>
                <c:pt idx="3">
                  <c:v>19634.429334612065</c:v>
                </c:pt>
                <c:pt idx="4">
                  <c:v>546123.37278679293</c:v>
                </c:pt>
                <c:pt idx="5">
                  <c:v>279595.94720378687</c:v>
                </c:pt>
                <c:pt idx="6">
                  <c:v>5208.4107902334117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96860.856173413209</c:v>
                </c:pt>
                <c:pt idx="2">
                  <c:v>81530.039656145746</c:v>
                </c:pt>
                <c:pt idx="3">
                  <c:v>1042.5432636137498</c:v>
                </c:pt>
                <c:pt idx="4">
                  <c:v>4900.1594270098894</c:v>
                </c:pt>
                <c:pt idx="5">
                  <c:v>107117.49206504875</c:v>
                </c:pt>
                <c:pt idx="6">
                  <c:v>70021.422407451013</c:v>
                </c:pt>
                <c:pt idx="7">
                  <c:v>1311.7438086997222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96860.856173413209</c:v>
                </c:pt>
                <c:pt idx="2">
                  <c:v>81530.039656145746</c:v>
                </c:pt>
                <c:pt idx="3">
                  <c:v>1042.5432636137498</c:v>
                </c:pt>
                <c:pt idx="4">
                  <c:v>4900.1594270098894</c:v>
                </c:pt>
                <c:pt idx="5">
                  <c:v>107117.49206504875</c:v>
                </c:pt>
                <c:pt idx="6">
                  <c:v>70021.422407451013</c:v>
                </c:pt>
                <c:pt idx="7">
                  <c:v>1311.7438086997222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36015</v>
      </c>
      <c r="B6" s="380"/>
      <c r="C6" s="381"/>
    </row>
    <row r="7" spans="1:7" s="378" customFormat="1" ht="15.75" customHeight="1">
      <c r="A7" s="382" t="str">
        <f>txtMunicipality</f>
        <v>ROESELARE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0.1912045281981046</v>
      </c>
      <c r="C17" s="488">
        <f ca="1">'EF ele_warmte'!B22</f>
        <v>8.816575423735179E-2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0.1912045281981046</v>
      </c>
      <c r="C29" s="489">
        <f ca="1">'EF ele_warmte'!B22</f>
        <v>8.816575423735179E-2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26415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2383.13</v>
      </c>
      <c r="C14" s="322"/>
      <c r="D14" s="322"/>
      <c r="E14" s="322"/>
      <c r="F14" s="322"/>
    </row>
    <row r="15" spans="1:6">
      <c r="A15" s="1248" t="s">
        <v>177</v>
      </c>
      <c r="B15" s="1249">
        <v>13</v>
      </c>
      <c r="C15" s="322"/>
      <c r="D15" s="322"/>
      <c r="E15" s="322"/>
      <c r="F15" s="322"/>
    </row>
    <row r="16" spans="1:6">
      <c r="A16" s="1248" t="s">
        <v>6</v>
      </c>
      <c r="B16" s="1249">
        <v>416</v>
      </c>
      <c r="C16" s="322"/>
      <c r="D16" s="322"/>
      <c r="E16" s="322"/>
      <c r="F16" s="322"/>
    </row>
    <row r="17" spans="1:6">
      <c r="A17" s="1248" t="s">
        <v>7</v>
      </c>
      <c r="B17" s="1249">
        <v>495</v>
      </c>
      <c r="C17" s="322"/>
      <c r="D17" s="322"/>
      <c r="E17" s="322"/>
      <c r="F17" s="322"/>
    </row>
    <row r="18" spans="1:6">
      <c r="A18" s="1248" t="s">
        <v>8</v>
      </c>
      <c r="B18" s="1249">
        <v>626</v>
      </c>
      <c r="C18" s="322"/>
      <c r="D18" s="322"/>
      <c r="E18" s="322"/>
      <c r="F18" s="322"/>
    </row>
    <row r="19" spans="1:6">
      <c r="A19" s="1248" t="s">
        <v>9</v>
      </c>
      <c r="B19" s="1249">
        <v>742</v>
      </c>
      <c r="C19" s="322"/>
      <c r="D19" s="322"/>
      <c r="E19" s="322"/>
      <c r="F19" s="322"/>
    </row>
    <row r="20" spans="1:6">
      <c r="A20" s="1248" t="s">
        <v>10</v>
      </c>
      <c r="B20" s="1249">
        <v>415</v>
      </c>
      <c r="C20" s="322"/>
      <c r="D20" s="322"/>
      <c r="E20" s="322"/>
      <c r="F20" s="322"/>
    </row>
    <row r="21" spans="1:6">
      <c r="A21" s="1248" t="s">
        <v>11</v>
      </c>
      <c r="B21" s="1249">
        <v>16264</v>
      </c>
      <c r="C21" s="322"/>
      <c r="D21" s="322"/>
      <c r="E21" s="322"/>
      <c r="F21" s="322"/>
    </row>
    <row r="22" spans="1:6">
      <c r="A22" s="1248" t="s">
        <v>12</v>
      </c>
      <c r="B22" s="1249">
        <v>33048</v>
      </c>
      <c r="C22" s="322"/>
      <c r="D22" s="322"/>
      <c r="E22" s="322"/>
      <c r="F22" s="322"/>
    </row>
    <row r="23" spans="1:6">
      <c r="A23" s="1248" t="s">
        <v>13</v>
      </c>
      <c r="B23" s="1249">
        <v>686</v>
      </c>
      <c r="C23" s="322"/>
      <c r="D23" s="322"/>
      <c r="E23" s="322"/>
      <c r="F23" s="322"/>
    </row>
    <row r="24" spans="1:6">
      <c r="A24" s="1248" t="s">
        <v>14</v>
      </c>
      <c r="B24" s="1249">
        <v>67</v>
      </c>
      <c r="C24" s="322"/>
      <c r="D24" s="322"/>
      <c r="E24" s="322"/>
      <c r="F24" s="322"/>
    </row>
    <row r="25" spans="1:6">
      <c r="A25" s="1248" t="s">
        <v>15</v>
      </c>
      <c r="B25" s="1249">
        <v>3715</v>
      </c>
      <c r="C25" s="322"/>
      <c r="D25" s="322"/>
      <c r="E25" s="322"/>
      <c r="F25" s="322"/>
    </row>
    <row r="26" spans="1:6">
      <c r="A26" s="1248" t="s">
        <v>16</v>
      </c>
      <c r="B26" s="1249">
        <v>638</v>
      </c>
      <c r="C26" s="322"/>
      <c r="D26" s="322"/>
      <c r="E26" s="322"/>
      <c r="F26" s="322"/>
    </row>
    <row r="27" spans="1:6">
      <c r="A27" s="1248" t="s">
        <v>17</v>
      </c>
      <c r="B27" s="1249">
        <v>27</v>
      </c>
      <c r="C27" s="322"/>
      <c r="D27" s="322"/>
      <c r="E27" s="322"/>
      <c r="F27" s="322"/>
    </row>
    <row r="28" spans="1:6">
      <c r="A28" s="1248" t="s">
        <v>18</v>
      </c>
      <c r="B28" s="1250">
        <v>101130</v>
      </c>
      <c r="C28" s="322"/>
      <c r="D28" s="322"/>
      <c r="E28" s="322"/>
      <c r="F28" s="322"/>
    </row>
    <row r="29" spans="1:6">
      <c r="A29" s="1248" t="s">
        <v>691</v>
      </c>
      <c r="B29" s="1250">
        <v>40</v>
      </c>
      <c r="C29" s="322"/>
      <c r="D29" s="322"/>
      <c r="E29" s="322"/>
      <c r="F29" s="322"/>
    </row>
    <row r="30" spans="1:6">
      <c r="A30" s="1243" t="s">
        <v>692</v>
      </c>
      <c r="B30" s="1251">
        <v>15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5</v>
      </c>
      <c r="D36" s="1249">
        <v>963349.80618863495</v>
      </c>
      <c r="E36" s="1249">
        <v>17</v>
      </c>
      <c r="F36" s="1249">
        <v>165415.07628913899</v>
      </c>
    </row>
    <row r="37" spans="1:6">
      <c r="A37" s="1248" t="s">
        <v>24</v>
      </c>
      <c r="B37" s="1248" t="s">
        <v>27</v>
      </c>
      <c r="C37" s="1249">
        <v>0</v>
      </c>
      <c r="D37" s="1249">
        <v>0</v>
      </c>
      <c r="E37" s="1249">
        <v>0</v>
      </c>
      <c r="F37" s="1249">
        <v>0</v>
      </c>
    </row>
    <row r="38" spans="1:6">
      <c r="A38" s="1248" t="s">
        <v>24</v>
      </c>
      <c r="B38" s="1248" t="s">
        <v>28</v>
      </c>
      <c r="C38" s="1249">
        <v>2</v>
      </c>
      <c r="D38" s="1249">
        <v>8470.1152087831997</v>
      </c>
      <c r="E38" s="1249">
        <v>2</v>
      </c>
      <c r="F38" s="1249">
        <v>19770</v>
      </c>
    </row>
    <row r="39" spans="1:6">
      <c r="A39" s="1248" t="s">
        <v>29</v>
      </c>
      <c r="B39" s="1248" t="s">
        <v>30</v>
      </c>
      <c r="C39" s="1249">
        <v>21345</v>
      </c>
      <c r="D39" s="1249">
        <v>307873957.37481499</v>
      </c>
      <c r="E39" s="1249">
        <v>25602</v>
      </c>
      <c r="F39" s="1249">
        <v>81417583.559952796</v>
      </c>
    </row>
    <row r="40" spans="1:6">
      <c r="A40" s="1248" t="s">
        <v>29</v>
      </c>
      <c r="B40" s="1248" t="s">
        <v>28</v>
      </c>
      <c r="C40" s="1249">
        <v>0</v>
      </c>
      <c r="D40" s="1249">
        <v>0</v>
      </c>
      <c r="E40" s="1249">
        <v>1</v>
      </c>
      <c r="F40" s="1249">
        <v>24464.373263286001</v>
      </c>
    </row>
    <row r="41" spans="1:6">
      <c r="A41" s="1248" t="s">
        <v>31</v>
      </c>
      <c r="B41" s="1248" t="s">
        <v>32</v>
      </c>
      <c r="C41" s="1249">
        <v>356</v>
      </c>
      <c r="D41" s="1249">
        <v>9405528.4272498097</v>
      </c>
      <c r="E41" s="1249">
        <v>636</v>
      </c>
      <c r="F41" s="1249">
        <v>9148998.6434138697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49</v>
      </c>
      <c r="D44" s="1249">
        <v>29019867.751027901</v>
      </c>
      <c r="E44" s="1249">
        <v>157</v>
      </c>
      <c r="F44" s="1249">
        <v>22479566.328795001</v>
      </c>
    </row>
    <row r="45" spans="1:6">
      <c r="A45" s="1248" t="s">
        <v>31</v>
      </c>
      <c r="B45" s="1248" t="s">
        <v>36</v>
      </c>
      <c r="C45" s="1249">
        <v>15</v>
      </c>
      <c r="D45" s="1249">
        <v>2485371.1119585298</v>
      </c>
      <c r="E45" s="1249">
        <v>24</v>
      </c>
      <c r="F45" s="1249">
        <v>22630540.0627129</v>
      </c>
    </row>
    <row r="46" spans="1:6">
      <c r="A46" s="1248" t="s">
        <v>31</v>
      </c>
      <c r="B46" s="1248" t="s">
        <v>37</v>
      </c>
      <c r="C46" s="1249">
        <v>0</v>
      </c>
      <c r="D46" s="1249">
        <v>0</v>
      </c>
      <c r="E46" s="1249">
        <v>0</v>
      </c>
      <c r="F46" s="1249">
        <v>0</v>
      </c>
    </row>
    <row r="47" spans="1:6">
      <c r="A47" s="1248" t="s">
        <v>31</v>
      </c>
      <c r="B47" s="1248" t="s">
        <v>38</v>
      </c>
      <c r="C47" s="1249">
        <v>16</v>
      </c>
      <c r="D47" s="1249">
        <v>21408179.469154701</v>
      </c>
      <c r="E47" s="1249">
        <v>31</v>
      </c>
      <c r="F47" s="1249">
        <v>2569586.8936323598</v>
      </c>
    </row>
    <row r="48" spans="1:6">
      <c r="A48" s="1248" t="s">
        <v>31</v>
      </c>
      <c r="B48" s="1248" t="s">
        <v>28</v>
      </c>
      <c r="C48" s="1249">
        <v>61</v>
      </c>
      <c r="D48" s="1249">
        <v>156869829.385079</v>
      </c>
      <c r="E48" s="1249">
        <v>68</v>
      </c>
      <c r="F48" s="1249">
        <v>61749125.285372801</v>
      </c>
    </row>
    <row r="49" spans="1:6">
      <c r="A49" s="1248" t="s">
        <v>31</v>
      </c>
      <c r="B49" s="1248" t="s">
        <v>39</v>
      </c>
      <c r="C49" s="1249">
        <v>7</v>
      </c>
      <c r="D49" s="1249">
        <v>580230.47621302505</v>
      </c>
      <c r="E49" s="1249">
        <v>26</v>
      </c>
      <c r="F49" s="1249">
        <v>2701318.5126253902</v>
      </c>
    </row>
    <row r="50" spans="1:6">
      <c r="A50" s="1248" t="s">
        <v>31</v>
      </c>
      <c r="B50" s="1248" t="s">
        <v>40</v>
      </c>
      <c r="C50" s="1249">
        <v>79</v>
      </c>
      <c r="D50" s="1249">
        <v>103605138.66139799</v>
      </c>
      <c r="E50" s="1249">
        <v>115</v>
      </c>
      <c r="F50" s="1249">
        <v>89878166.470898896</v>
      </c>
    </row>
    <row r="51" spans="1:6">
      <c r="A51" s="1248" t="s">
        <v>41</v>
      </c>
      <c r="B51" s="1248" t="s">
        <v>42</v>
      </c>
      <c r="C51" s="1249">
        <v>41</v>
      </c>
      <c r="D51" s="1249">
        <v>2431333.2877385998</v>
      </c>
      <c r="E51" s="1249">
        <v>191</v>
      </c>
      <c r="F51" s="1249">
        <v>3419974.7741710702</v>
      </c>
    </row>
    <row r="52" spans="1:6">
      <c r="A52" s="1248" t="s">
        <v>41</v>
      </c>
      <c r="B52" s="1248" t="s">
        <v>28</v>
      </c>
      <c r="C52" s="1249">
        <v>5</v>
      </c>
      <c r="D52" s="1249">
        <v>204625.48383896099</v>
      </c>
      <c r="E52" s="1249">
        <v>5</v>
      </c>
      <c r="F52" s="1249">
        <v>42021.463089327801</v>
      </c>
    </row>
    <row r="53" spans="1:6">
      <c r="A53" s="1248" t="s">
        <v>43</v>
      </c>
      <c r="B53" s="1248" t="s">
        <v>44</v>
      </c>
      <c r="C53" s="1249">
        <v>647</v>
      </c>
      <c r="D53" s="1249">
        <v>11952899.7568588</v>
      </c>
      <c r="E53" s="1249">
        <v>1117</v>
      </c>
      <c r="F53" s="1249">
        <v>4531807.4237490902</v>
      </c>
    </row>
    <row r="54" spans="1:6">
      <c r="A54" s="1248" t="s">
        <v>45</v>
      </c>
      <c r="B54" s="1248" t="s">
        <v>46</v>
      </c>
      <c r="C54" s="1249">
        <v>0</v>
      </c>
      <c r="D54" s="1249">
        <v>0</v>
      </c>
      <c r="E54" s="1249">
        <v>1</v>
      </c>
      <c r="F54" s="1249">
        <v>5452503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269</v>
      </c>
      <c r="D57" s="1249">
        <v>51950671.818329901</v>
      </c>
      <c r="E57" s="1249">
        <v>380</v>
      </c>
      <c r="F57" s="1249">
        <v>13426763.344328901</v>
      </c>
    </row>
    <row r="58" spans="1:6">
      <c r="A58" s="1248" t="s">
        <v>48</v>
      </c>
      <c r="B58" s="1248" t="s">
        <v>50</v>
      </c>
      <c r="C58" s="1249">
        <v>342</v>
      </c>
      <c r="D58" s="1249">
        <v>25384953.139663201</v>
      </c>
      <c r="E58" s="1249">
        <v>381</v>
      </c>
      <c r="F58" s="1249">
        <v>20231737.910697501</v>
      </c>
    </row>
    <row r="59" spans="1:6">
      <c r="A59" s="1248" t="s">
        <v>48</v>
      </c>
      <c r="B59" s="1248" t="s">
        <v>51</v>
      </c>
      <c r="C59" s="1249">
        <v>731</v>
      </c>
      <c r="D59" s="1249">
        <v>68437820.771783903</v>
      </c>
      <c r="E59" s="1249">
        <v>1196</v>
      </c>
      <c r="F59" s="1249">
        <v>53525888.722527102</v>
      </c>
    </row>
    <row r="60" spans="1:6">
      <c r="A60" s="1248" t="s">
        <v>48</v>
      </c>
      <c r="B60" s="1248" t="s">
        <v>52</v>
      </c>
      <c r="C60" s="1249">
        <v>307</v>
      </c>
      <c r="D60" s="1249">
        <v>20988087.344529599</v>
      </c>
      <c r="E60" s="1249">
        <v>403</v>
      </c>
      <c r="F60" s="1249">
        <v>12089912.488436701</v>
      </c>
    </row>
    <row r="61" spans="1:6">
      <c r="A61" s="1248" t="s">
        <v>48</v>
      </c>
      <c r="B61" s="1248" t="s">
        <v>53</v>
      </c>
      <c r="C61" s="1249">
        <v>849</v>
      </c>
      <c r="D61" s="1249">
        <v>39646835.110002004</v>
      </c>
      <c r="E61" s="1249">
        <v>1788</v>
      </c>
      <c r="F61" s="1249">
        <v>48691130.4521311</v>
      </c>
    </row>
    <row r="62" spans="1:6">
      <c r="A62" s="1248" t="s">
        <v>48</v>
      </c>
      <c r="B62" s="1248" t="s">
        <v>54</v>
      </c>
      <c r="C62" s="1249">
        <v>55</v>
      </c>
      <c r="D62" s="1249">
        <v>4264994.7012659404</v>
      </c>
      <c r="E62" s="1249">
        <v>86</v>
      </c>
      <c r="F62" s="1249">
        <v>2896011.0965526602</v>
      </c>
    </row>
    <row r="63" spans="1:6">
      <c r="A63" s="1248" t="s">
        <v>48</v>
      </c>
      <c r="B63" s="1248" t="s">
        <v>28</v>
      </c>
      <c r="C63" s="1249">
        <v>97</v>
      </c>
      <c r="D63" s="1249">
        <v>6271315.9433430601</v>
      </c>
      <c r="E63" s="1249">
        <v>65</v>
      </c>
      <c r="F63" s="1249">
        <v>4707816.1479504704</v>
      </c>
    </row>
    <row r="64" spans="1:6">
      <c r="A64" s="1248" t="s">
        <v>55</v>
      </c>
      <c r="B64" s="1248" t="s">
        <v>56</v>
      </c>
      <c r="C64" s="1249">
        <v>0</v>
      </c>
      <c r="D64" s="1249">
        <v>0</v>
      </c>
      <c r="E64" s="1249">
        <v>0</v>
      </c>
      <c r="F64" s="1249">
        <v>0</v>
      </c>
    </row>
    <row r="65" spans="1:6">
      <c r="A65" s="1248" t="s">
        <v>55</v>
      </c>
      <c r="B65" s="1248" t="s">
        <v>28</v>
      </c>
      <c r="C65" s="1249">
        <v>2</v>
      </c>
      <c r="D65" s="1249">
        <v>24861.109523614901</v>
      </c>
      <c r="E65" s="1249">
        <v>0</v>
      </c>
      <c r="F65" s="1249">
        <v>0</v>
      </c>
    </row>
    <row r="66" spans="1:6">
      <c r="A66" s="1248" t="s">
        <v>55</v>
      </c>
      <c r="B66" s="1248" t="s">
        <v>57</v>
      </c>
      <c r="C66" s="1249">
        <v>0</v>
      </c>
      <c r="D66" s="1249">
        <v>0</v>
      </c>
      <c r="E66" s="1249">
        <v>22</v>
      </c>
      <c r="F66" s="1249">
        <v>562448.918589768</v>
      </c>
    </row>
    <row r="67" spans="1:6">
      <c r="A67" s="1248" t="s">
        <v>55</v>
      </c>
      <c r="B67" s="1248" t="s">
        <v>58</v>
      </c>
      <c r="C67" s="1249">
        <v>0</v>
      </c>
      <c r="D67" s="1249">
        <v>0</v>
      </c>
      <c r="E67" s="1249">
        <v>0</v>
      </c>
      <c r="F67" s="1249">
        <v>0</v>
      </c>
    </row>
    <row r="68" spans="1:6">
      <c r="A68" s="1243" t="s">
        <v>55</v>
      </c>
      <c r="B68" s="1243" t="s">
        <v>59</v>
      </c>
      <c r="C68" s="1251">
        <v>26</v>
      </c>
      <c r="D68" s="1251">
        <v>1302399.78247361</v>
      </c>
      <c r="E68" s="1251">
        <v>53</v>
      </c>
      <c r="F68" s="1251">
        <v>1568513.21154492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131873519</v>
      </c>
      <c r="E73" s="439"/>
      <c r="F73" s="322"/>
    </row>
    <row r="74" spans="1:6">
      <c r="A74" s="1248" t="s">
        <v>63</v>
      </c>
      <c r="B74" s="1248" t="s">
        <v>617</v>
      </c>
      <c r="C74" s="1261" t="s">
        <v>619</v>
      </c>
      <c r="D74" s="1249">
        <v>17177242.5</v>
      </c>
      <c r="E74" s="439"/>
      <c r="F74" s="322"/>
    </row>
    <row r="75" spans="1:6">
      <c r="A75" s="1248" t="s">
        <v>64</v>
      </c>
      <c r="B75" s="1248" t="s">
        <v>616</v>
      </c>
      <c r="C75" s="1261" t="s">
        <v>620</v>
      </c>
      <c r="D75" s="1249">
        <v>63948959</v>
      </c>
      <c r="E75" s="439"/>
      <c r="F75" s="322"/>
    </row>
    <row r="76" spans="1:6">
      <c r="A76" s="1248" t="s">
        <v>64</v>
      </c>
      <c r="B76" s="1248" t="s">
        <v>617</v>
      </c>
      <c r="C76" s="1261" t="s">
        <v>621</v>
      </c>
      <c r="D76" s="1249">
        <v>3761679.5</v>
      </c>
      <c r="E76" s="439"/>
      <c r="F76" s="322"/>
    </row>
    <row r="77" spans="1:6">
      <c r="A77" s="1248" t="s">
        <v>65</v>
      </c>
      <c r="B77" s="1248" t="s">
        <v>616</v>
      </c>
      <c r="C77" s="1261" t="s">
        <v>622</v>
      </c>
      <c r="D77" s="1249">
        <v>70962065</v>
      </c>
      <c r="E77" s="439"/>
      <c r="F77" s="322"/>
    </row>
    <row r="78" spans="1:6">
      <c r="A78" s="1243" t="s">
        <v>65</v>
      </c>
      <c r="B78" s="1243" t="s">
        <v>617</v>
      </c>
      <c r="C78" s="1243" t="s">
        <v>623</v>
      </c>
      <c r="D78" s="1251">
        <v>11795924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1416617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21530.6015656829</v>
      </c>
      <c r="C90" s="322"/>
      <c r="D90" s="322"/>
      <c r="E90" s="322"/>
      <c r="F90" s="322"/>
    </row>
    <row r="91" spans="1:6">
      <c r="A91" s="1248" t="s">
        <v>67</v>
      </c>
      <c r="B91" s="1249">
        <v>12167.686566400489</v>
      </c>
      <c r="C91" s="322"/>
      <c r="D91" s="322"/>
      <c r="E91" s="322"/>
      <c r="F91" s="322"/>
    </row>
    <row r="92" spans="1:6">
      <c r="A92" s="1243" t="s">
        <v>68</v>
      </c>
      <c r="B92" s="1244">
        <v>13650.043217484015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15096</v>
      </c>
      <c r="C97" s="322"/>
      <c r="D97" s="322"/>
      <c r="E97" s="322"/>
      <c r="F97" s="322"/>
    </row>
    <row r="98" spans="1:6">
      <c r="A98" s="1248" t="s">
        <v>71</v>
      </c>
      <c r="B98" s="1249">
        <v>2</v>
      </c>
      <c r="C98" s="322"/>
      <c r="D98" s="322"/>
      <c r="E98" s="322"/>
      <c r="F98" s="322"/>
    </row>
    <row r="99" spans="1:6">
      <c r="A99" s="1248" t="s">
        <v>72</v>
      </c>
      <c r="B99" s="1249">
        <v>218</v>
      </c>
      <c r="C99" s="322"/>
      <c r="D99" s="322"/>
      <c r="E99" s="322"/>
      <c r="F99" s="322"/>
    </row>
    <row r="100" spans="1:6">
      <c r="A100" s="1248" t="s">
        <v>73</v>
      </c>
      <c r="B100" s="1249">
        <v>1605</v>
      </c>
      <c r="C100" s="322"/>
      <c r="D100" s="322"/>
      <c r="E100" s="322"/>
      <c r="F100" s="322"/>
    </row>
    <row r="101" spans="1:6">
      <c r="A101" s="1248" t="s">
        <v>74</v>
      </c>
      <c r="B101" s="1249">
        <v>277</v>
      </c>
      <c r="C101" s="322"/>
      <c r="D101" s="322"/>
      <c r="E101" s="322"/>
      <c r="F101" s="322"/>
    </row>
    <row r="102" spans="1:6">
      <c r="A102" s="1248" t="s">
        <v>75</v>
      </c>
      <c r="B102" s="1249">
        <v>397</v>
      </c>
      <c r="C102" s="322"/>
      <c r="D102" s="322"/>
      <c r="E102" s="322"/>
      <c r="F102" s="322"/>
    </row>
    <row r="103" spans="1:6">
      <c r="A103" s="1248" t="s">
        <v>76</v>
      </c>
      <c r="B103" s="1249">
        <v>430</v>
      </c>
      <c r="C103" s="322"/>
      <c r="D103" s="322"/>
      <c r="E103" s="322"/>
      <c r="F103" s="322"/>
    </row>
    <row r="104" spans="1:6">
      <c r="A104" s="1248" t="s">
        <v>77</v>
      </c>
      <c r="B104" s="1249">
        <v>3828</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121</v>
      </c>
      <c r="C123" s="1249">
        <v>88</v>
      </c>
      <c r="D123" s="322"/>
      <c r="E123" s="322"/>
      <c r="F123" s="322"/>
    </row>
    <row r="124" spans="1:6">
      <c r="A124" s="1248" t="s">
        <v>88</v>
      </c>
      <c r="B124" s="1249">
        <v>3</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645</v>
      </c>
      <c r="C129" s="322"/>
      <c r="D129" s="322"/>
      <c r="E129" s="322"/>
      <c r="F129" s="322"/>
    </row>
    <row r="130" spans="1:6">
      <c r="A130" s="1248" t="s">
        <v>283</v>
      </c>
      <c r="B130" s="1249">
        <v>4</v>
      </c>
      <c r="C130" s="322"/>
      <c r="D130" s="322"/>
      <c r="E130" s="322"/>
      <c r="F130" s="322"/>
    </row>
    <row r="131" spans="1:6">
      <c r="A131" s="1248" t="s">
        <v>284</v>
      </c>
      <c r="B131" s="1249">
        <v>11</v>
      </c>
      <c r="C131" s="322"/>
      <c r="D131" s="322"/>
      <c r="E131" s="322"/>
      <c r="F131" s="322"/>
    </row>
    <row r="132" spans="1:6">
      <c r="A132" s="1243" t="s">
        <v>285</v>
      </c>
      <c r="B132" s="1244">
        <v>72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509373.32830063248</v>
      </c>
      <c r="C3" s="43" t="s">
        <v>163</v>
      </c>
      <c r="D3" s="43"/>
      <c r="E3" s="153"/>
      <c r="F3" s="43"/>
      <c r="G3" s="43"/>
      <c r="H3" s="43"/>
      <c r="I3" s="43"/>
      <c r="J3" s="43"/>
      <c r="K3" s="96"/>
    </row>
    <row r="4" spans="1:11">
      <c r="A4" s="348" t="s">
        <v>164</v>
      </c>
      <c r="B4" s="49">
        <f>IF(ISERROR('SEAP template'!B78+'SEAP template'!C78),0,'SEAP template'!B78+'SEAP template'!C78)</f>
        <v>82736.331349567408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3107.7105882352944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0.1912045281981046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4439.5865546218502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50355.000000000007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8.816575423735179E-2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5452.5029999999997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5452.5029999999997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0.1912045281981046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1042.5432636137498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81442.047933216076</v>
      </c>
      <c r="C5" s="17">
        <f>IF(ISERROR('Eigen informatie GS &amp; warmtenet'!B57),0,'Eigen informatie GS &amp; warmtenet'!B57)</f>
        <v>0</v>
      </c>
      <c r="D5" s="30">
        <f>(SUM(HH_hh_gas_kWh,HH_rest_gas_kWh)/1000)*0.902</f>
        <v>277702.30955208314</v>
      </c>
      <c r="E5" s="17">
        <f>B32*B41</f>
        <v>3540.7726962476963</v>
      </c>
      <c r="F5" s="17">
        <f>B36*B45</f>
        <v>82072.356320500796</v>
      </c>
      <c r="G5" s="18"/>
      <c r="H5" s="17"/>
      <c r="I5" s="17"/>
      <c r="J5" s="17">
        <f>B35*B44+C35*C44</f>
        <v>421.77961729225456</v>
      </c>
      <c r="K5" s="17"/>
      <c r="L5" s="17"/>
      <c r="M5" s="17"/>
      <c r="N5" s="17">
        <f>B34*B43+C34*C43</f>
        <v>33715.478956434272</v>
      </c>
      <c r="O5" s="17">
        <f>B52*B53*B54</f>
        <v>1149.05</v>
      </c>
      <c r="P5" s="17">
        <f>B60*B61*B62/1000-B60*B61*B62/1000/B63</f>
        <v>3737.0666666666666</v>
      </c>
    </row>
    <row r="6" spans="1:16">
      <c r="A6" s="16" t="s">
        <v>582</v>
      </c>
      <c r="B6" s="716">
        <f>kWh_PV_kleiner_dan_10kW</f>
        <v>12167.686566400489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93609.734499616563</v>
      </c>
      <c r="C8" s="21">
        <f>C5</f>
        <v>0</v>
      </c>
      <c r="D8" s="21">
        <f>D5</f>
        <v>277702.30955208314</v>
      </c>
      <c r="E8" s="21">
        <f>E5</f>
        <v>3540.7726962476963</v>
      </c>
      <c r="F8" s="21">
        <f>F5</f>
        <v>82072.356320500796</v>
      </c>
      <c r="G8" s="21"/>
      <c r="H8" s="21"/>
      <c r="I8" s="21"/>
      <c r="J8" s="21">
        <f>J5</f>
        <v>421.77961729225456</v>
      </c>
      <c r="K8" s="21"/>
      <c r="L8" s="21">
        <f>L5</f>
        <v>0</v>
      </c>
      <c r="M8" s="21">
        <f>M5</f>
        <v>0</v>
      </c>
      <c r="N8" s="21">
        <f>N5</f>
        <v>33715.478956434272</v>
      </c>
      <c r="O8" s="21">
        <f>O5</f>
        <v>1149.05</v>
      </c>
      <c r="P8" s="21">
        <f>P5</f>
        <v>3737.0666666666666</v>
      </c>
    </row>
    <row r="9" spans="1:16">
      <c r="B9" s="19"/>
      <c r="C9" s="19"/>
      <c r="D9" s="253"/>
      <c r="E9" s="19"/>
      <c r="F9" s="19"/>
      <c r="G9" s="19"/>
      <c r="H9" s="19"/>
      <c r="I9" s="19"/>
      <c r="J9" s="19"/>
      <c r="K9" s="19"/>
      <c r="L9" s="19"/>
      <c r="M9" s="19"/>
      <c r="N9" s="19"/>
      <c r="O9" s="19"/>
      <c r="P9" s="19"/>
    </row>
    <row r="10" spans="1:16">
      <c r="A10" s="24" t="s">
        <v>207</v>
      </c>
      <c r="B10" s="25">
        <f ca="1">'EF ele_warmte'!B12</f>
        <v>0.1912045281981046</v>
      </c>
      <c r="C10" s="25">
        <f ca="1">'EF ele_warmte'!B22</f>
        <v>8.816575423735179E-2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17898.60511974902</v>
      </c>
      <c r="C12" s="23">
        <f ca="1">C10*C8</f>
        <v>0</v>
      </c>
      <c r="D12" s="23">
        <f>D8*D10</f>
        <v>56095.866529520797</v>
      </c>
      <c r="E12" s="23">
        <f>E10*E8</f>
        <v>803.7554020482271</v>
      </c>
      <c r="F12" s="23">
        <f>F10*F8</f>
        <v>21913.319137573715</v>
      </c>
      <c r="G12" s="23"/>
      <c r="H12" s="23"/>
      <c r="I12" s="23"/>
      <c r="J12" s="23">
        <f>J10*J8</f>
        <v>149.30998452145809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26415</v>
      </c>
      <c r="C26" s="36"/>
      <c r="D26" s="224"/>
    </row>
    <row r="27" spans="1:5" s="15" customFormat="1">
      <c r="A27" s="226" t="s">
        <v>736</v>
      </c>
      <c r="B27" s="37">
        <f>SUM(HH_hh_gas_aantal,HH_rest_gas_aantal)</f>
        <v>21345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20277.75</v>
      </c>
      <c r="C31" s="34" t="s">
        <v>104</v>
      </c>
      <c r="D31" s="170"/>
    </row>
    <row r="32" spans="1:5">
      <c r="A32" s="167" t="s">
        <v>72</v>
      </c>
      <c r="B32" s="33">
        <f>IF((B21*($B$26-($B$27-0.05*$B$27)-$B$60))&lt;0,0,B21*($B$26-($B$27-0.05*$B$27)-$B$60))</f>
        <v>65.429994320004198</v>
      </c>
      <c r="C32" s="34" t="s">
        <v>104</v>
      </c>
      <c r="D32" s="170"/>
    </row>
    <row r="33" spans="1:6">
      <c r="A33" s="167" t="s">
        <v>73</v>
      </c>
      <c r="B33" s="33">
        <f>IF((B22*($B$26-($B$27-0.05*$B$27)-$B$60))&lt;0,0,B22*($B$26-($B$27-0.05*$B$27)-$B$60))</f>
        <v>1360.3445280123306</v>
      </c>
      <c r="C33" s="34" t="s">
        <v>104</v>
      </c>
      <c r="D33" s="170"/>
    </row>
    <row r="34" spans="1:6">
      <c r="A34" s="167" t="s">
        <v>74</v>
      </c>
      <c r="B34" s="33">
        <f>IF((B24*($B$26-($B$27-0.05*$B$27)-$B$60))&lt;0,0,B24*($B$26-($B$27-0.05*$B$27)-$B$60))</f>
        <v>530.93780569075636</v>
      </c>
      <c r="C34" s="33">
        <f>B26*C24</f>
        <v>4678.7473327702464</v>
      </c>
      <c r="D34" s="229"/>
    </row>
    <row r="35" spans="1:6">
      <c r="A35" s="167" t="s">
        <v>76</v>
      </c>
      <c r="B35" s="33">
        <f>IF((B19*($B$26-($B$27-0.05*$B$27)-$B$60))&lt;0,0,B19*($B$26-($B$27-0.05*$B$27)-$B$60))</f>
        <v>49.523450339627772</v>
      </c>
      <c r="C35" s="33">
        <f>B35/2</f>
        <v>24.761725169813886</v>
      </c>
      <c r="D35" s="229"/>
    </row>
    <row r="36" spans="1:6">
      <c r="A36" s="167" t="s">
        <v>77</v>
      </c>
      <c r="B36" s="33">
        <f>IF((B18*($B$26-($B$27-0.05*$B$27)-$B$60))&lt;0,0,B18*($B$26-($B$27-0.05*$B$27)-$B$60))</f>
        <v>3935.014221637281</v>
      </c>
      <c r="C36" s="34" t="s">
        <v>104</v>
      </c>
      <c r="D36" s="170"/>
    </row>
    <row r="37" spans="1:6">
      <c r="A37" s="167" t="s">
        <v>78</v>
      </c>
      <c r="B37" s="33">
        <f>B60</f>
        <v>196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735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196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155569.26016262444</v>
      </c>
      <c r="C5" s="17">
        <f>IF(ISERROR('Eigen informatie GS &amp; warmtenet'!B58),0,'Eigen informatie GS &amp; warmtenet'!B58)</f>
        <v>0</v>
      </c>
      <c r="D5" s="30">
        <f>SUM(D6:D12)</f>
        <v>195684.10030368369</v>
      </c>
      <c r="E5" s="17">
        <f>SUM(E6:E12)</f>
        <v>2015.3807803819757</v>
      </c>
      <c r="F5" s="17">
        <f>SUM(F6:F12)</f>
        <v>24352.818177293706</v>
      </c>
      <c r="G5" s="18"/>
      <c r="H5" s="17"/>
      <c r="I5" s="17"/>
      <c r="J5" s="17">
        <f>SUM(J6:J12)</f>
        <v>0.15698570541061482</v>
      </c>
      <c r="K5" s="17"/>
      <c r="L5" s="17"/>
      <c r="M5" s="17"/>
      <c r="N5" s="17">
        <f>SUM(N6:N12)</f>
        <v>6639.5237299068003</v>
      </c>
      <c r="O5" s="17">
        <f>B38*B39*B40</f>
        <v>6.2533333333333339</v>
      </c>
      <c r="P5" s="17">
        <f>B46*B47*B48/1000-B46*B47*B48/1000/B49</f>
        <v>209.73333333333335</v>
      </c>
      <c r="R5" s="32"/>
    </row>
    <row r="6" spans="1:18">
      <c r="A6" s="32" t="s">
        <v>53</v>
      </c>
      <c r="B6" s="37">
        <f>B26</f>
        <v>48691.130452131103</v>
      </c>
      <c r="C6" s="33"/>
      <c r="D6" s="37">
        <f>IF(ISERROR(TER_kantoor_gas_kWh/1000),0,TER_kantoor_gas_kWh/1000)*0.902</f>
        <v>35761.445269221804</v>
      </c>
      <c r="E6" s="33">
        <f>$C$26*'E Balans VL '!I12/100/3.6*1000000</f>
        <v>-3.9981756035401446E-3</v>
      </c>
      <c r="F6" s="33">
        <f>$C$26*('E Balans VL '!L12+'E Balans VL '!N12)/100/3.6*1000000</f>
        <v>6170.6941809388172</v>
      </c>
      <c r="G6" s="34"/>
      <c r="H6" s="33"/>
      <c r="I6" s="33"/>
      <c r="J6" s="33">
        <f>$C$26*('E Balans VL '!D12+'E Balans VL '!E12)/100/3.6*1000000</f>
        <v>0</v>
      </c>
      <c r="K6" s="33"/>
      <c r="L6" s="33"/>
      <c r="M6" s="33"/>
      <c r="N6" s="33">
        <f>$C$26*'E Balans VL '!Y12/100/3.6*1000000</f>
        <v>59.722551542967658</v>
      </c>
      <c r="O6" s="33"/>
      <c r="P6" s="33"/>
      <c r="R6" s="32"/>
    </row>
    <row r="7" spans="1:18">
      <c r="A7" s="32" t="s">
        <v>52</v>
      </c>
      <c r="B7" s="37">
        <f t="shared" ref="B7:B12" si="0">B27</f>
        <v>12089.912488436701</v>
      </c>
      <c r="C7" s="33"/>
      <c r="D7" s="37">
        <f>IF(ISERROR(TER_horeca_gas_kWh/1000),0,TER_horeca_gas_kWh/1000)*0.902</f>
        <v>18931.254784765697</v>
      </c>
      <c r="E7" s="33">
        <f>$C$27*'E Balans VL '!I9/100/3.6*1000000</f>
        <v>139.16081363274375</v>
      </c>
      <c r="F7" s="33">
        <f>$C$27*('E Balans VL '!L9+'E Balans VL '!N9)/100/3.6*1000000</f>
        <v>1558.7988038061017</v>
      </c>
      <c r="G7" s="34"/>
      <c r="H7" s="33"/>
      <c r="I7" s="33"/>
      <c r="J7" s="33">
        <f>$C$27*('E Balans VL '!D9+'E Balans VL '!E9)/100/3.6*1000000</f>
        <v>0</v>
      </c>
      <c r="K7" s="33"/>
      <c r="L7" s="33"/>
      <c r="M7" s="33"/>
      <c r="N7" s="33">
        <f>$C$27*'E Balans VL '!Y9/100/3.6*1000000</f>
        <v>127.60625578486049</v>
      </c>
      <c r="O7" s="33"/>
      <c r="P7" s="33"/>
      <c r="R7" s="32"/>
    </row>
    <row r="8" spans="1:18">
      <c r="A8" s="6" t="s">
        <v>51</v>
      </c>
      <c r="B8" s="37">
        <f t="shared" si="0"/>
        <v>53525.888722527103</v>
      </c>
      <c r="C8" s="33"/>
      <c r="D8" s="37">
        <f>IF(ISERROR(TER_handel_gas_kWh/1000),0,TER_handel_gas_kWh/1000)*0.902</f>
        <v>61730.914336149086</v>
      </c>
      <c r="E8" s="33">
        <f>$C$28*'E Balans VL '!I13/100/3.6*1000000</f>
        <v>1510.2011016881372</v>
      </c>
      <c r="F8" s="33">
        <f>$C$28*('E Balans VL '!L13+'E Balans VL '!N13)/100/3.6*1000000</f>
        <v>5383.5568745671299</v>
      </c>
      <c r="G8" s="34"/>
      <c r="H8" s="33"/>
      <c r="I8" s="33"/>
      <c r="J8" s="33">
        <f>$C$28*('E Balans VL '!D13+'E Balans VL '!E13)/100/3.6*1000000</f>
        <v>0</v>
      </c>
      <c r="K8" s="33"/>
      <c r="L8" s="33"/>
      <c r="M8" s="33"/>
      <c r="N8" s="33">
        <f>$C$28*'E Balans VL '!Y13/100/3.6*1000000</f>
        <v>73.886493877231004</v>
      </c>
      <c r="O8" s="33"/>
      <c r="P8" s="33"/>
      <c r="R8" s="32"/>
    </row>
    <row r="9" spans="1:18">
      <c r="A9" s="32" t="s">
        <v>50</v>
      </c>
      <c r="B9" s="37">
        <f t="shared" si="0"/>
        <v>20231.737910697502</v>
      </c>
      <c r="C9" s="33"/>
      <c r="D9" s="37">
        <f>IF(ISERROR(TER_gezond_gas_kWh/1000),0,TER_gezond_gas_kWh/1000)*0.902</f>
        <v>22897.227731976207</v>
      </c>
      <c r="E9" s="33">
        <f>$C$29*'E Balans VL '!I10/100/3.6*1000000</f>
        <v>40.416783679279753</v>
      </c>
      <c r="F9" s="33">
        <f>$C$29*('E Balans VL '!L10+'E Balans VL '!N10)/100/3.6*1000000</f>
        <v>1772.7060699099181</v>
      </c>
      <c r="G9" s="34"/>
      <c r="H9" s="33"/>
      <c r="I9" s="33"/>
      <c r="J9" s="33">
        <f>$C$29*('E Balans VL '!D10+'E Balans VL '!E10)/100/3.6*1000000</f>
        <v>0</v>
      </c>
      <c r="K9" s="33"/>
      <c r="L9" s="33"/>
      <c r="M9" s="33"/>
      <c r="N9" s="33">
        <f>$C$29*'E Balans VL '!Y10/100/3.6*1000000</f>
        <v>306.03411745509862</v>
      </c>
      <c r="O9" s="33"/>
      <c r="P9" s="33"/>
      <c r="R9" s="32"/>
    </row>
    <row r="10" spans="1:18">
      <c r="A10" s="32" t="s">
        <v>49</v>
      </c>
      <c r="B10" s="37">
        <f t="shared" si="0"/>
        <v>13426.763344328901</v>
      </c>
      <c r="C10" s="33"/>
      <c r="D10" s="37">
        <f>IF(ISERROR(TER_ander_gas_kWh/1000),0,TER_ander_gas_kWh/1000)*0.902</f>
        <v>46859.505980133574</v>
      </c>
      <c r="E10" s="33">
        <f>$C$30*'E Balans VL '!I14/100/3.6*1000000</f>
        <v>189.15069533204823</v>
      </c>
      <c r="F10" s="33">
        <f>$C$30*('E Balans VL '!L14+'E Balans VL '!N14)/100/3.6*1000000</f>
        <v>8144.8467873182008</v>
      </c>
      <c r="G10" s="34"/>
      <c r="H10" s="33"/>
      <c r="I10" s="33"/>
      <c r="J10" s="33">
        <f>$C$30*('E Balans VL '!D14+'E Balans VL '!E14)/100/3.6*1000000</f>
        <v>0.14740005024509317</v>
      </c>
      <c r="K10" s="33"/>
      <c r="L10" s="33"/>
      <c r="M10" s="33"/>
      <c r="N10" s="33">
        <f>$C$30*'E Balans VL '!Y14/100/3.6*1000000</f>
        <v>5678.5977529837028</v>
      </c>
      <c r="O10" s="33"/>
      <c r="P10" s="33"/>
      <c r="R10" s="32"/>
    </row>
    <row r="11" spans="1:18">
      <c r="A11" s="32" t="s">
        <v>54</v>
      </c>
      <c r="B11" s="37">
        <f t="shared" si="0"/>
        <v>2896.0110965526601</v>
      </c>
      <c r="C11" s="33"/>
      <c r="D11" s="37">
        <f>IF(ISERROR(TER_onderwijs_gas_kWh/1000),0,TER_onderwijs_gas_kWh/1000)*0.902</f>
        <v>3847.0252205418783</v>
      </c>
      <c r="E11" s="33">
        <f>$C$31*'E Balans VL '!I11/100/3.6*1000000</f>
        <v>75.587313105656079</v>
      </c>
      <c r="F11" s="33">
        <f>$C$31*('E Balans VL '!L11+'E Balans VL '!N11)/100/3.6*1000000</f>
        <v>356.37850080655295</v>
      </c>
      <c r="G11" s="34"/>
      <c r="H11" s="33"/>
      <c r="I11" s="33"/>
      <c r="J11" s="33">
        <f>$C$31*('E Balans VL '!D11+'E Balans VL '!E11)/100/3.6*1000000</f>
        <v>0</v>
      </c>
      <c r="K11" s="33"/>
      <c r="L11" s="33"/>
      <c r="M11" s="33"/>
      <c r="N11" s="33">
        <f>$C$31*'E Balans VL '!Y11/100/3.6*1000000</f>
        <v>9.1708127428429318</v>
      </c>
      <c r="O11" s="33"/>
      <c r="P11" s="33"/>
      <c r="R11" s="32"/>
    </row>
    <row r="12" spans="1:18">
      <c r="A12" s="32" t="s">
        <v>248</v>
      </c>
      <c r="B12" s="37">
        <f t="shared" si="0"/>
        <v>4707.8161479504706</v>
      </c>
      <c r="C12" s="33"/>
      <c r="D12" s="37">
        <f>IF(ISERROR(TER_rest_gas_kWh/1000),0,TER_rest_gas_kWh/1000)*0.902</f>
        <v>5656.7269808954406</v>
      </c>
      <c r="E12" s="33">
        <f>$C$32*'E Balans VL '!I8/100/3.6*1000000</f>
        <v>60.868071119714308</v>
      </c>
      <c r="F12" s="33">
        <f>$C$32*('E Balans VL '!L8+'E Balans VL '!N8)/100/3.6*1000000</f>
        <v>965.83695994698508</v>
      </c>
      <c r="G12" s="34"/>
      <c r="H12" s="33"/>
      <c r="I12" s="33"/>
      <c r="J12" s="33">
        <f>$C$32*('E Balans VL '!D8+'E Balans VL '!E8)/100/3.6*1000000</f>
        <v>9.5856551655216591E-3</v>
      </c>
      <c r="K12" s="33"/>
      <c r="L12" s="33"/>
      <c r="M12" s="33"/>
      <c r="N12" s="33">
        <f>$C$32*'E Balans VL '!Y8/100/3.6*1000000</f>
        <v>384.50574552009635</v>
      </c>
      <c r="O12" s="33"/>
      <c r="P12" s="33"/>
      <c r="R12" s="32"/>
    </row>
    <row r="13" spans="1:18">
      <c r="A13" s="16" t="s">
        <v>473</v>
      </c>
      <c r="B13" s="242">
        <f ca="1">'lokale energieproductie'!N42+'lokale energieproductie'!N35</f>
        <v>29088</v>
      </c>
      <c r="C13" s="242">
        <f ca="1">'lokale energieproductie'!O42+'lokale energieproductie'!O35</f>
        <v>41355.000000000007</v>
      </c>
      <c r="D13" s="300">
        <f ca="1">('lokale energieproductie'!P35+'lokale energieproductie'!P42)*(-1)</f>
        <v>-19362.857142857145</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-63745.71428571429</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184657.26016262444</v>
      </c>
      <c r="C16" s="21">
        <f t="shared" ca="1" si="1"/>
        <v>41355.000000000007</v>
      </c>
      <c r="D16" s="21">
        <f t="shared" ca="1" si="1"/>
        <v>176321.24316082656</v>
      </c>
      <c r="E16" s="21">
        <f t="shared" si="1"/>
        <v>2015.3807803819757</v>
      </c>
      <c r="F16" s="21">
        <f t="shared" ca="1" si="1"/>
        <v>24352.818177293706</v>
      </c>
      <c r="G16" s="21">
        <f t="shared" si="1"/>
        <v>0</v>
      </c>
      <c r="H16" s="21">
        <f t="shared" si="1"/>
        <v>0</v>
      </c>
      <c r="I16" s="21">
        <f t="shared" si="1"/>
        <v>0</v>
      </c>
      <c r="J16" s="21">
        <f t="shared" si="1"/>
        <v>0.15698570541061482</v>
      </c>
      <c r="K16" s="21">
        <f t="shared" si="1"/>
        <v>0</v>
      </c>
      <c r="L16" s="21">
        <f t="shared" ca="1" si="1"/>
        <v>0</v>
      </c>
      <c r="M16" s="21">
        <f t="shared" si="1"/>
        <v>0</v>
      </c>
      <c r="N16" s="21">
        <f t="shared" ca="1" si="1"/>
        <v>0</v>
      </c>
      <c r="O16" s="21">
        <f>O5</f>
        <v>6.2533333333333339</v>
      </c>
      <c r="P16" s="21">
        <f>P5</f>
        <v>209.73333333333335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0.1912045281981046</v>
      </c>
      <c r="C18" s="25">
        <f ca="1">'EF ele_warmte'!B22</f>
        <v>8.816575423735179E-2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35307.304307749262</v>
      </c>
      <c r="C20" s="23">
        <f t="shared" ref="C20:P20" ca="1" si="2">C16*C18</f>
        <v>3646.094766485684</v>
      </c>
      <c r="D20" s="23">
        <f t="shared" ca="1" si="2"/>
        <v>35616.891118486965</v>
      </c>
      <c r="E20" s="23">
        <f t="shared" si="2"/>
        <v>457.49143714670851</v>
      </c>
      <c r="F20" s="23">
        <f t="shared" ca="1" si="2"/>
        <v>6502.2024533374197</v>
      </c>
      <c r="G20" s="23">
        <f t="shared" si="2"/>
        <v>0</v>
      </c>
      <c r="H20" s="23">
        <f t="shared" si="2"/>
        <v>0</v>
      </c>
      <c r="I20" s="23">
        <f t="shared" si="2"/>
        <v>0</v>
      </c>
      <c r="J20" s="23">
        <f t="shared" si="2"/>
        <v>5.5572939715357643E-2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48691.130452131103</v>
      </c>
      <c r="C26" s="39">
        <f>IF(ISERROR(B26*3.6/1000000/'E Balans VL '!Z12*100),0,B26*3.6/1000000/'E Balans VL '!Z12*100)</f>
        <v>1.3200583916261504</v>
      </c>
      <c r="D26" s="232" t="s">
        <v>700</v>
      </c>
      <c r="F26" s="6"/>
    </row>
    <row r="27" spans="1:18">
      <c r="A27" s="227" t="s">
        <v>52</v>
      </c>
      <c r="B27" s="33">
        <f>IF(ISERROR(TER_horeca_ele_kWh/1000),0,TER_horeca_ele_kWh/1000)</f>
        <v>12089.912488436701</v>
      </c>
      <c r="C27" s="39">
        <f>IF(ISERROR(B27*3.6/1000000/'E Balans VL '!Z9*100),0,B27*3.6/1000000/'E Balans VL '!Z9*100)</f>
        <v>0.93516741306226558</v>
      </c>
      <c r="D27" s="232" t="s">
        <v>700</v>
      </c>
      <c r="F27" s="6"/>
    </row>
    <row r="28" spans="1:18">
      <c r="A28" s="167" t="s">
        <v>51</v>
      </c>
      <c r="B28" s="33">
        <f>IF(ISERROR(TER_handel_ele_kWh/1000),0,TER_handel_ele_kWh/1000)</f>
        <v>53525.888722527103</v>
      </c>
      <c r="C28" s="39">
        <f>IF(ISERROR(B28*3.6/1000000/'E Balans VL '!Z13*100),0,B28*3.6/1000000/'E Balans VL '!Z13*100)</f>
        <v>1.5481071362016803</v>
      </c>
      <c r="D28" s="232" t="s">
        <v>700</v>
      </c>
      <c r="F28" s="6"/>
    </row>
    <row r="29" spans="1:18">
      <c r="A29" s="227" t="s">
        <v>50</v>
      </c>
      <c r="B29" s="33">
        <f>IF(ISERROR(TER_gezond_ele_kWh/1000),0,TER_gezond_ele_kWh/1000)</f>
        <v>20231.737910697502</v>
      </c>
      <c r="C29" s="39">
        <f>IF(ISERROR(B29*3.6/1000000/'E Balans VL '!Z10*100),0,B29*3.6/1000000/'E Balans VL '!Z10*100)</f>
        <v>2.083670592439288</v>
      </c>
      <c r="D29" s="232" t="s">
        <v>700</v>
      </c>
      <c r="F29" s="6"/>
    </row>
    <row r="30" spans="1:18">
      <c r="A30" s="227" t="s">
        <v>49</v>
      </c>
      <c r="B30" s="33">
        <f>IF(ISERROR(TER_ander_ele_kWh/1000),0,TER_ander_ele_kWh/1000)</f>
        <v>13426.763344328901</v>
      </c>
      <c r="C30" s="39">
        <f>IF(ISERROR(B30*3.6/1000000/'E Balans VL '!Z14*100),0,B30*3.6/1000000/'E Balans VL '!Z14*100)</f>
        <v>0.60368621260789002</v>
      </c>
      <c r="D30" s="232" t="s">
        <v>700</v>
      </c>
      <c r="F30" s="6"/>
    </row>
    <row r="31" spans="1:18">
      <c r="A31" s="227" t="s">
        <v>54</v>
      </c>
      <c r="B31" s="33">
        <f>IF(ISERROR(TER_onderwijs_ele_kWh/1000),0,TER_onderwijs_ele_kWh/1000)</f>
        <v>2896.0110965526601</v>
      </c>
      <c r="C31" s="39">
        <f>IF(ISERROR(B31*3.6/1000000/'E Balans VL '!Z11*100),0,B31*3.6/1000000/'E Balans VL '!Z11*100)</f>
        <v>0.80933932547880316</v>
      </c>
      <c r="D31" s="232" t="s">
        <v>700</v>
      </c>
    </row>
    <row r="32" spans="1:18">
      <c r="A32" s="227" t="s">
        <v>248</v>
      </c>
      <c r="B32" s="33">
        <f>IF(ISERROR(TER_rest_ele_kWh/1000),0,TER_rest_ele_kWh/1000)</f>
        <v>4707.8161479504706</v>
      </c>
      <c r="C32" s="39">
        <f>IF(ISERROR(B32*3.6/1000000/'E Balans VL '!Z8*100),0,B32*3.6/1000000/'E Balans VL '!Z8*100)</f>
        <v>3.9258655968006789E-2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211157.30219745124</v>
      </c>
      <c r="C5" s="17">
        <f>IF(ISERROR('Eigen informatie GS &amp; warmtenet'!B59),0,'Eigen informatie GS &amp; warmtenet'!B59)</f>
        <v>0</v>
      </c>
      <c r="D5" s="30">
        <f>SUM(D6:D15)</f>
        <v>291683.47904443706</v>
      </c>
      <c r="E5" s="17">
        <f>SUM(E6:E15)</f>
        <v>4352.0245800184648</v>
      </c>
      <c r="F5" s="17">
        <f>SUM(F6:F15)</f>
        <v>31394.701186201353</v>
      </c>
      <c r="G5" s="18"/>
      <c r="H5" s="17"/>
      <c r="I5" s="17"/>
      <c r="J5" s="17">
        <f>SUM(J6:J15)</f>
        <v>256.55888039552991</v>
      </c>
      <c r="K5" s="17"/>
      <c r="L5" s="17"/>
      <c r="M5" s="17"/>
      <c r="N5" s="17">
        <f>SUM(N6:N15)</f>
        <v>9979.3068982893365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22479.566328795001</v>
      </c>
      <c r="C8" s="33"/>
      <c r="D8" s="37">
        <f>IF( ISERROR(IND_metaal_Gas_kWH/1000),0,IND_metaal_Gas_kWH/1000)*0.902</f>
        <v>26175.920711427167</v>
      </c>
      <c r="E8" s="33">
        <f>C30*'E Balans VL '!I18/100/3.6*1000000</f>
        <v>204.00895179963908</v>
      </c>
      <c r="F8" s="33">
        <f>C30*'E Balans VL '!L18/100/3.6*1000000+C30*'E Balans VL '!N18/100/3.6*1000000</f>
        <v>2069.0661258100449</v>
      </c>
      <c r="G8" s="34"/>
      <c r="H8" s="33"/>
      <c r="I8" s="33"/>
      <c r="J8" s="40">
        <f>C30*'E Balans VL '!D18/100/3.6*1000000+C30*'E Balans VL '!E18/100/3.6*1000000</f>
        <v>0</v>
      </c>
      <c r="K8" s="33"/>
      <c r="L8" s="33"/>
      <c r="M8" s="33"/>
      <c r="N8" s="33">
        <f>C30*'E Balans VL '!Y18/100/3.6*1000000</f>
        <v>328.1839660319913</v>
      </c>
      <c r="O8" s="33"/>
      <c r="P8" s="33"/>
      <c r="R8" s="32"/>
    </row>
    <row r="9" spans="1:18">
      <c r="A9" s="6" t="s">
        <v>32</v>
      </c>
      <c r="B9" s="37">
        <f t="shared" si="0"/>
        <v>9148.99864341387</v>
      </c>
      <c r="C9" s="33"/>
      <c r="D9" s="37">
        <f>IF( ISERROR(IND_andere_gas_kWh/1000),0,IND_andere_gas_kWh/1000)*0.902</f>
        <v>8483.786641379329</v>
      </c>
      <c r="E9" s="33">
        <f>C31*'E Balans VL '!I19/100/3.6*1000000</f>
        <v>53.10285576605645</v>
      </c>
      <c r="F9" s="33">
        <f>C31*'E Balans VL '!L19/100/3.6*1000000+C31*'E Balans VL '!N19/100/3.6*1000000</f>
        <v>6033.6618735598531</v>
      </c>
      <c r="G9" s="34"/>
      <c r="H9" s="33"/>
      <c r="I9" s="33"/>
      <c r="J9" s="40">
        <f>C31*'E Balans VL '!D19/100/3.6*1000000+C31*'E Balans VL '!E19/100/3.6*1000000</f>
        <v>0</v>
      </c>
      <c r="K9" s="33"/>
      <c r="L9" s="33"/>
      <c r="M9" s="33"/>
      <c r="N9" s="33">
        <f>C31*'E Balans VL '!Y19/100/3.6*1000000</f>
        <v>423.69808002309668</v>
      </c>
      <c r="O9" s="33"/>
      <c r="P9" s="33"/>
      <c r="R9" s="32"/>
    </row>
    <row r="10" spans="1:18">
      <c r="A10" s="6" t="s">
        <v>40</v>
      </c>
      <c r="B10" s="37">
        <f t="shared" si="0"/>
        <v>89878.166470898897</v>
      </c>
      <c r="C10" s="33"/>
      <c r="D10" s="37">
        <f>IF( ISERROR(IND_voed_gas_kWh/1000),0,IND_voed_gas_kWh/1000)*0.902</f>
        <v>93451.835072581001</v>
      </c>
      <c r="E10" s="33">
        <f>C32*'E Balans VL '!I20/100/3.6*1000000</f>
        <v>190.4727994765139</v>
      </c>
      <c r="F10" s="33">
        <f>C32*'E Balans VL '!L20/100/3.6*1000000+C32*'E Balans VL '!N20/100/3.6*1000000</f>
        <v>5712.1287512499539</v>
      </c>
      <c r="G10" s="34"/>
      <c r="H10" s="33"/>
      <c r="I10" s="33"/>
      <c r="J10" s="40">
        <f>C32*'E Balans VL '!D20/100/3.6*1000000+C32*'E Balans VL '!E20/100/3.6*1000000</f>
        <v>0</v>
      </c>
      <c r="K10" s="33"/>
      <c r="L10" s="33"/>
      <c r="M10" s="33"/>
      <c r="N10" s="33">
        <f>C32*'E Balans VL '!Y20/100/3.6*1000000</f>
        <v>2605.4684980708334</v>
      </c>
      <c r="O10" s="33"/>
      <c r="P10" s="33"/>
      <c r="R10" s="32"/>
    </row>
    <row r="11" spans="1:18">
      <c r="A11" s="6" t="s">
        <v>39</v>
      </c>
      <c r="B11" s="37">
        <f t="shared" si="0"/>
        <v>2701.3185126253902</v>
      </c>
      <c r="C11" s="33"/>
      <c r="D11" s="37">
        <f>IF( ISERROR(IND_textiel_gas_kWh/1000),0,IND_textiel_gas_kWh/1000)*0.902</f>
        <v>523.36788954414862</v>
      </c>
      <c r="E11" s="33">
        <f>C33*'E Balans VL '!I21/100/3.6*1000000</f>
        <v>8.4562386736571558</v>
      </c>
      <c r="F11" s="33">
        <f>C33*'E Balans VL '!L21/100/3.6*1000000+C33*'E Balans VL '!N21/100/3.6*1000000</f>
        <v>276.11923900918231</v>
      </c>
      <c r="G11" s="34"/>
      <c r="H11" s="33"/>
      <c r="I11" s="33"/>
      <c r="J11" s="40">
        <f>C33*'E Balans VL '!D21/100/3.6*1000000+C33*'E Balans VL '!E21/100/3.6*1000000</f>
        <v>0</v>
      </c>
      <c r="K11" s="33"/>
      <c r="L11" s="33"/>
      <c r="M11" s="33"/>
      <c r="N11" s="33">
        <f>C33*'E Balans VL '!Y21/100/3.6*1000000</f>
        <v>0.37294901106487233</v>
      </c>
      <c r="O11" s="33"/>
      <c r="P11" s="33"/>
      <c r="R11" s="32"/>
    </row>
    <row r="12" spans="1:18">
      <c r="A12" s="6" t="s">
        <v>36</v>
      </c>
      <c r="B12" s="37">
        <f t="shared" si="0"/>
        <v>22630.540062712902</v>
      </c>
      <c r="C12" s="33"/>
      <c r="D12" s="37">
        <f>IF( ISERROR(IND_min_gas_kWh/1000),0,IND_min_gas_kWh/1000)*0.902</f>
        <v>2241.8047429865937</v>
      </c>
      <c r="E12" s="33">
        <f>C34*'E Balans VL '!I22/100/3.6*1000000</f>
        <v>551.5744388290899</v>
      </c>
      <c r="F12" s="33">
        <f>C34*'E Balans VL '!L22/100/3.6*1000000+C34*'E Balans VL '!N22/100/3.6*1000000</f>
        <v>6383.8658184602018</v>
      </c>
      <c r="G12" s="34"/>
      <c r="H12" s="33"/>
      <c r="I12" s="33"/>
      <c r="J12" s="40">
        <f>C34*'E Balans VL '!D22/100/3.6*1000000+C34*'E Balans VL '!E22/100/3.6*1000000</f>
        <v>38.690555062687572</v>
      </c>
      <c r="K12" s="33"/>
      <c r="L12" s="33"/>
      <c r="M12" s="33"/>
      <c r="N12" s="33">
        <f>C34*'E Balans VL '!Y22/100/3.6*1000000</f>
        <v>5154.2575192017093</v>
      </c>
      <c r="O12" s="33"/>
      <c r="P12" s="33"/>
      <c r="R12" s="32"/>
    </row>
    <row r="13" spans="1:18">
      <c r="A13" s="6" t="s">
        <v>38</v>
      </c>
      <c r="B13" s="37">
        <f t="shared" si="0"/>
        <v>2569.58689363236</v>
      </c>
      <c r="C13" s="33"/>
      <c r="D13" s="37">
        <f>IF( ISERROR(IND_papier_gas_kWh/1000),0,IND_papier_gas_kWh/1000)*0.902</f>
        <v>19310.17788117754</v>
      </c>
      <c r="E13" s="33">
        <f>C35*'E Balans VL '!I23/100/3.6*1000000</f>
        <v>3.792875041209022</v>
      </c>
      <c r="F13" s="33">
        <f>C35*'E Balans VL '!L23/100/3.6*1000000+C35*'E Balans VL '!N23/100/3.6*1000000</f>
        <v>66.544543220169302</v>
      </c>
      <c r="G13" s="34"/>
      <c r="H13" s="33"/>
      <c r="I13" s="33"/>
      <c r="J13" s="40">
        <f>C35*'E Balans VL '!D23/100/3.6*1000000+C35*'E Balans VL '!E23/100/3.6*1000000</f>
        <v>0.41345897966062511</v>
      </c>
      <c r="K13" s="33"/>
      <c r="L13" s="33"/>
      <c r="M13" s="33"/>
      <c r="N13" s="33">
        <f>C35*'E Balans VL '!Y23/100/3.6*1000000</f>
        <v>-116.70284613911639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61749.1252853728</v>
      </c>
      <c r="C15" s="33"/>
      <c r="D15" s="37">
        <f>IF( ISERROR(IND_rest_gas_kWh/1000),0,IND_rest_gas_kWh/1000)*0.902</f>
        <v>141496.58610534127</v>
      </c>
      <c r="E15" s="33">
        <f>C37*'E Balans VL '!I15/100/3.6*1000000</f>
        <v>3340.6164204322995</v>
      </c>
      <c r="F15" s="33">
        <f>C37*'E Balans VL '!L15/100/3.6*1000000+C37*'E Balans VL '!N15/100/3.6*1000000</f>
        <v>10853.314834891948</v>
      </c>
      <c r="G15" s="34"/>
      <c r="H15" s="33"/>
      <c r="I15" s="33"/>
      <c r="J15" s="40">
        <f>C37*'E Balans VL '!D15/100/3.6*1000000+C37*'E Balans VL '!E15/100/3.6*1000000</f>
        <v>217.45486635318173</v>
      </c>
      <c r="K15" s="33"/>
      <c r="L15" s="33"/>
      <c r="M15" s="33"/>
      <c r="N15" s="33">
        <f>C37*'E Balans VL '!Y15/100/3.6*1000000</f>
        <v>1584.0287320897571</v>
      </c>
      <c r="O15" s="33"/>
      <c r="P15" s="33"/>
      <c r="R15" s="32"/>
    </row>
    <row r="16" spans="1:18">
      <c r="A16" s="16" t="s">
        <v>473</v>
      </c>
      <c r="B16" s="242">
        <f>'lokale energieproductie'!N41+'lokale energieproductie'!N34</f>
        <v>6300</v>
      </c>
      <c r="C16" s="242">
        <f>'lokale energieproductie'!O41+'lokale energieproductie'!O34</f>
        <v>9000</v>
      </c>
      <c r="D16" s="300">
        <f>('lokale energieproductie'!P34+'lokale energieproductie'!P41)*(-1)</f>
        <v>-18000</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217457.30219745124</v>
      </c>
      <c r="C18" s="21">
        <f>C5+C16</f>
        <v>9000</v>
      </c>
      <c r="D18" s="21">
        <f>MAX((D5+D16),0)</f>
        <v>273683.47904443706</v>
      </c>
      <c r="E18" s="21">
        <f>MAX((E5+E16),0)</f>
        <v>4352.0245800184648</v>
      </c>
      <c r="F18" s="21">
        <f>MAX((F5+F16),0)</f>
        <v>31394.701186201353</v>
      </c>
      <c r="G18" s="21"/>
      <c r="H18" s="21"/>
      <c r="I18" s="21"/>
      <c r="J18" s="21">
        <f>MAX((J5+J16),0)</f>
        <v>256.55888039552991</v>
      </c>
      <c r="K18" s="21"/>
      <c r="L18" s="21">
        <f>MAX((L5+L16),0)</f>
        <v>0</v>
      </c>
      <c r="M18" s="21"/>
      <c r="N18" s="21">
        <f>MAX((N5+N16),0)</f>
        <v>9979.3068982893365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0.1912045281981046</v>
      </c>
      <c r="C20" s="25">
        <f ca="1">'EF ele_warmte'!B22</f>
        <v>8.816575423735179E-2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41578.820869896321</v>
      </c>
      <c r="C22" s="23">
        <f ca="1">C18*C20</f>
        <v>793.49178813616606</v>
      </c>
      <c r="D22" s="23">
        <f>D18*D20</f>
        <v>55284.062766976291</v>
      </c>
      <c r="E22" s="23">
        <f>E18*E20</f>
        <v>987.9095796641916</v>
      </c>
      <c r="F22" s="23">
        <f>F18*F20</f>
        <v>8382.385216715762</v>
      </c>
      <c r="G22" s="23"/>
      <c r="H22" s="23"/>
      <c r="I22" s="23"/>
      <c r="J22" s="23">
        <f>J18*J20</f>
        <v>90.821843660017578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22479.566328795001</v>
      </c>
      <c r="C30" s="39">
        <f>IF(ISERROR(B30*3.6/1000000/'E Balans VL '!Z18*100),0,B30*3.6/1000000/'E Balans VL '!Z18*100)</f>
        <v>1.3036713961482473</v>
      </c>
      <c r="D30" s="232" t="s">
        <v>700</v>
      </c>
    </row>
    <row r="31" spans="1:18">
      <c r="A31" s="6" t="s">
        <v>32</v>
      </c>
      <c r="B31" s="37">
        <f>IF( ISERROR(IND_ander_ele_kWh/1000),0,IND_ander_ele_kWh/1000)</f>
        <v>9148.99864341387</v>
      </c>
      <c r="C31" s="39">
        <f>IF(ISERROR(B31*3.6/1000000/'E Balans VL '!Z19*100),0,B31*3.6/1000000/'E Balans VL '!Z19*100)</f>
        <v>0.38209661178736065</v>
      </c>
      <c r="D31" s="232" t="s">
        <v>700</v>
      </c>
    </row>
    <row r="32" spans="1:18">
      <c r="A32" s="167" t="s">
        <v>40</v>
      </c>
      <c r="B32" s="37">
        <f>IF( ISERROR(IND_voed_ele_kWh/1000),0,IND_voed_ele_kWh/1000)</f>
        <v>89878.166470898897</v>
      </c>
      <c r="C32" s="39">
        <f>IF(ISERROR(B32*3.6/1000000/'E Balans VL '!Z20*100),0,B32*3.6/1000000/'E Balans VL '!Z20*100)</f>
        <v>2.7876665939773568</v>
      </c>
      <c r="D32" s="232" t="s">
        <v>700</v>
      </c>
    </row>
    <row r="33" spans="1:5">
      <c r="A33" s="167" t="s">
        <v>39</v>
      </c>
      <c r="B33" s="37">
        <f>IF( ISERROR(IND_textiel_ele_kWh/1000),0,IND_textiel_ele_kWh/1000)</f>
        <v>2701.3185126253902</v>
      </c>
      <c r="C33" s="39">
        <f>IF(ISERROR(B33*3.6/1000000/'E Balans VL '!Z21*100),0,B33*3.6/1000000/'E Balans VL '!Z21*100)</f>
        <v>0.37440503062842728</v>
      </c>
      <c r="D33" s="232" t="s">
        <v>700</v>
      </c>
    </row>
    <row r="34" spans="1:5">
      <c r="A34" s="167" t="s">
        <v>36</v>
      </c>
      <c r="B34" s="37">
        <f>IF( ISERROR(IND_min_ele_kWh/1000),0,IND_min_ele_kWh/1000)</f>
        <v>22630.540062712902</v>
      </c>
      <c r="C34" s="39">
        <f>IF(ISERROR(B34*3.6/1000000/'E Balans VL '!Z22*100),0,B34*3.6/1000000/'E Balans VL '!Z22*100)</f>
        <v>4.2349041722613512</v>
      </c>
      <c r="D34" s="232" t="s">
        <v>700</v>
      </c>
    </row>
    <row r="35" spans="1:5">
      <c r="A35" s="167" t="s">
        <v>38</v>
      </c>
      <c r="B35" s="37">
        <f>IF( ISERROR(IND_papier_ele_kWh/1000),0,IND_papier_ele_kWh/1000)</f>
        <v>2569.58689363236</v>
      </c>
      <c r="C35" s="39">
        <f>IF(ISERROR(B35*3.6/1000000/'E Balans VL '!Z22*100),0,B35*3.6/1000000/'E Balans VL '!Z22*100)</f>
        <v>0.48085261008690477</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61749.1252853728</v>
      </c>
      <c r="C37" s="39">
        <f>IF(ISERROR(B37*3.6/1000000/'E Balans VL '!Z15*100),0,B37*3.6/1000000/'E Balans VL '!Z15*100)</f>
        <v>0.48145419859702865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3461.9962372603982</v>
      </c>
      <c r="C5" s="17">
        <f>'Eigen informatie GS &amp; warmtenet'!B60</f>
        <v>0</v>
      </c>
      <c r="D5" s="30">
        <f>IF(ISERROR(SUM(LB_lb_gas_kWh,LB_rest_gas_kWh)/1000),0,SUM(LB_lb_gas_kWh,LB_rest_gas_kWh)/1000)*0.902</f>
        <v>2377.6348119629597</v>
      </c>
      <c r="E5" s="17">
        <f>B17*'E Balans VL '!I25/3.6*1000000/100</f>
        <v>112.35315839619493</v>
      </c>
      <c r="F5" s="17">
        <f>B17*('E Balans VL '!L25/3.6*1000000+'E Balans VL '!N25/3.6*1000000)/100</f>
        <v>12771.975909044857</v>
      </c>
      <c r="G5" s="18"/>
      <c r="H5" s="17"/>
      <c r="I5" s="17"/>
      <c r="J5" s="17">
        <f>('E Balans VL '!D25+'E Balans VL '!E25)/3.6*1000000*landbouw!B17/100</f>
        <v>910.46921794765603</v>
      </c>
      <c r="K5" s="17"/>
      <c r="L5" s="17">
        <f>L6*(-1)</f>
        <v>0</v>
      </c>
      <c r="M5" s="17"/>
      <c r="N5" s="17">
        <f>N6*(-1)</f>
        <v>0</v>
      </c>
      <c r="O5" s="17"/>
      <c r="P5" s="17"/>
      <c r="R5" s="32"/>
    </row>
    <row r="6" spans="1:18">
      <c r="A6" s="16" t="s">
        <v>473</v>
      </c>
      <c r="B6" s="17" t="s">
        <v>204</v>
      </c>
      <c r="C6" s="17">
        <f>'lokale energieproductie'!O43+'lokale energieproductie'!O36</f>
        <v>0</v>
      </c>
      <c r="D6" s="300">
        <f>('lokale energieproductie'!P36+'lokale energieproductie'!P43)*(-1)</f>
        <v>0</v>
      </c>
      <c r="E6" s="243"/>
      <c r="F6" s="300">
        <f>('lokale energieproductie'!S36+'lokale energieproductie'!S43)*(-1)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3461.9962372603982</v>
      </c>
      <c r="C8" s="21">
        <f>C5+C6</f>
        <v>0</v>
      </c>
      <c r="D8" s="21">
        <f>MAX((D5+D6),0)</f>
        <v>2377.6348119629597</v>
      </c>
      <c r="E8" s="21">
        <f>MAX((E5+E6),0)</f>
        <v>112.35315839619493</v>
      </c>
      <c r="F8" s="21">
        <f>MAX((F5+F6),0)</f>
        <v>12771.975909044857</v>
      </c>
      <c r="G8" s="21"/>
      <c r="H8" s="21"/>
      <c r="I8" s="21"/>
      <c r="J8" s="21">
        <f>MAX((J5+J6),0)</f>
        <v>910.46921794765603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0.1912045281981046</v>
      </c>
      <c r="C10" s="31">
        <f ca="1">'EF ele_warmte'!B22</f>
        <v>8.816575423735179E-2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661.94935716898783</v>
      </c>
      <c r="C12" s="23">
        <f ca="1">C8*C10</f>
        <v>0</v>
      </c>
      <c r="D12" s="23">
        <f>D8*D10</f>
        <v>480.28223201651787</v>
      </c>
      <c r="E12" s="23">
        <f>E8*E10</f>
        <v>25.504166955936249</v>
      </c>
      <c r="F12" s="23">
        <f>F8*F10</f>
        <v>3410.1175677149772</v>
      </c>
      <c r="G12" s="23"/>
      <c r="H12" s="23"/>
      <c r="I12" s="23"/>
      <c r="J12" s="23">
        <f>J8*J10</f>
        <v>322.30610315347025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0.49126812774919743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247.24757579218095</v>
      </c>
      <c r="C26" s="242">
        <f>B26*'GWP N2O_CH4'!B5</f>
        <v>5192.1990916358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258.82597865846952</v>
      </c>
      <c r="C27" s="242">
        <f>B27*'GWP N2O_CH4'!B5</f>
        <v>5435.3455518278597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4.1753843897853109</v>
      </c>
      <c r="C28" s="242">
        <f>B28*'GWP N2O_CH4'!B4</f>
        <v>1294.3691608334464</v>
      </c>
      <c r="D28" s="50"/>
    </row>
    <row r="29" spans="1:4">
      <c r="A29" s="41" t="s">
        <v>265</v>
      </c>
      <c r="B29" s="242">
        <f>B34*'ha_N2O bodem landbouw'!B4</f>
        <v>15.505216648750928</v>
      </c>
      <c r="C29" s="242">
        <f>B29*'GWP N2O_CH4'!B4</f>
        <v>4806.6171611127875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3.5382370058912962E-3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5.4296002289810745E-4</v>
      </c>
      <c r="C5" s="427" t="s">
        <v>204</v>
      </c>
      <c r="D5" s="412">
        <f>SUM(D6:D11)</f>
        <v>9.2219151404788948E-4</v>
      </c>
      <c r="E5" s="412">
        <f>SUM(E6:E11)</f>
        <v>1.662522538972176E-3</v>
      </c>
      <c r="F5" s="425" t="s">
        <v>204</v>
      </c>
      <c r="G5" s="412">
        <f>SUM(G6:G11)</f>
        <v>0.79205158110892848</v>
      </c>
      <c r="H5" s="412">
        <f>SUM(H6:H11)</f>
        <v>0.16036890278532828</v>
      </c>
      <c r="I5" s="427" t="s">
        <v>204</v>
      </c>
      <c r="J5" s="427" t="s">
        <v>204</v>
      </c>
      <c r="K5" s="427" t="s">
        <v>204</v>
      </c>
      <c r="L5" s="427" t="s">
        <v>204</v>
      </c>
      <c r="M5" s="412">
        <f>SUM(M6:M11)</f>
        <v>5.099725196345771E-2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2.313121339418452E-4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3.9083921246885179E-4</v>
      </c>
      <c r="E6" s="818">
        <f>vkm_GW_PW*SUMIFS(TableVerdeelsleutelVkm[LPG],TableVerdeelsleutelVkm[Voertuigtype],"Lichte voertuigen")*SUMIFS(TableECFTransport[EnergieConsumptieFactor (PJ per km)],TableECFTransport[Index],CONCATENATE($A6,"_LPG_LPG"))</f>
        <v>6.7939601439839662E-4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0.20577103451378825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6.7764176634422385E-2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1.4017301521614806E-2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5.0240931070340537E-6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0.16137508022641389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3.2195807352830697E-6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9.4284441014665637E-3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1.4833537895021494E-4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3.2089171521950744E-4</v>
      </c>
      <c r="E8" s="415">
        <f>vkm_NGW_PW*SUMIFS(TableVerdeelsleutelVkm[LPG],TableVerdeelsleutelVkm[Voertuigtype],"Lichte voertuigen")*SUMIFS(TableECFTransport[EnergieConsumptieFactor (PJ per km)],TableECFTransport[Index],CONCATENATE($A8,"_LPG_LPG"))</f>
        <v>5.3251613227867621E-4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0.15062714558676171</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5.4352564076096017E-2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1.0400651043343699E-2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1.1002364347374909E-6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4.5343379046226387E-2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8.5102851062924814E-7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2.6492148563474122E-3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1.5373804459645543E-4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2.1046058635953023E-4</v>
      </c>
      <c r="E10" s="415">
        <f>vkm_SW_PW*SUMIFS(TableVerdeelsleutelVkm[LPG],TableVerdeelsleutelVkm[Voertuigtype],"Lichte voertuigen")*SUMIFS(TableECFTransport[EnergieConsumptieFactor (PJ per km)],TableECFTransport[Index],CONCATENATE($A10,"_LPG_LPG"))</f>
        <v>4.5061039229510314E-4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0.12338148681481123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3.8245815800834929E-2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8.3346061334872591E-3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3.4501358678203188E-6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0.10555345492092706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2.2756647290382668E-6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6.1670343071979676E-3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150.82222858280761</v>
      </c>
      <c r="C14" s="21"/>
      <c r="D14" s="21">
        <f t="shared" ref="D14:M14" si="0">((D5)*10^9/3600)+D12</f>
        <v>256.16430945774709</v>
      </c>
      <c r="E14" s="21">
        <f t="shared" si="0"/>
        <v>461.81181638115999</v>
      </c>
      <c r="F14" s="21"/>
      <c r="G14" s="21">
        <f t="shared" si="0"/>
        <v>220014.32808581347</v>
      </c>
      <c r="H14" s="21">
        <f t="shared" si="0"/>
        <v>44546.917440368961</v>
      </c>
      <c r="I14" s="21"/>
      <c r="J14" s="21"/>
      <c r="K14" s="21"/>
      <c r="L14" s="21"/>
      <c r="M14" s="21">
        <f t="shared" si="0"/>
        <v>14165.903323182698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0.1912045281981046</v>
      </c>
      <c r="C16" s="56">
        <f ca="1">'EF ele_warmte'!B22</f>
        <v>8.816575423735179E-2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28.837893057962415</v>
      </c>
      <c r="C18" s="23"/>
      <c r="D18" s="23">
        <f t="shared" ref="D18:M18" si="1">D14*D16</f>
        <v>51.745190510464916</v>
      </c>
      <c r="E18" s="23">
        <f t="shared" si="1"/>
        <v>104.83128231852332</v>
      </c>
      <c r="F18" s="23"/>
      <c r="G18" s="23">
        <f t="shared" si="1"/>
        <v>58743.825598912197</v>
      </c>
      <c r="H18" s="23">
        <f t="shared" si="1"/>
        <v>11092.182442651871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1.8684918485269158E-4</v>
      </c>
      <c r="C50" s="311">
        <f t="shared" ref="C50:P50" si="2">SUM(C51:C52)</f>
        <v>0</v>
      </c>
      <c r="D50" s="311">
        <f t="shared" si="2"/>
        <v>0</v>
      </c>
      <c r="E50" s="311">
        <f t="shared" si="2"/>
        <v>0</v>
      </c>
      <c r="F50" s="311">
        <f t="shared" si="2"/>
        <v>0</v>
      </c>
      <c r="G50" s="311">
        <f t="shared" si="2"/>
        <v>1.7552626595824121E-2</v>
      </c>
      <c r="H50" s="311">
        <f t="shared" si="2"/>
        <v>0</v>
      </c>
      <c r="I50" s="311">
        <f t="shared" si="2"/>
        <v>0</v>
      </c>
      <c r="J50" s="311">
        <f t="shared" si="2"/>
        <v>0</v>
      </c>
      <c r="K50" s="311">
        <f t="shared" si="2"/>
        <v>0</v>
      </c>
      <c r="L50" s="311">
        <f t="shared" si="2"/>
        <v>0</v>
      </c>
      <c r="M50" s="311">
        <f t="shared" si="2"/>
        <v>1.0108030641634686E-3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1.8684918485269158E-4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1.7552626595824121E-2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1.0108030641634686E-3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51.902551347969883</v>
      </c>
      <c r="C54" s="21">
        <f t="shared" ref="C54:P54" si="3">(C50)*10^9/3600</f>
        <v>0</v>
      </c>
      <c r="D54" s="21">
        <f t="shared" si="3"/>
        <v>0</v>
      </c>
      <c r="E54" s="21">
        <f t="shared" si="3"/>
        <v>0</v>
      </c>
      <c r="F54" s="21">
        <f t="shared" si="3"/>
        <v>0</v>
      </c>
      <c r="G54" s="21">
        <f t="shared" si="3"/>
        <v>4875.729609951145</v>
      </c>
      <c r="H54" s="21">
        <f t="shared" si="3"/>
        <v>0</v>
      </c>
      <c r="I54" s="21">
        <f t="shared" si="3"/>
        <v>0</v>
      </c>
      <c r="J54" s="21">
        <f t="shared" si="3"/>
        <v>0</v>
      </c>
      <c r="K54" s="21">
        <f t="shared" si="3"/>
        <v>0</v>
      </c>
      <c r="L54" s="21">
        <f t="shared" si="3"/>
        <v>0</v>
      </c>
      <c r="M54" s="21">
        <f t="shared" si="3"/>
        <v>280.77862893429682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0.1912045281981046</v>
      </c>
      <c r="C56" s="56">
        <f ca="1">'EF ele_warmte'!B22</f>
        <v>8.816575423735179E-2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9.9240028427664786</v>
      </c>
      <c r="C58" s="23">
        <f t="shared" ref="C58:P58" ca="1" si="4">C54*C56</f>
        <v>0</v>
      </c>
      <c r="D58" s="23">
        <f t="shared" si="4"/>
        <v>0</v>
      </c>
      <c r="E58" s="23">
        <f t="shared" si="4"/>
        <v>0</v>
      </c>
      <c r="F58" s="23">
        <f t="shared" si="4"/>
        <v>0</v>
      </c>
      <c r="G58" s="23">
        <f t="shared" si="4"/>
        <v>1301.8198058569558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70" zoomScaleNormal="70" workbookViewId="0">
      <selection activeCell="A28" sqref="A28:XFD33"/>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21530.6015656829</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25817.729783884504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N33</f>
        <v>35248.5</v>
      </c>
      <c r="C8" s="534">
        <f>B52</f>
        <v>15384.705882352941</v>
      </c>
      <c r="D8" s="962"/>
      <c r="E8" s="962">
        <f>E52</f>
        <v>0</v>
      </c>
      <c r="F8" s="963"/>
      <c r="G8" s="535"/>
      <c r="H8" s="962">
        <f>I52</f>
        <v>0</v>
      </c>
      <c r="I8" s="962">
        <f>G52+F52</f>
        <v>0</v>
      </c>
      <c r="J8" s="962">
        <f>H52+D52+C52</f>
        <v>26084.117647058825</v>
      </c>
      <c r="K8" s="962"/>
      <c r="L8" s="962"/>
      <c r="M8" s="962"/>
      <c r="N8" s="536"/>
      <c r="O8" s="537">
        <f>C8*$C$12+D8*$D$12+E8*$E$12+F8*$F$12+G8*$G$12+H8*$H$12+I8*$I$12+J8*$J$12</f>
        <v>3107.7105882352944</v>
      </c>
      <c r="P8" s="1180"/>
      <c r="Q8" s="1181"/>
      <c r="S8" s="925"/>
      <c r="T8" s="1217"/>
      <c r="U8" s="1217"/>
    </row>
    <row r="9" spans="1:21" s="523" customFormat="1" ht="17.45" customHeight="1" thickBot="1">
      <c r="A9" s="538" t="s">
        <v>236</v>
      </c>
      <c r="B9" s="539">
        <f>N40+'Eigen informatie GS &amp; warmtenet'!B12</f>
        <v>139.5</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398.57142857142861</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82736.331349567408</v>
      </c>
      <c r="C10" s="547">
        <f t="shared" ref="C10:L10" si="0">SUM(C8:C9)</f>
        <v>15384.705882352941</v>
      </c>
      <c r="D10" s="547">
        <f t="shared" si="0"/>
        <v>0</v>
      </c>
      <c r="E10" s="547">
        <f t="shared" si="0"/>
        <v>0</v>
      </c>
      <c r="F10" s="547">
        <f t="shared" si="0"/>
        <v>0</v>
      </c>
      <c r="G10" s="547">
        <f t="shared" si="0"/>
        <v>0</v>
      </c>
      <c r="H10" s="547">
        <f t="shared" si="0"/>
        <v>0</v>
      </c>
      <c r="I10" s="547">
        <f t="shared" si="0"/>
        <v>0</v>
      </c>
      <c r="J10" s="547">
        <f t="shared" si="0"/>
        <v>26482.689075630253</v>
      </c>
      <c r="K10" s="547">
        <f t="shared" si="0"/>
        <v>0</v>
      </c>
      <c r="L10" s="547">
        <f t="shared" si="0"/>
        <v>0</v>
      </c>
      <c r="M10" s="965"/>
      <c r="N10" s="965"/>
      <c r="O10" s="548">
        <f>SUM(O4:O9)</f>
        <v>3107.7105882352944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O33</f>
        <v>50355.000000000007</v>
      </c>
      <c r="C17" s="559">
        <f>B53</f>
        <v>21978.151260504208</v>
      </c>
      <c r="D17" s="560"/>
      <c r="E17" s="560">
        <f>E53</f>
        <v>0</v>
      </c>
      <c r="F17" s="968"/>
      <c r="G17" s="561"/>
      <c r="H17" s="559">
        <f>I53</f>
        <v>0</v>
      </c>
      <c r="I17" s="560">
        <f>G53+F53</f>
        <v>0</v>
      </c>
      <c r="J17" s="560">
        <f>H53+D53+C53</f>
        <v>37263.025210084044</v>
      </c>
      <c r="K17" s="560"/>
      <c r="L17" s="560"/>
      <c r="M17" s="560"/>
      <c r="N17" s="969"/>
      <c r="O17" s="562">
        <f>C17*$C$22+E17*$E$22+H17*$H$22+I17*$I$22+J17*$J$22+D17*$D$22+F17*$F$22+G17*$G$22+K17*$K$22+L17*$L$22</f>
        <v>4439.5865546218502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50355.000000000007</v>
      </c>
      <c r="C20" s="546">
        <f>SUM(C17:C19)</f>
        <v>21978.151260504208</v>
      </c>
      <c r="D20" s="546">
        <f t="shared" ref="D20:L20" si="1">SUM(D17:D19)</f>
        <v>0</v>
      </c>
      <c r="E20" s="546">
        <f t="shared" si="1"/>
        <v>0</v>
      </c>
      <c r="F20" s="546">
        <f t="shared" si="1"/>
        <v>0</v>
      </c>
      <c r="G20" s="546">
        <f t="shared" si="1"/>
        <v>0</v>
      </c>
      <c r="H20" s="546">
        <f t="shared" si="1"/>
        <v>0</v>
      </c>
      <c r="I20" s="546">
        <f t="shared" si="1"/>
        <v>0</v>
      </c>
      <c r="J20" s="546">
        <f t="shared" si="1"/>
        <v>37263.025210084044</v>
      </c>
      <c r="K20" s="546">
        <f t="shared" si="1"/>
        <v>0</v>
      </c>
      <c r="L20" s="546">
        <f t="shared" si="1"/>
        <v>0</v>
      </c>
      <c r="M20" s="546"/>
      <c r="N20" s="546"/>
      <c r="O20" s="565">
        <f>SUM(O17:O19)</f>
        <v>4439.5865546218502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36015</v>
      </c>
      <c r="C28" s="724">
        <v>8800</v>
      </c>
      <c r="D28" s="617"/>
      <c r="E28" s="616"/>
      <c r="F28" s="616"/>
      <c r="G28" s="616" t="s">
        <v>878</v>
      </c>
      <c r="H28" s="616" t="s">
        <v>879</v>
      </c>
      <c r="I28" s="616"/>
      <c r="J28" s="723"/>
      <c r="K28" s="723"/>
      <c r="L28" s="616" t="s">
        <v>880</v>
      </c>
      <c r="M28" s="616">
        <v>835</v>
      </c>
      <c r="N28" s="616">
        <v>3757.5</v>
      </c>
      <c r="O28" s="616">
        <v>5367.8571428571431</v>
      </c>
      <c r="P28" s="616">
        <v>0</v>
      </c>
      <c r="Q28" s="616">
        <v>10735.714285714286</v>
      </c>
      <c r="R28" s="616">
        <v>0</v>
      </c>
      <c r="S28" s="616">
        <v>0</v>
      </c>
      <c r="T28" s="616">
        <v>0</v>
      </c>
      <c r="U28" s="616">
        <v>0</v>
      </c>
      <c r="V28" s="616">
        <v>0</v>
      </c>
      <c r="W28" s="616">
        <v>0</v>
      </c>
      <c r="X28" s="616"/>
      <c r="Y28" s="616">
        <v>1600</v>
      </c>
      <c r="Z28" s="616" t="s">
        <v>49</v>
      </c>
      <c r="AA28" s="618" t="s">
        <v>149</v>
      </c>
    </row>
    <row r="29" spans="1:27" s="570" customFormat="1" ht="63.75" hidden="1">
      <c r="A29" s="569"/>
      <c r="B29" s="724">
        <v>36015</v>
      </c>
      <c r="C29" s="724">
        <v>8800</v>
      </c>
      <c r="D29" s="617"/>
      <c r="E29" s="616"/>
      <c r="F29" s="616"/>
      <c r="G29" s="616" t="s">
        <v>878</v>
      </c>
      <c r="H29" s="616" t="s">
        <v>879</v>
      </c>
      <c r="I29" s="616"/>
      <c r="J29" s="723"/>
      <c r="K29" s="723"/>
      <c r="L29" s="616" t="s">
        <v>880</v>
      </c>
      <c r="M29" s="616">
        <v>4024</v>
      </c>
      <c r="N29" s="616">
        <v>18108</v>
      </c>
      <c r="O29" s="616">
        <v>25868.571428571428</v>
      </c>
      <c r="P29" s="616">
        <v>12934.285714285716</v>
      </c>
      <c r="Q29" s="616">
        <v>38802.857142857145</v>
      </c>
      <c r="R29" s="616">
        <v>0</v>
      </c>
      <c r="S29" s="616">
        <v>0</v>
      </c>
      <c r="T29" s="616">
        <v>0</v>
      </c>
      <c r="U29" s="616">
        <v>0</v>
      </c>
      <c r="V29" s="616">
        <v>0</v>
      </c>
      <c r="W29" s="616">
        <v>0</v>
      </c>
      <c r="X29" s="616"/>
      <c r="Y29" s="616">
        <v>1600</v>
      </c>
      <c r="Z29" s="616" t="s">
        <v>49</v>
      </c>
      <c r="AA29" s="618" t="s">
        <v>149</v>
      </c>
    </row>
    <row r="30" spans="1:27" s="570" customFormat="1" ht="63.75" hidden="1">
      <c r="A30" s="569"/>
      <c r="B30" s="724">
        <v>36015</v>
      </c>
      <c r="C30" s="724">
        <v>8800</v>
      </c>
      <c r="D30" s="617"/>
      <c r="E30" s="616"/>
      <c r="F30" s="616"/>
      <c r="G30" s="616" t="s">
        <v>878</v>
      </c>
      <c r="H30" s="616" t="s">
        <v>879</v>
      </c>
      <c r="I30" s="616"/>
      <c r="J30" s="723"/>
      <c r="K30" s="723"/>
      <c r="L30" s="616" t="s">
        <v>880</v>
      </c>
      <c r="M30" s="616">
        <v>1074</v>
      </c>
      <c r="N30" s="616">
        <v>4833</v>
      </c>
      <c r="O30" s="616">
        <v>6904.2857142857147</v>
      </c>
      <c r="P30" s="616">
        <v>0</v>
      </c>
      <c r="Q30" s="616">
        <v>0</v>
      </c>
      <c r="R30" s="616">
        <v>13808.571428571429</v>
      </c>
      <c r="S30" s="616">
        <v>0</v>
      </c>
      <c r="T30" s="616">
        <v>0</v>
      </c>
      <c r="U30" s="616">
        <v>0</v>
      </c>
      <c r="V30" s="616">
        <v>0</v>
      </c>
      <c r="W30" s="616">
        <v>0</v>
      </c>
      <c r="X30" s="616"/>
      <c r="Y30" s="616">
        <v>1600</v>
      </c>
      <c r="Z30" s="616" t="s">
        <v>49</v>
      </c>
      <c r="AA30" s="618" t="s">
        <v>149</v>
      </c>
    </row>
    <row r="31" spans="1:27" s="570" customFormat="1" ht="25.5" hidden="1">
      <c r="A31" s="569"/>
      <c r="B31" s="724">
        <v>36015</v>
      </c>
      <c r="C31" s="724">
        <v>8800</v>
      </c>
      <c r="D31" s="617"/>
      <c r="E31" s="616"/>
      <c r="F31" s="616"/>
      <c r="G31" s="616" t="s">
        <v>878</v>
      </c>
      <c r="H31" s="616" t="s">
        <v>879</v>
      </c>
      <c r="I31" s="616"/>
      <c r="J31" s="723"/>
      <c r="K31" s="723"/>
      <c r="L31" s="616" t="s">
        <v>880</v>
      </c>
      <c r="M31" s="616">
        <v>500</v>
      </c>
      <c r="N31" s="616">
        <v>2250</v>
      </c>
      <c r="O31" s="616">
        <v>3214.2857142857142</v>
      </c>
      <c r="P31" s="616">
        <v>6428.5714285714294</v>
      </c>
      <c r="Q31" s="616">
        <v>0</v>
      </c>
      <c r="R31" s="616">
        <v>0</v>
      </c>
      <c r="S31" s="616">
        <v>0</v>
      </c>
      <c r="T31" s="616">
        <v>0</v>
      </c>
      <c r="U31" s="616">
        <v>0</v>
      </c>
      <c r="V31" s="616">
        <v>0</v>
      </c>
      <c r="W31" s="616">
        <v>0</v>
      </c>
      <c r="X31" s="616"/>
      <c r="Y31" s="616">
        <v>1100</v>
      </c>
      <c r="Z31" s="616" t="s">
        <v>51</v>
      </c>
      <c r="AA31" s="618" t="s">
        <v>149</v>
      </c>
    </row>
    <row r="32" spans="1:27" s="570" customFormat="1" ht="25.5" hidden="1">
      <c r="A32" s="569"/>
      <c r="B32" s="724">
        <v>36015</v>
      </c>
      <c r="C32" s="724">
        <v>8800</v>
      </c>
      <c r="D32" s="617"/>
      <c r="E32" s="616"/>
      <c r="F32" s="616"/>
      <c r="G32" s="616" t="s">
        <v>878</v>
      </c>
      <c r="H32" s="616" t="s">
        <v>879</v>
      </c>
      <c r="I32" s="616"/>
      <c r="J32" s="723"/>
      <c r="K32" s="723"/>
      <c r="L32" s="616" t="s">
        <v>880</v>
      </c>
      <c r="M32" s="616">
        <v>1400</v>
      </c>
      <c r="N32" s="616">
        <v>6300</v>
      </c>
      <c r="O32" s="616">
        <v>9000</v>
      </c>
      <c r="P32" s="616">
        <v>18000</v>
      </c>
      <c r="Q32" s="616">
        <v>0</v>
      </c>
      <c r="R32" s="616">
        <v>0</v>
      </c>
      <c r="S32" s="616">
        <v>0</v>
      </c>
      <c r="T32" s="616">
        <v>0</v>
      </c>
      <c r="U32" s="616">
        <v>0</v>
      </c>
      <c r="V32" s="616">
        <v>0</v>
      </c>
      <c r="W32" s="616">
        <v>0</v>
      </c>
      <c r="X32" s="616"/>
      <c r="Y32" s="616">
        <v>500</v>
      </c>
      <c r="Z32" s="616" t="s">
        <v>40</v>
      </c>
      <c r="AA32" s="618" t="s">
        <v>375</v>
      </c>
    </row>
    <row r="33" spans="1:28" s="554" customFormat="1" hidden="1">
      <c r="A33" s="572" t="s">
        <v>268</v>
      </c>
      <c r="B33" s="573"/>
      <c r="C33" s="573"/>
      <c r="D33" s="573"/>
      <c r="E33" s="573"/>
      <c r="F33" s="573"/>
      <c r="G33" s="573"/>
      <c r="H33" s="573"/>
      <c r="I33" s="573"/>
      <c r="J33" s="573"/>
      <c r="K33" s="573"/>
      <c r="L33" s="574"/>
      <c r="M33" s="574">
        <f>SUM(M28:M32)</f>
        <v>7833</v>
      </c>
      <c r="N33" s="574">
        <f>SUM(N28:N32)</f>
        <v>35248.5</v>
      </c>
      <c r="O33" s="574">
        <f>SUM(O28:O32)</f>
        <v>50355.000000000007</v>
      </c>
      <c r="P33" s="574">
        <f>SUM(P28:P32)</f>
        <v>37362.857142857145</v>
      </c>
      <c r="Q33" s="574">
        <f>SUM(Q28:Q32)</f>
        <v>49538.571428571435</v>
      </c>
      <c r="R33" s="574">
        <f>SUM(R28:R32)</f>
        <v>13808.571428571429</v>
      </c>
      <c r="S33" s="574">
        <f>SUM(S28:S32)</f>
        <v>0</v>
      </c>
      <c r="T33" s="574">
        <f>SUM(T28:T32)</f>
        <v>0</v>
      </c>
      <c r="U33" s="574">
        <f>SUM(U28:U32)</f>
        <v>0</v>
      </c>
      <c r="V33" s="574">
        <f>SUM(V28:V32)</f>
        <v>0</v>
      </c>
      <c r="W33" s="574">
        <f>SUM(W28:W32)</f>
        <v>0</v>
      </c>
      <c r="X33" s="574"/>
      <c r="Y33" s="575"/>
      <c r="Z33" s="575"/>
      <c r="AA33" s="576"/>
    </row>
    <row r="34" spans="1:28" s="554" customFormat="1">
      <c r="A34" s="572" t="s">
        <v>275</v>
      </c>
      <c r="B34" s="573"/>
      <c r="C34" s="573"/>
      <c r="D34" s="573"/>
      <c r="E34" s="573"/>
      <c r="F34" s="573"/>
      <c r="G34" s="573"/>
      <c r="H34" s="573"/>
      <c r="I34" s="573"/>
      <c r="J34" s="573"/>
      <c r="K34" s="573"/>
      <c r="L34" s="574"/>
      <c r="M34" s="574">
        <f>SUMIF($AA$28:$AA$32,"industrie",M28:M32)</f>
        <v>1400</v>
      </c>
      <c r="N34" s="574">
        <f>SUMIF($AA$28:$AA$32,"industrie",N28:N32)</f>
        <v>6300</v>
      </c>
      <c r="O34" s="574">
        <f>SUMIF($AA$28:$AA$32,"industrie",O28:O32)</f>
        <v>9000</v>
      </c>
      <c r="P34" s="574">
        <f>SUMIF($AA$28:$AA$32,"industrie",P28:P32)</f>
        <v>18000</v>
      </c>
      <c r="Q34" s="574">
        <f>SUMIF($AA$28:$AA$32,"industrie",Q28:Q32)</f>
        <v>0</v>
      </c>
      <c r="R34" s="574">
        <f>SUMIF($AA$28:$AA$32,"industrie",R28:R32)</f>
        <v>0</v>
      </c>
      <c r="S34" s="574">
        <f>SUMIF($AA$28:$AA$32,"industrie",S28:S32)</f>
        <v>0</v>
      </c>
      <c r="T34" s="574">
        <f>SUMIF($AA$28:$AA$32,"industrie",T28:T32)</f>
        <v>0</v>
      </c>
      <c r="U34" s="574">
        <f>SUMIF($AA$28:$AA$32,"industrie",U28:U32)</f>
        <v>0</v>
      </c>
      <c r="V34" s="574">
        <f>SUMIF($AA$28:$AA$32,"industrie",V28:V32)</f>
        <v>0</v>
      </c>
      <c r="W34" s="574">
        <f>SUMIF($AA$28:$AA$32,"industrie",W28:W32)</f>
        <v>0</v>
      </c>
      <c r="X34" s="574"/>
      <c r="Y34" s="575"/>
      <c r="Z34" s="575"/>
      <c r="AA34" s="576"/>
    </row>
    <row r="35" spans="1:28" s="554" customFormat="1">
      <c r="A35" s="572" t="s">
        <v>276</v>
      </c>
      <c r="B35" s="573"/>
      <c r="C35" s="573"/>
      <c r="D35" s="573"/>
      <c r="E35" s="573"/>
      <c r="F35" s="573"/>
      <c r="G35" s="573"/>
      <c r="H35" s="573"/>
      <c r="I35" s="573"/>
      <c r="J35" s="573"/>
      <c r="K35" s="573"/>
      <c r="L35" s="574"/>
      <c r="M35" s="574">
        <f ca="1">SUMIF($AA$28:AD32,"tertiair",M28:M32)</f>
        <v>6433</v>
      </c>
      <c r="N35" s="574">
        <f ca="1">SUMIF($AA$28:AE32,"tertiair",N28:N32)</f>
        <v>28948.5</v>
      </c>
      <c r="O35" s="574">
        <f ca="1">SUMIF($AA$28:AF32,"tertiair",O28:O32)</f>
        <v>41355.000000000007</v>
      </c>
      <c r="P35" s="574">
        <f ca="1">SUMIF($AA$28:AG32,"tertiair",P28:P32)</f>
        <v>19362.857142857145</v>
      </c>
      <c r="Q35" s="574">
        <f ca="1">SUMIF($AA$28:AH32,"tertiair",Q28:Q32)</f>
        <v>49538.571428571435</v>
      </c>
      <c r="R35" s="574">
        <f ca="1">SUMIF($AA$28:AI32,"tertiair",R28:R32)</f>
        <v>13808.571428571429</v>
      </c>
      <c r="S35" s="574">
        <f ca="1">SUMIF($AA$28:AJ32,"tertiair",S28:S32)</f>
        <v>0</v>
      </c>
      <c r="T35" s="574">
        <f ca="1">SUMIF($AA$28:AK32,"tertiair",T28:T32)</f>
        <v>0</v>
      </c>
      <c r="U35" s="574">
        <f ca="1">SUMIF($AA$28:AL32,"tertiair",U28:U32)</f>
        <v>0</v>
      </c>
      <c r="V35" s="574">
        <f ca="1">SUMIF($AA$28:AM32,"tertiair",V28:V32)</f>
        <v>0</v>
      </c>
      <c r="W35" s="574">
        <f ca="1">SUMIF($AA$28:AN32,"tertiair",W28:W32)</f>
        <v>0</v>
      </c>
      <c r="X35" s="574"/>
      <c r="Y35" s="575"/>
      <c r="Z35" s="575"/>
      <c r="AA35" s="576"/>
    </row>
    <row r="36" spans="1:28" s="554" customFormat="1" ht="15.75" thickBot="1">
      <c r="A36" s="577" t="s">
        <v>277</v>
      </c>
      <c r="B36" s="578"/>
      <c r="C36" s="578"/>
      <c r="D36" s="578"/>
      <c r="E36" s="578"/>
      <c r="F36" s="578"/>
      <c r="G36" s="578"/>
      <c r="H36" s="578"/>
      <c r="I36" s="578"/>
      <c r="J36" s="578"/>
      <c r="K36" s="578"/>
      <c r="L36" s="579"/>
      <c r="M36" s="579">
        <f>SUMIF($AA$28:$AA$32,"landbouw",M28:M32)</f>
        <v>0</v>
      </c>
      <c r="N36" s="579">
        <f>SUMIF($AA$28:$AA$32,"landbouw",N28:N32)</f>
        <v>0</v>
      </c>
      <c r="O36" s="579">
        <f>SUMIF($AA$28:$AA$32,"landbouw",O28:O32)</f>
        <v>0</v>
      </c>
      <c r="P36" s="579">
        <f>SUMIF($AA$28:$AA$32,"landbouw",P28:P32)</f>
        <v>0</v>
      </c>
      <c r="Q36" s="579">
        <f>SUMIF($AA$28:$AA$32,"landbouw",Q28:Q32)</f>
        <v>0</v>
      </c>
      <c r="R36" s="579">
        <f>SUMIF($AA$28:$AA$32,"landbouw",R28:R32)</f>
        <v>0</v>
      </c>
      <c r="S36" s="579">
        <f>SUMIF($AA$28:$AA$32,"landbouw",S28:S32)</f>
        <v>0</v>
      </c>
      <c r="T36" s="579">
        <f>SUMIF($AA$28:$AA$32,"landbouw",T28:T32)</f>
        <v>0</v>
      </c>
      <c r="U36" s="579">
        <f>SUMIF($AA$28:$AA$32,"landbouw",U28:U32)</f>
        <v>0</v>
      </c>
      <c r="V36" s="579">
        <f>SUMIF($AA$28:$AA$32,"landbouw",V28:V32)</f>
        <v>0</v>
      </c>
      <c r="W36" s="579">
        <f>SUMIF($AA$28:$AA$32,"landbouw",W28:W32)</f>
        <v>0</v>
      </c>
      <c r="X36" s="579"/>
      <c r="Y36" s="580"/>
      <c r="Z36" s="580"/>
      <c r="AA36" s="581"/>
    </row>
    <row r="37" spans="1:28" s="523" customFormat="1" ht="15.75" thickBot="1">
      <c r="A37" s="582"/>
      <c r="B37" s="583"/>
      <c r="C37" s="583"/>
      <c r="D37" s="583"/>
      <c r="E37" s="583"/>
      <c r="F37" s="583"/>
      <c r="G37" s="583"/>
      <c r="H37" s="583"/>
      <c r="I37" s="583"/>
      <c r="J37" s="583"/>
      <c r="K37" s="583"/>
      <c r="L37" s="566"/>
      <c r="M37" s="566"/>
      <c r="N37" s="566"/>
      <c r="O37" s="567"/>
      <c r="P37" s="567"/>
    </row>
    <row r="38" spans="1:28" s="523" customFormat="1" ht="45">
      <c r="A38" s="584" t="s">
        <v>269</v>
      </c>
      <c r="B38" s="613" t="s">
        <v>89</v>
      </c>
      <c r="C38" s="613" t="s">
        <v>90</v>
      </c>
      <c r="D38" s="613"/>
      <c r="E38" s="613"/>
      <c r="F38" s="613"/>
      <c r="G38" s="613" t="s">
        <v>91</v>
      </c>
      <c r="H38" s="613" t="s">
        <v>92</v>
      </c>
      <c r="I38" s="613"/>
      <c r="J38" s="613"/>
      <c r="K38" s="613"/>
      <c r="L38" s="613" t="s">
        <v>93</v>
      </c>
      <c r="M38" s="614" t="s">
        <v>286</v>
      </c>
      <c r="N38" s="614" t="s">
        <v>94</v>
      </c>
      <c r="O38" s="614" t="s">
        <v>95</v>
      </c>
      <c r="P38" s="614" t="s">
        <v>518</v>
      </c>
      <c r="Q38" s="614" t="s">
        <v>96</v>
      </c>
      <c r="R38" s="614" t="s">
        <v>97</v>
      </c>
      <c r="S38" s="614" t="s">
        <v>98</v>
      </c>
      <c r="T38" s="614" t="s">
        <v>99</v>
      </c>
      <c r="U38" s="614" t="s">
        <v>100</v>
      </c>
      <c r="V38" s="614" t="s">
        <v>101</v>
      </c>
      <c r="W38" s="613" t="s">
        <v>102</v>
      </c>
      <c r="X38" s="613" t="s">
        <v>877</v>
      </c>
      <c r="Y38" s="613" t="s">
        <v>287</v>
      </c>
      <c r="Z38" s="613" t="s">
        <v>103</v>
      </c>
      <c r="AA38" s="615" t="s">
        <v>288</v>
      </c>
    </row>
    <row r="39" spans="1:28" s="585" customFormat="1" ht="38.25" hidden="1">
      <c r="A39" s="571"/>
      <c r="B39" s="724">
        <v>36015</v>
      </c>
      <c r="C39" s="724">
        <v>8800</v>
      </c>
      <c r="D39" s="619"/>
      <c r="E39" s="619"/>
      <c r="F39" s="619"/>
      <c r="G39" s="619" t="s">
        <v>881</v>
      </c>
      <c r="H39" s="619" t="s">
        <v>882</v>
      </c>
      <c r="I39" s="619"/>
      <c r="J39" s="723"/>
      <c r="K39" s="723"/>
      <c r="L39" s="619" t="s">
        <v>883</v>
      </c>
      <c r="M39" s="619">
        <v>31</v>
      </c>
      <c r="N39" s="619">
        <v>139.5</v>
      </c>
      <c r="O39" s="619">
        <v>0</v>
      </c>
      <c r="P39" s="619">
        <v>0</v>
      </c>
      <c r="Q39" s="619">
        <v>398.57142857142861</v>
      </c>
      <c r="R39" s="619">
        <v>0</v>
      </c>
      <c r="S39" s="619">
        <v>0</v>
      </c>
      <c r="T39" s="619">
        <v>0</v>
      </c>
      <c r="U39" s="619">
        <v>0</v>
      </c>
      <c r="V39" s="619">
        <v>0</v>
      </c>
      <c r="W39" s="619">
        <v>0</v>
      </c>
      <c r="X39" s="619"/>
      <c r="Y39" s="619">
        <v>1300</v>
      </c>
      <c r="Z39" s="619" t="s">
        <v>53</v>
      </c>
      <c r="AA39" s="620" t="s">
        <v>149</v>
      </c>
    </row>
    <row r="40" spans="1:28" s="554" customFormat="1" hidden="1">
      <c r="A40" s="572" t="s">
        <v>268</v>
      </c>
      <c r="B40" s="573"/>
      <c r="C40" s="573"/>
      <c r="D40" s="573"/>
      <c r="E40" s="573"/>
      <c r="F40" s="573"/>
      <c r="G40" s="573"/>
      <c r="H40" s="573"/>
      <c r="I40" s="573"/>
      <c r="J40" s="573"/>
      <c r="K40" s="573"/>
      <c r="L40" s="574"/>
      <c r="M40" s="574">
        <f>SUM(M39:M39)</f>
        <v>31</v>
      </c>
      <c r="N40" s="574">
        <f>SUM(N39:N39)</f>
        <v>139.5</v>
      </c>
      <c r="O40" s="574">
        <f>SUM(O39:O39)</f>
        <v>0</v>
      </c>
      <c r="P40" s="574">
        <f>SUM(P39:P39)</f>
        <v>0</v>
      </c>
      <c r="Q40" s="574">
        <f>SUM(Q39:Q39)</f>
        <v>398.57142857142861</v>
      </c>
      <c r="R40" s="574">
        <f>SUM(R39:R39)</f>
        <v>0</v>
      </c>
      <c r="S40" s="574">
        <f>SUM(S39:S39)</f>
        <v>0</v>
      </c>
      <c r="T40" s="574">
        <f>SUM(T39:T39)</f>
        <v>0</v>
      </c>
      <c r="U40" s="574">
        <f>SUM(U39:U39)</f>
        <v>0</v>
      </c>
      <c r="V40" s="574">
        <f>SUM(V39:V39)</f>
        <v>0</v>
      </c>
      <c r="W40" s="574">
        <f>SUM(W39:W39)</f>
        <v>0</v>
      </c>
      <c r="X40" s="574"/>
      <c r="Y40" s="575"/>
      <c r="Z40" s="575"/>
      <c r="AA40" s="576"/>
    </row>
    <row r="41" spans="1:28" s="554" customFormat="1">
      <c r="A41" s="572" t="s">
        <v>275</v>
      </c>
      <c r="B41" s="573"/>
      <c r="C41" s="573"/>
      <c r="D41" s="573"/>
      <c r="E41" s="573"/>
      <c r="F41" s="573"/>
      <c r="G41" s="573"/>
      <c r="H41" s="573"/>
      <c r="I41" s="573"/>
      <c r="J41" s="573"/>
      <c r="K41" s="573"/>
      <c r="L41" s="574"/>
      <c r="M41" s="574">
        <f>SUMIF($AA$39:$AA$39,"industrie",M39:M39)</f>
        <v>0</v>
      </c>
      <c r="N41" s="574">
        <f>SUMIF($AA$39:$AA$39,"industrie",N39:N39)</f>
        <v>0</v>
      </c>
      <c r="O41" s="574">
        <f>SUMIF($AA$39:$AA$39,"industrie",O39:O39)</f>
        <v>0</v>
      </c>
      <c r="P41" s="574">
        <f>SUMIF($AA$39:$AA$39,"industrie",P39:P39)</f>
        <v>0</v>
      </c>
      <c r="Q41" s="574">
        <f>SUMIF($AA$39:$AA$39,"industrie",Q39:Q39)</f>
        <v>0</v>
      </c>
      <c r="R41" s="574">
        <f>SUMIF($AA$39:$AA$39,"industrie",R39:R39)</f>
        <v>0</v>
      </c>
      <c r="S41" s="574">
        <f>SUMIF($AA$39:$AA$39,"industrie",S39:S39)</f>
        <v>0</v>
      </c>
      <c r="T41" s="574">
        <f>SUMIF($AA$39:$AA$39,"industrie",T39:T39)</f>
        <v>0</v>
      </c>
      <c r="U41" s="574">
        <f>SUMIF($AA$39:$AA$39,"industrie",U39:U39)</f>
        <v>0</v>
      </c>
      <c r="V41" s="574">
        <f>SUMIF($AA$39:$AA$39,"industrie",V39:V39)</f>
        <v>0</v>
      </c>
      <c r="W41" s="574">
        <f>SUMIF($AA$39:$AA$39,"industrie",W39:W39)</f>
        <v>0</v>
      </c>
      <c r="X41" s="574"/>
      <c r="Y41" s="575"/>
      <c r="Z41" s="575"/>
      <c r="AA41" s="576"/>
    </row>
    <row r="42" spans="1:28" s="554" customFormat="1">
      <c r="A42" s="572" t="s">
        <v>276</v>
      </c>
      <c r="B42" s="573"/>
      <c r="C42" s="573"/>
      <c r="D42" s="573"/>
      <c r="E42" s="573"/>
      <c r="F42" s="573"/>
      <c r="G42" s="573"/>
      <c r="H42" s="573"/>
      <c r="I42" s="573"/>
      <c r="J42" s="573"/>
      <c r="K42" s="573"/>
      <c r="L42" s="574"/>
      <c r="M42" s="574">
        <f>SUMIF($AA$39:$AA$40,"tertiair",M39:M40)</f>
        <v>31</v>
      </c>
      <c r="N42" s="574">
        <f>SUMIF($AA$39:$AA$40,"tertiair",N39:N40)</f>
        <v>139.5</v>
      </c>
      <c r="O42" s="574">
        <f>SUMIF($AA$39:$AA$40,"tertiair",O39:O40)</f>
        <v>0</v>
      </c>
      <c r="P42" s="574">
        <f>SUMIF($AA$39:$AA$40,"tertiair",P39:P40)</f>
        <v>0</v>
      </c>
      <c r="Q42" s="574">
        <f>SUMIF($AA$39:$AA$40,"tertiair",Q39:Q40)</f>
        <v>398.57142857142861</v>
      </c>
      <c r="R42" s="574">
        <f>SUMIF($AA$39:$AA$40,"tertiair",R39:R40)</f>
        <v>0</v>
      </c>
      <c r="S42" s="574">
        <f>SUMIF($AA$39:$AA$40,"tertiair",S39:S40)</f>
        <v>0</v>
      </c>
      <c r="T42" s="574">
        <f>SUMIF($AA$39:$AA$40,"tertiair",T39:T40)</f>
        <v>0</v>
      </c>
      <c r="U42" s="574">
        <f>SUMIF($AA$39:$AA$40,"tertiair",U39:U40)</f>
        <v>0</v>
      </c>
      <c r="V42" s="574">
        <f>SUMIF($AA$39:$AA$40,"tertiair",V39:V40)</f>
        <v>0</v>
      </c>
      <c r="W42" s="574">
        <f>SUMIF($AA$39:$AA$40,"tertiair",W39:W40)</f>
        <v>0</v>
      </c>
      <c r="X42" s="574"/>
      <c r="Y42" s="575"/>
      <c r="Z42" s="575"/>
      <c r="AA42" s="576"/>
    </row>
    <row r="43" spans="1:28" s="554" customFormat="1" ht="15.75" thickBot="1">
      <c r="A43" s="577" t="s">
        <v>277</v>
      </c>
      <c r="B43" s="578"/>
      <c r="C43" s="578"/>
      <c r="D43" s="578"/>
      <c r="E43" s="578"/>
      <c r="F43" s="578"/>
      <c r="G43" s="578"/>
      <c r="H43" s="578"/>
      <c r="I43" s="578"/>
      <c r="J43" s="578"/>
      <c r="K43" s="578"/>
      <c r="L43" s="579"/>
      <c r="M43" s="579">
        <f>SUMIF($AA$39:$AA$41,"landbouw",M39:M41)</f>
        <v>0</v>
      </c>
      <c r="N43" s="579">
        <f>SUMIF($AA$39:$AA$41,"landbouw",N39:N41)</f>
        <v>0</v>
      </c>
      <c r="O43" s="579">
        <f>SUMIF($AA$39:$AA$41,"landbouw",O39:O41)</f>
        <v>0</v>
      </c>
      <c r="P43" s="579">
        <f>SUMIF($AA$39:$AA$41,"landbouw",P39:P41)</f>
        <v>0</v>
      </c>
      <c r="Q43" s="579">
        <f>SUMIF($AA$39:$AA$41,"landbouw",Q39:Q41)</f>
        <v>0</v>
      </c>
      <c r="R43" s="579">
        <f>SUMIF($AA$39:$AA$41,"landbouw",R39:R41)</f>
        <v>0</v>
      </c>
      <c r="S43" s="579">
        <f>SUMIF($AA$39:$AA$41,"landbouw",S39:S41)</f>
        <v>0</v>
      </c>
      <c r="T43" s="579">
        <f>SUMIF($AA$39:$AA$41,"landbouw",T39:T41)</f>
        <v>0</v>
      </c>
      <c r="U43" s="579">
        <f>SUMIF($AA$39:$AA$41,"landbouw",U39:U41)</f>
        <v>0</v>
      </c>
      <c r="V43" s="579">
        <f>SUMIF($AA$39:$AA$41,"landbouw",V39:V41)</f>
        <v>0</v>
      </c>
      <c r="W43" s="579">
        <f>SUMIF($AA$39:$AA$41,"landbouw",W39:W41)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270</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271</v>
      </c>
      <c r="C48" s="596" t="s">
        <v>272</v>
      </c>
      <c r="D48" s="596"/>
      <c r="E48" s="596"/>
      <c r="F48" s="596"/>
      <c r="G48" s="596"/>
      <c r="H48" s="596"/>
      <c r="I48" s="597"/>
      <c r="J48" s="596"/>
      <c r="K48" s="596"/>
      <c r="L48" s="596"/>
      <c r="M48" s="596"/>
      <c r="N48" s="596"/>
      <c r="O48" s="596"/>
      <c r="P48" s="591"/>
    </row>
    <row r="49" spans="1:16">
      <c r="A49" s="593" t="s">
        <v>268</v>
      </c>
      <c r="B49" s="598">
        <f>IF(ISERROR(O33/(O33+N33)),0,O33/(O33+N33))</f>
        <v>0.58823529411764719</v>
      </c>
      <c r="C49" s="599">
        <f>IF(ISERROR(N33/(O33+N33)),0,N33/(N33+O33))</f>
        <v>0.41176470588235292</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518</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273</v>
      </c>
      <c r="B52" s="608">
        <f t="shared" ref="B52:I52" si="2">$C$49*P33</f>
        <v>15384.705882352941</v>
      </c>
      <c r="C52" s="608">
        <f t="shared" si="2"/>
        <v>20398.235294117647</v>
      </c>
      <c r="D52" s="608">
        <f t="shared" si="2"/>
        <v>5685.8823529411766</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274</v>
      </c>
      <c r="B53" s="611">
        <f t="shared" ref="B53:I53" si="3">$B$49*P33</f>
        <v>21978.151260504208</v>
      </c>
      <c r="C53" s="611">
        <f t="shared" si="3"/>
        <v>29140.336134453792</v>
      </c>
      <c r="D53" s="611">
        <f t="shared" si="3"/>
        <v>8122.6890756302546</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190109.76316262444</v>
      </c>
      <c r="D10" s="931">
        <f ca="1">tertiair!C16</f>
        <v>41355.000000000007</v>
      </c>
      <c r="E10" s="931">
        <f ca="1">tertiair!D16</f>
        <v>176321.24316082656</v>
      </c>
      <c r="F10" s="931">
        <f>tertiair!E16</f>
        <v>2015.3807803819757</v>
      </c>
      <c r="G10" s="931">
        <f ca="1">tertiair!F16</f>
        <v>24352.818177293706</v>
      </c>
      <c r="H10" s="931">
        <f>tertiair!G16</f>
        <v>0</v>
      </c>
      <c r="I10" s="931">
        <f>tertiair!H16</f>
        <v>0</v>
      </c>
      <c r="J10" s="931">
        <f>tertiair!I16</f>
        <v>0</v>
      </c>
      <c r="K10" s="931">
        <f>tertiair!J16</f>
        <v>0.15698570541061482</v>
      </c>
      <c r="L10" s="931">
        <f>tertiair!K16</f>
        <v>0</v>
      </c>
      <c r="M10" s="931">
        <f ca="1">tertiair!L16</f>
        <v>0</v>
      </c>
      <c r="N10" s="931">
        <f>tertiair!M16</f>
        <v>0</v>
      </c>
      <c r="O10" s="931">
        <f ca="1">tertiair!N16</f>
        <v>0</v>
      </c>
      <c r="P10" s="931">
        <f>tertiair!O16</f>
        <v>6.2533333333333339</v>
      </c>
      <c r="Q10" s="932">
        <f>tertiair!P16</f>
        <v>209.73333333333335</v>
      </c>
      <c r="R10" s="628">
        <f ca="1">SUM(C10:Q10)</f>
        <v>434370.34893349878</v>
      </c>
      <c r="S10" s="67"/>
    </row>
    <row r="11" spans="1:19" s="437" customFormat="1">
      <c r="A11" s="736" t="s">
        <v>213</v>
      </c>
      <c r="B11" s="741"/>
      <c r="C11" s="931">
        <f>huishoudens!B8</f>
        <v>93609.734499616563</v>
      </c>
      <c r="D11" s="931">
        <f>huishoudens!C8</f>
        <v>0</v>
      </c>
      <c r="E11" s="931">
        <f>huishoudens!D8</f>
        <v>277702.30955208314</v>
      </c>
      <c r="F11" s="931">
        <f>huishoudens!E8</f>
        <v>3540.7726962476963</v>
      </c>
      <c r="G11" s="931">
        <f>huishoudens!F8</f>
        <v>82072.356320500796</v>
      </c>
      <c r="H11" s="931">
        <f>huishoudens!G8</f>
        <v>0</v>
      </c>
      <c r="I11" s="931">
        <f>huishoudens!H8</f>
        <v>0</v>
      </c>
      <c r="J11" s="931">
        <f>huishoudens!I8</f>
        <v>0</v>
      </c>
      <c r="K11" s="931">
        <f>huishoudens!J8</f>
        <v>421.77961729225456</v>
      </c>
      <c r="L11" s="931">
        <f>huishoudens!K8</f>
        <v>0</v>
      </c>
      <c r="M11" s="931">
        <f>huishoudens!L8</f>
        <v>0</v>
      </c>
      <c r="N11" s="931">
        <f>huishoudens!M8</f>
        <v>0</v>
      </c>
      <c r="O11" s="931">
        <f>huishoudens!N8</f>
        <v>33715.478956434272</v>
      </c>
      <c r="P11" s="931">
        <f>huishoudens!O8</f>
        <v>1149.05</v>
      </c>
      <c r="Q11" s="932">
        <f>huishoudens!P8</f>
        <v>3737.0666666666666</v>
      </c>
      <c r="R11" s="628">
        <f>SUM(C11:Q11)</f>
        <v>495948.54830884136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217457.30219745124</v>
      </c>
      <c r="D13" s="931">
        <f>industrie!C18</f>
        <v>9000</v>
      </c>
      <c r="E13" s="931">
        <f>industrie!D18</f>
        <v>273683.47904443706</v>
      </c>
      <c r="F13" s="931">
        <f>industrie!E18</f>
        <v>4352.0245800184648</v>
      </c>
      <c r="G13" s="931">
        <f>industrie!F18</f>
        <v>31394.701186201353</v>
      </c>
      <c r="H13" s="931">
        <f>industrie!G18</f>
        <v>0</v>
      </c>
      <c r="I13" s="931">
        <f>industrie!H18</f>
        <v>0</v>
      </c>
      <c r="J13" s="931">
        <f>industrie!I18</f>
        <v>0</v>
      </c>
      <c r="K13" s="931">
        <f>industrie!J18</f>
        <v>256.55888039552991</v>
      </c>
      <c r="L13" s="931">
        <f>industrie!K18</f>
        <v>0</v>
      </c>
      <c r="M13" s="931">
        <f>industrie!L18</f>
        <v>0</v>
      </c>
      <c r="N13" s="931">
        <f>industrie!M18</f>
        <v>0</v>
      </c>
      <c r="O13" s="931">
        <f>industrie!N18</f>
        <v>9979.3068982893365</v>
      </c>
      <c r="P13" s="931">
        <f>industrie!O18</f>
        <v>0</v>
      </c>
      <c r="Q13" s="932">
        <f>industrie!P18</f>
        <v>0</v>
      </c>
      <c r="R13" s="628">
        <f>SUM(C13:Q13)</f>
        <v>546123.37278679293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501176.79985969223</v>
      </c>
      <c r="D16" s="660">
        <f t="shared" ref="D16:R16" ca="1" si="0">SUM(D9:D15)</f>
        <v>50355.000000000007</v>
      </c>
      <c r="E16" s="660">
        <f t="shared" ca="1" si="0"/>
        <v>727707.03175734682</v>
      </c>
      <c r="F16" s="660">
        <f t="shared" si="0"/>
        <v>9908.1780566481357</v>
      </c>
      <c r="G16" s="660">
        <f t="shared" ca="1" si="0"/>
        <v>137819.87568399587</v>
      </c>
      <c r="H16" s="660">
        <f t="shared" si="0"/>
        <v>0</v>
      </c>
      <c r="I16" s="660">
        <f t="shared" si="0"/>
        <v>0</v>
      </c>
      <c r="J16" s="660">
        <f t="shared" si="0"/>
        <v>0</v>
      </c>
      <c r="K16" s="660">
        <f t="shared" si="0"/>
        <v>678.49548339319506</v>
      </c>
      <c r="L16" s="660">
        <f t="shared" si="0"/>
        <v>0</v>
      </c>
      <c r="M16" s="660">
        <f t="shared" ca="1" si="0"/>
        <v>0</v>
      </c>
      <c r="N16" s="660">
        <f t="shared" si="0"/>
        <v>0</v>
      </c>
      <c r="O16" s="660">
        <f t="shared" ca="1" si="0"/>
        <v>43694.78585472361</v>
      </c>
      <c r="P16" s="660">
        <f t="shared" si="0"/>
        <v>1155.3033333333333</v>
      </c>
      <c r="Q16" s="660">
        <f t="shared" si="0"/>
        <v>3946.8</v>
      </c>
      <c r="R16" s="660">
        <f t="shared" ca="1" si="0"/>
        <v>1476442.2700291332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51.902551347969883</v>
      </c>
      <c r="D19" s="931">
        <f>transport!C54</f>
        <v>0</v>
      </c>
      <c r="E19" s="931">
        <f>transport!D54</f>
        <v>0</v>
      </c>
      <c r="F19" s="931">
        <f>transport!E54</f>
        <v>0</v>
      </c>
      <c r="G19" s="931">
        <f>transport!F54</f>
        <v>0</v>
      </c>
      <c r="H19" s="931">
        <f>transport!G54</f>
        <v>4875.729609951145</v>
      </c>
      <c r="I19" s="931">
        <f>transport!H54</f>
        <v>0</v>
      </c>
      <c r="J19" s="931">
        <f>transport!I54</f>
        <v>0</v>
      </c>
      <c r="K19" s="931">
        <f>transport!J54</f>
        <v>0</v>
      </c>
      <c r="L19" s="931">
        <f>transport!K54</f>
        <v>0</v>
      </c>
      <c r="M19" s="931">
        <f>transport!L54</f>
        <v>0</v>
      </c>
      <c r="N19" s="931">
        <f>transport!M54</f>
        <v>280.77862893429682</v>
      </c>
      <c r="O19" s="931">
        <f>transport!N54</f>
        <v>0</v>
      </c>
      <c r="P19" s="931">
        <f>transport!O54</f>
        <v>0</v>
      </c>
      <c r="Q19" s="932">
        <f>transport!P54</f>
        <v>0</v>
      </c>
      <c r="R19" s="628">
        <f>SUM(C19:Q19)</f>
        <v>5208.4107902334117</v>
      </c>
      <c r="S19" s="67"/>
    </row>
    <row r="20" spans="1:19" s="437" customFormat="1">
      <c r="A20" s="736" t="s">
        <v>295</v>
      </c>
      <c r="B20" s="741"/>
      <c r="C20" s="931">
        <f>transport!B14</f>
        <v>150.82222858280761</v>
      </c>
      <c r="D20" s="931">
        <f>transport!C14</f>
        <v>0</v>
      </c>
      <c r="E20" s="931">
        <f>transport!D14</f>
        <v>256.16430945774709</v>
      </c>
      <c r="F20" s="931">
        <f>transport!E14</f>
        <v>461.81181638115999</v>
      </c>
      <c r="G20" s="931">
        <f>transport!F14</f>
        <v>0</v>
      </c>
      <c r="H20" s="931">
        <f>transport!G14</f>
        <v>220014.32808581347</v>
      </c>
      <c r="I20" s="931">
        <f>transport!H14</f>
        <v>44546.917440368961</v>
      </c>
      <c r="J20" s="931">
        <f>transport!I14</f>
        <v>0</v>
      </c>
      <c r="K20" s="931">
        <f>transport!J14</f>
        <v>0</v>
      </c>
      <c r="L20" s="931">
        <f>transport!K14</f>
        <v>0</v>
      </c>
      <c r="M20" s="931">
        <f>transport!L14</f>
        <v>0</v>
      </c>
      <c r="N20" s="931">
        <f>transport!M14</f>
        <v>14165.903323182698</v>
      </c>
      <c r="O20" s="931">
        <f>transport!N14</f>
        <v>0</v>
      </c>
      <c r="P20" s="931">
        <f>transport!O14</f>
        <v>0</v>
      </c>
      <c r="Q20" s="932">
        <f>transport!P14</f>
        <v>0</v>
      </c>
      <c r="R20" s="628">
        <f>SUM(C20:Q20)</f>
        <v>279595.94720378687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202.72477993077749</v>
      </c>
      <c r="D22" s="739">
        <f t="shared" ref="D22:R22" si="1">SUM(D18:D21)</f>
        <v>0</v>
      </c>
      <c r="E22" s="739">
        <f t="shared" si="1"/>
        <v>256.16430945774709</v>
      </c>
      <c r="F22" s="739">
        <f t="shared" si="1"/>
        <v>461.81181638115999</v>
      </c>
      <c r="G22" s="739">
        <f t="shared" si="1"/>
        <v>0</v>
      </c>
      <c r="H22" s="739">
        <f t="shared" si="1"/>
        <v>224890.05769576461</v>
      </c>
      <c r="I22" s="739">
        <f t="shared" si="1"/>
        <v>44546.917440368961</v>
      </c>
      <c r="J22" s="739">
        <f t="shared" si="1"/>
        <v>0</v>
      </c>
      <c r="K22" s="739">
        <f t="shared" si="1"/>
        <v>0</v>
      </c>
      <c r="L22" s="739">
        <f t="shared" si="1"/>
        <v>0</v>
      </c>
      <c r="M22" s="739">
        <f t="shared" si="1"/>
        <v>0</v>
      </c>
      <c r="N22" s="739">
        <f t="shared" si="1"/>
        <v>14446.681952116995</v>
      </c>
      <c r="O22" s="739">
        <f t="shared" si="1"/>
        <v>0</v>
      </c>
      <c r="P22" s="739">
        <f t="shared" si="1"/>
        <v>0</v>
      </c>
      <c r="Q22" s="739">
        <f t="shared" si="1"/>
        <v>0</v>
      </c>
      <c r="R22" s="739">
        <f t="shared" si="1"/>
        <v>284804.35799402028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3461.9962372603982</v>
      </c>
      <c r="D24" s="931">
        <f>+landbouw!C8</f>
        <v>0</v>
      </c>
      <c r="E24" s="931">
        <f>+landbouw!D8</f>
        <v>2377.6348119629597</v>
      </c>
      <c r="F24" s="931">
        <f>+landbouw!E8</f>
        <v>112.35315839619493</v>
      </c>
      <c r="G24" s="931">
        <f>+landbouw!F8</f>
        <v>12771.975909044857</v>
      </c>
      <c r="H24" s="931">
        <f>+landbouw!G8</f>
        <v>0</v>
      </c>
      <c r="I24" s="931">
        <f>+landbouw!H8</f>
        <v>0</v>
      </c>
      <c r="J24" s="931">
        <f>+landbouw!I8</f>
        <v>0</v>
      </c>
      <c r="K24" s="931">
        <f>+landbouw!J8</f>
        <v>910.46921794765603</v>
      </c>
      <c r="L24" s="931">
        <f>+landbouw!K8</f>
        <v>0</v>
      </c>
      <c r="M24" s="931">
        <f>+landbouw!L8</f>
        <v>0</v>
      </c>
      <c r="N24" s="931">
        <f>+landbouw!M8</f>
        <v>0</v>
      </c>
      <c r="O24" s="931">
        <f>+landbouw!N8</f>
        <v>0</v>
      </c>
      <c r="P24" s="931">
        <f>+landbouw!O8</f>
        <v>0</v>
      </c>
      <c r="Q24" s="932">
        <f>+landbouw!P8</f>
        <v>0</v>
      </c>
      <c r="R24" s="628">
        <f>SUM(C24:Q24)</f>
        <v>19634.429334612065</v>
      </c>
      <c r="S24" s="67"/>
    </row>
    <row r="25" spans="1:19" s="437" customFormat="1" ht="15" thickBot="1">
      <c r="A25" s="758" t="s">
        <v>775</v>
      </c>
      <c r="B25" s="934"/>
      <c r="C25" s="935">
        <f>IF(Onbekend_ele_kWh="---",0,Onbekend_ele_kWh)/1000+IF(REST_rest_ele_kWh="---",0,REST_rest_ele_kWh)/1000</f>
        <v>4531.80742374909</v>
      </c>
      <c r="D25" s="935"/>
      <c r="E25" s="935">
        <f>IF(onbekend_gas_kWh="---",0,onbekend_gas_kWh)/1000+IF(REST_rest_gas_kWh="---",0,REST_rest_gas_kWh)/1000</f>
        <v>11952.8997568588</v>
      </c>
      <c r="F25" s="935"/>
      <c r="G25" s="935"/>
      <c r="H25" s="935"/>
      <c r="I25" s="935"/>
      <c r="J25" s="935"/>
      <c r="K25" s="935"/>
      <c r="L25" s="935"/>
      <c r="M25" s="935"/>
      <c r="N25" s="935"/>
      <c r="O25" s="935"/>
      <c r="P25" s="935"/>
      <c r="Q25" s="936"/>
      <c r="R25" s="628">
        <f>SUM(C25:Q25)</f>
        <v>16484.707180607889</v>
      </c>
      <c r="S25" s="67"/>
    </row>
    <row r="26" spans="1:19" s="437" customFormat="1" ht="15.75" thickBot="1">
      <c r="A26" s="633" t="s">
        <v>776</v>
      </c>
      <c r="B26" s="744"/>
      <c r="C26" s="739">
        <f>SUM(C24:C25)</f>
        <v>7993.8036610094878</v>
      </c>
      <c r="D26" s="739">
        <f t="shared" ref="D26:R26" si="2">SUM(D24:D25)</f>
        <v>0</v>
      </c>
      <c r="E26" s="739">
        <f t="shared" si="2"/>
        <v>14330.53456882176</v>
      </c>
      <c r="F26" s="739">
        <f t="shared" si="2"/>
        <v>112.35315839619493</v>
      </c>
      <c r="G26" s="739">
        <f t="shared" si="2"/>
        <v>12771.975909044857</v>
      </c>
      <c r="H26" s="739">
        <f t="shared" si="2"/>
        <v>0</v>
      </c>
      <c r="I26" s="739">
        <f t="shared" si="2"/>
        <v>0</v>
      </c>
      <c r="J26" s="739">
        <f t="shared" si="2"/>
        <v>0</v>
      </c>
      <c r="K26" s="739">
        <f t="shared" si="2"/>
        <v>910.46921794765603</v>
      </c>
      <c r="L26" s="739">
        <f t="shared" si="2"/>
        <v>0</v>
      </c>
      <c r="M26" s="739">
        <f t="shared" si="2"/>
        <v>0</v>
      </c>
      <c r="N26" s="739">
        <f t="shared" si="2"/>
        <v>0</v>
      </c>
      <c r="O26" s="739">
        <f t="shared" si="2"/>
        <v>0</v>
      </c>
      <c r="P26" s="739">
        <f t="shared" si="2"/>
        <v>0</v>
      </c>
      <c r="Q26" s="739">
        <f t="shared" si="2"/>
        <v>0</v>
      </c>
      <c r="R26" s="739">
        <f t="shared" si="2"/>
        <v>36119.136515219958</v>
      </c>
      <c r="S26" s="67"/>
    </row>
    <row r="27" spans="1:19" s="437" customFormat="1" ht="17.25" thickTop="1" thickBot="1">
      <c r="A27" s="634" t="s">
        <v>109</v>
      </c>
      <c r="B27" s="732"/>
      <c r="C27" s="635">
        <f ca="1">C22+C16+C26</f>
        <v>509373.32830063248</v>
      </c>
      <c r="D27" s="635">
        <f t="shared" ref="D27:R27" ca="1" si="3">D22+D16+D26</f>
        <v>50355.000000000007</v>
      </c>
      <c r="E27" s="635">
        <f t="shared" ca="1" si="3"/>
        <v>742293.73063562636</v>
      </c>
      <c r="F27" s="635">
        <f t="shared" si="3"/>
        <v>10482.343031425491</v>
      </c>
      <c r="G27" s="635">
        <f t="shared" ca="1" si="3"/>
        <v>150591.85159304072</v>
      </c>
      <c r="H27" s="635">
        <f t="shared" si="3"/>
        <v>224890.05769576461</v>
      </c>
      <c r="I27" s="635">
        <f t="shared" si="3"/>
        <v>44546.917440368961</v>
      </c>
      <c r="J27" s="635">
        <f t="shared" si="3"/>
        <v>0</v>
      </c>
      <c r="K27" s="635">
        <f t="shared" si="3"/>
        <v>1588.9647013408512</v>
      </c>
      <c r="L27" s="635">
        <f t="shared" si="3"/>
        <v>0</v>
      </c>
      <c r="M27" s="635">
        <f t="shared" ca="1" si="3"/>
        <v>0</v>
      </c>
      <c r="N27" s="635">
        <f t="shared" si="3"/>
        <v>14446.681952116995</v>
      </c>
      <c r="O27" s="635">
        <f t="shared" ca="1" si="3"/>
        <v>43694.78585472361</v>
      </c>
      <c r="P27" s="635">
        <f t="shared" si="3"/>
        <v>1155.3033333333333</v>
      </c>
      <c r="Q27" s="635">
        <f t="shared" si="3"/>
        <v>3946.8</v>
      </c>
      <c r="R27" s="635">
        <f t="shared" ca="1" si="3"/>
        <v>1797365.7645383733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36349.847571363011</v>
      </c>
      <c r="D40" s="931">
        <f ca="1">tertiair!C20</f>
        <v>3646.094766485684</v>
      </c>
      <c r="E40" s="931">
        <f ca="1">tertiair!D20</f>
        <v>35616.891118486965</v>
      </c>
      <c r="F40" s="931">
        <f>tertiair!E20</f>
        <v>457.49143714670851</v>
      </c>
      <c r="G40" s="931">
        <f ca="1">tertiair!F20</f>
        <v>6502.2024533374197</v>
      </c>
      <c r="H40" s="931">
        <f>tertiair!G20</f>
        <v>0</v>
      </c>
      <c r="I40" s="931">
        <f>tertiair!H20</f>
        <v>0</v>
      </c>
      <c r="J40" s="931">
        <f>tertiair!I20</f>
        <v>0</v>
      </c>
      <c r="K40" s="931">
        <f>tertiair!J20</f>
        <v>5.5572939715357643E-2</v>
      </c>
      <c r="L40" s="931">
        <f>tertiair!K20</f>
        <v>0</v>
      </c>
      <c r="M40" s="931">
        <f ca="1">tertiair!L20</f>
        <v>0</v>
      </c>
      <c r="N40" s="931">
        <f>tertiair!M20</f>
        <v>0</v>
      </c>
      <c r="O40" s="931">
        <f ca="1">tertiair!N20</f>
        <v>0</v>
      </c>
      <c r="P40" s="931">
        <f>tertiair!O20</f>
        <v>0</v>
      </c>
      <c r="Q40" s="702">
        <f>tertiair!P20</f>
        <v>0</v>
      </c>
      <c r="R40" s="777">
        <f t="shared" ca="1" si="4"/>
        <v>82572.582919759501</v>
      </c>
    </row>
    <row r="41" spans="1:18">
      <c r="A41" s="749" t="s">
        <v>213</v>
      </c>
      <c r="B41" s="756"/>
      <c r="C41" s="931">
        <f ca="1">huishoudens!B12</f>
        <v>17898.60511974902</v>
      </c>
      <c r="D41" s="931">
        <f ca="1">huishoudens!C12</f>
        <v>0</v>
      </c>
      <c r="E41" s="931">
        <f>huishoudens!D12</f>
        <v>56095.866529520797</v>
      </c>
      <c r="F41" s="931">
        <f>huishoudens!E12</f>
        <v>803.7554020482271</v>
      </c>
      <c r="G41" s="931">
        <f>huishoudens!F12</f>
        <v>21913.319137573715</v>
      </c>
      <c r="H41" s="931">
        <f>huishoudens!G12</f>
        <v>0</v>
      </c>
      <c r="I41" s="931">
        <f>huishoudens!H12</f>
        <v>0</v>
      </c>
      <c r="J41" s="931">
        <f>huishoudens!I12</f>
        <v>0</v>
      </c>
      <c r="K41" s="931">
        <f>huishoudens!J12</f>
        <v>149.30998452145809</v>
      </c>
      <c r="L41" s="931">
        <f>huishoudens!K12</f>
        <v>0</v>
      </c>
      <c r="M41" s="931">
        <f>huishoudens!L12</f>
        <v>0</v>
      </c>
      <c r="N41" s="931">
        <f>huishoudens!M12</f>
        <v>0</v>
      </c>
      <c r="O41" s="931">
        <f>huishoudens!N12</f>
        <v>0</v>
      </c>
      <c r="P41" s="931">
        <f>huishoudens!O12</f>
        <v>0</v>
      </c>
      <c r="Q41" s="702">
        <f>huishoudens!P12</f>
        <v>0</v>
      </c>
      <c r="R41" s="777">
        <f t="shared" ca="1" si="4"/>
        <v>96860.856173413209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41578.820869896321</v>
      </c>
      <c r="D43" s="931">
        <f ca="1">industrie!C22</f>
        <v>793.49178813616606</v>
      </c>
      <c r="E43" s="931">
        <f>industrie!D22</f>
        <v>55284.062766976291</v>
      </c>
      <c r="F43" s="931">
        <f>industrie!E22</f>
        <v>987.9095796641916</v>
      </c>
      <c r="G43" s="931">
        <f>industrie!F22</f>
        <v>8382.385216715762</v>
      </c>
      <c r="H43" s="931">
        <f>industrie!G22</f>
        <v>0</v>
      </c>
      <c r="I43" s="931">
        <f>industrie!H22</f>
        <v>0</v>
      </c>
      <c r="J43" s="931">
        <f>industrie!I22</f>
        <v>0</v>
      </c>
      <c r="K43" s="931">
        <f>industrie!J22</f>
        <v>90.821843660017578</v>
      </c>
      <c r="L43" s="931">
        <f>industrie!K22</f>
        <v>0</v>
      </c>
      <c r="M43" s="931">
        <f>industrie!L22</f>
        <v>0</v>
      </c>
      <c r="N43" s="931">
        <f>industrie!M22</f>
        <v>0</v>
      </c>
      <c r="O43" s="931">
        <f>industrie!N22</f>
        <v>0</v>
      </c>
      <c r="P43" s="931">
        <f>industrie!O22</f>
        <v>0</v>
      </c>
      <c r="Q43" s="702">
        <f>industrie!P22</f>
        <v>0</v>
      </c>
      <c r="R43" s="776">
        <f t="shared" ca="1" si="4"/>
        <v>107117.49206504875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95827.273561008362</v>
      </c>
      <c r="D46" s="660">
        <f t="shared" ref="D46:Q46" ca="1" si="5">SUM(D39:D45)</f>
        <v>4439.5865546218502</v>
      </c>
      <c r="E46" s="660">
        <f t="shared" ca="1" si="5"/>
        <v>146996.82041498407</v>
      </c>
      <c r="F46" s="660">
        <f t="shared" si="5"/>
        <v>2249.1564188591274</v>
      </c>
      <c r="G46" s="660">
        <f t="shared" ca="1" si="5"/>
        <v>36797.906807626896</v>
      </c>
      <c r="H46" s="660">
        <f t="shared" si="5"/>
        <v>0</v>
      </c>
      <c r="I46" s="660">
        <f t="shared" si="5"/>
        <v>0</v>
      </c>
      <c r="J46" s="660">
        <f t="shared" si="5"/>
        <v>0</v>
      </c>
      <c r="K46" s="660">
        <f t="shared" si="5"/>
        <v>240.18740112119102</v>
      </c>
      <c r="L46" s="660">
        <f t="shared" si="5"/>
        <v>0</v>
      </c>
      <c r="M46" s="660">
        <f t="shared" ca="1" si="5"/>
        <v>0</v>
      </c>
      <c r="N46" s="660">
        <f t="shared" si="5"/>
        <v>0</v>
      </c>
      <c r="O46" s="660">
        <f t="shared" ca="1" si="5"/>
        <v>0</v>
      </c>
      <c r="P46" s="660">
        <f t="shared" si="5"/>
        <v>0</v>
      </c>
      <c r="Q46" s="660">
        <f t="shared" si="5"/>
        <v>0</v>
      </c>
      <c r="R46" s="660">
        <f ca="1">SUM(R39:R45)</f>
        <v>286550.93115822144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9.9240028427664786</v>
      </c>
      <c r="D49" s="931">
        <f ca="1">transport!C58</f>
        <v>0</v>
      </c>
      <c r="E49" s="931">
        <f>transport!D58</f>
        <v>0</v>
      </c>
      <c r="F49" s="931">
        <f>transport!E58</f>
        <v>0</v>
      </c>
      <c r="G49" s="931">
        <f>transport!F58</f>
        <v>0</v>
      </c>
      <c r="H49" s="931">
        <f>transport!G58</f>
        <v>1301.8198058569558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1311.7438086997222</v>
      </c>
    </row>
    <row r="50" spans="1:18">
      <c r="A50" s="752" t="s">
        <v>295</v>
      </c>
      <c r="B50" s="762"/>
      <c r="C50" s="631">
        <f ca="1">transport!B18</f>
        <v>28.837893057962415</v>
      </c>
      <c r="D50" s="631">
        <f>transport!C18</f>
        <v>0</v>
      </c>
      <c r="E50" s="631">
        <f>transport!D18</f>
        <v>51.745190510464916</v>
      </c>
      <c r="F50" s="631">
        <f>transport!E18</f>
        <v>104.83128231852332</v>
      </c>
      <c r="G50" s="631">
        <f>transport!F18</f>
        <v>0</v>
      </c>
      <c r="H50" s="631">
        <f>transport!G18</f>
        <v>58743.825598912197</v>
      </c>
      <c r="I50" s="631">
        <f>transport!H18</f>
        <v>11092.182442651871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70021.422407451013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38.761895900728895</v>
      </c>
      <c r="D52" s="660">
        <f t="shared" ref="D52:Q52" ca="1" si="6">SUM(D48:D51)</f>
        <v>0</v>
      </c>
      <c r="E52" s="660">
        <f t="shared" si="6"/>
        <v>51.745190510464916</v>
      </c>
      <c r="F52" s="660">
        <f t="shared" si="6"/>
        <v>104.83128231852332</v>
      </c>
      <c r="G52" s="660">
        <f t="shared" si="6"/>
        <v>0</v>
      </c>
      <c r="H52" s="660">
        <f t="shared" si="6"/>
        <v>60045.645404769151</v>
      </c>
      <c r="I52" s="660">
        <f t="shared" si="6"/>
        <v>11092.182442651871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71333.166216150741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661.94935716898783</v>
      </c>
      <c r="D54" s="631">
        <f ca="1">+landbouw!C12</f>
        <v>0</v>
      </c>
      <c r="E54" s="631">
        <f>+landbouw!D12</f>
        <v>480.28223201651787</v>
      </c>
      <c r="F54" s="631">
        <f>+landbouw!E12</f>
        <v>25.504166955936249</v>
      </c>
      <c r="G54" s="631">
        <f>+landbouw!F12</f>
        <v>3410.1175677149772</v>
      </c>
      <c r="H54" s="631">
        <f>+landbouw!G12</f>
        <v>0</v>
      </c>
      <c r="I54" s="631">
        <f>+landbouw!H12</f>
        <v>0</v>
      </c>
      <c r="J54" s="631">
        <f>+landbouw!I12</f>
        <v>0</v>
      </c>
      <c r="K54" s="631">
        <f>+landbouw!J12</f>
        <v>322.30610315347025</v>
      </c>
      <c r="L54" s="631">
        <f>+landbouw!K12</f>
        <v>0</v>
      </c>
      <c r="M54" s="631">
        <f>+landbouw!L12</f>
        <v>0</v>
      </c>
      <c r="N54" s="631">
        <f>+landbouw!M12</f>
        <v>0</v>
      </c>
      <c r="O54" s="631">
        <f>+landbouw!N12</f>
        <v>0</v>
      </c>
      <c r="P54" s="631">
        <f>+landbouw!O12</f>
        <v>0</v>
      </c>
      <c r="Q54" s="632">
        <f>+landbouw!P12</f>
        <v>0</v>
      </c>
      <c r="R54" s="659">
        <f ca="1">SUM(C54:Q54)</f>
        <v>4900.1594270098894</v>
      </c>
    </row>
    <row r="55" spans="1:18" ht="15" thickBot="1">
      <c r="A55" s="752" t="s">
        <v>775</v>
      </c>
      <c r="B55" s="762"/>
      <c r="C55" s="631">
        <f ca="1">C25*'EF ele_warmte'!B12</f>
        <v>866.50210034261261</v>
      </c>
      <c r="D55" s="631"/>
      <c r="E55" s="631">
        <f>E25*EF_CO2_aardgas</f>
        <v>2414.485750885478</v>
      </c>
      <c r="F55" s="631"/>
      <c r="G55" s="631"/>
      <c r="H55" s="631"/>
      <c r="I55" s="631"/>
      <c r="J55" s="631"/>
      <c r="K55" s="631"/>
      <c r="L55" s="631"/>
      <c r="M55" s="631"/>
      <c r="N55" s="631"/>
      <c r="O55" s="631"/>
      <c r="P55" s="631"/>
      <c r="Q55" s="632"/>
      <c r="R55" s="659">
        <f ca="1">SUM(C55:Q55)</f>
        <v>3280.9878512280907</v>
      </c>
    </row>
    <row r="56" spans="1:18" ht="15.75" thickBot="1">
      <c r="A56" s="750" t="s">
        <v>776</v>
      </c>
      <c r="B56" s="763"/>
      <c r="C56" s="660">
        <f ca="1">SUM(C54:C55)</f>
        <v>1528.4514575116004</v>
      </c>
      <c r="D56" s="660">
        <f t="shared" ref="D56:Q56" ca="1" si="7">SUM(D54:D55)</f>
        <v>0</v>
      </c>
      <c r="E56" s="660">
        <f t="shared" si="7"/>
        <v>2894.7679829019958</v>
      </c>
      <c r="F56" s="660">
        <f t="shared" si="7"/>
        <v>25.504166955936249</v>
      </c>
      <c r="G56" s="660">
        <f t="shared" si="7"/>
        <v>3410.1175677149772</v>
      </c>
      <c r="H56" s="660">
        <f t="shared" si="7"/>
        <v>0</v>
      </c>
      <c r="I56" s="660">
        <f t="shared" si="7"/>
        <v>0</v>
      </c>
      <c r="J56" s="660">
        <f t="shared" si="7"/>
        <v>0</v>
      </c>
      <c r="K56" s="660">
        <f t="shared" si="7"/>
        <v>322.30610315347025</v>
      </c>
      <c r="L56" s="660">
        <f t="shared" si="7"/>
        <v>0</v>
      </c>
      <c r="M56" s="660">
        <f t="shared" si="7"/>
        <v>0</v>
      </c>
      <c r="N56" s="660">
        <f t="shared" si="7"/>
        <v>0</v>
      </c>
      <c r="O56" s="660">
        <f t="shared" si="7"/>
        <v>0</v>
      </c>
      <c r="P56" s="660">
        <f t="shared" si="7"/>
        <v>0</v>
      </c>
      <c r="Q56" s="661">
        <f t="shared" si="7"/>
        <v>0</v>
      </c>
      <c r="R56" s="662">
        <f ca="1">SUM(R54:R55)</f>
        <v>8181.1472782379806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97394.48691442069</v>
      </c>
      <c r="D61" s="668">
        <f t="shared" ref="D61:Q61" ca="1" si="8">D46+D52+D56</f>
        <v>4439.5865546218502</v>
      </c>
      <c r="E61" s="668">
        <f t="shared" ca="1" si="8"/>
        <v>149943.33358839655</v>
      </c>
      <c r="F61" s="668">
        <f t="shared" si="8"/>
        <v>2379.4918681335871</v>
      </c>
      <c r="G61" s="668">
        <f t="shared" ca="1" si="8"/>
        <v>40208.024375341876</v>
      </c>
      <c r="H61" s="668">
        <f t="shared" si="8"/>
        <v>60045.645404769151</v>
      </c>
      <c r="I61" s="668">
        <f t="shared" si="8"/>
        <v>11092.182442651871</v>
      </c>
      <c r="J61" s="668">
        <f t="shared" si="8"/>
        <v>0</v>
      </c>
      <c r="K61" s="668">
        <f t="shared" si="8"/>
        <v>562.49350427466129</v>
      </c>
      <c r="L61" s="668">
        <f t="shared" si="8"/>
        <v>0</v>
      </c>
      <c r="M61" s="668">
        <f t="shared" ca="1" si="8"/>
        <v>0</v>
      </c>
      <c r="N61" s="668">
        <f t="shared" si="8"/>
        <v>0</v>
      </c>
      <c r="O61" s="668">
        <f t="shared" ca="1" si="8"/>
        <v>0</v>
      </c>
      <c r="P61" s="668">
        <f t="shared" si="8"/>
        <v>0</v>
      </c>
      <c r="Q61" s="668">
        <f t="shared" si="8"/>
        <v>0</v>
      </c>
      <c r="R61" s="668">
        <f ca="1">R46+R52+R56</f>
        <v>366065.24465261016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0.19120452819810463</v>
      </c>
      <c r="D63" s="709">
        <f t="shared" ca="1" si="9"/>
        <v>8.816575423735179E-2</v>
      </c>
      <c r="E63" s="942">
        <f t="shared" ca="1" si="9"/>
        <v>0.20200000000000004</v>
      </c>
      <c r="F63" s="709">
        <f t="shared" si="9"/>
        <v>0.22700000000000006</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21530.6015656829</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25817.729783884504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22171.500000000004</v>
      </c>
      <c r="C76" s="678">
        <f>'lokale energieproductie'!B8*IFERROR(SUM(D76:H76)/SUM(D76:O76),0)</f>
        <v>13077</v>
      </c>
      <c r="D76" s="952">
        <f>'lokale energieproductie'!C8</f>
        <v>15384.705882352941</v>
      </c>
      <c r="E76" s="953">
        <f>'lokale energieproductie'!D8</f>
        <v>0</v>
      </c>
      <c r="F76" s="953">
        <f>'lokale energieproductie'!E8</f>
        <v>0</v>
      </c>
      <c r="G76" s="953">
        <f>'lokale energieproductie'!F8</f>
        <v>0</v>
      </c>
      <c r="H76" s="953">
        <f>'lokale energieproductie'!G8</f>
        <v>0</v>
      </c>
      <c r="I76" s="953">
        <f>'lokale energieproductie'!I8</f>
        <v>0</v>
      </c>
      <c r="J76" s="953">
        <f>'lokale energieproductie'!J8</f>
        <v>26084.117647058825</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3107.7105882352944</v>
      </c>
      <c r="R76" s="779">
        <v>0</v>
      </c>
    </row>
    <row r="77" spans="1:18" ht="30.75" thickBot="1">
      <c r="A77" s="681" t="s">
        <v>339</v>
      </c>
      <c r="B77" s="678">
        <f>'lokale energieproductie'!B9*IFERROR(SUM(I77:O77)/SUM(D77:O77),0)</f>
        <v>139.5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398.57142857142861</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69659.331349567408</v>
      </c>
      <c r="C78" s="683">
        <f>SUM(C72:C77)</f>
        <v>13077</v>
      </c>
      <c r="D78" s="684">
        <f t="shared" ref="D78:H78" si="10">SUM(D76:D77)</f>
        <v>15384.705882352941</v>
      </c>
      <c r="E78" s="684">
        <f t="shared" si="10"/>
        <v>0</v>
      </c>
      <c r="F78" s="684">
        <f t="shared" si="10"/>
        <v>0</v>
      </c>
      <c r="G78" s="684">
        <f t="shared" si="10"/>
        <v>0</v>
      </c>
      <c r="H78" s="684">
        <f t="shared" si="10"/>
        <v>0</v>
      </c>
      <c r="I78" s="684">
        <f>SUM(I76:I77)</f>
        <v>0</v>
      </c>
      <c r="J78" s="684">
        <f>SUM(J76:J77)</f>
        <v>26482.689075630253</v>
      </c>
      <c r="K78" s="684">
        <f t="shared" ref="K78:L78" si="11">SUM(K76:K77)</f>
        <v>0</v>
      </c>
      <c r="L78" s="684">
        <f t="shared" si="11"/>
        <v>0</v>
      </c>
      <c r="M78" s="684">
        <f>SUM(M76:M77)</f>
        <v>0</v>
      </c>
      <c r="N78" s="684">
        <f>SUM(N76:N77)</f>
        <v>0</v>
      </c>
      <c r="O78" s="787">
        <f>SUM(O76:O77)</f>
        <v>0</v>
      </c>
      <c r="P78" s="685">
        <v>0</v>
      </c>
      <c r="Q78" s="685">
        <f>SUM(Q76:Q77)</f>
        <v>3107.7105882352944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31673.571428571431</v>
      </c>
      <c r="C87" s="694">
        <f>'lokale energieproductie'!B17*IFERROR(SUM(D87:H87)/SUM(D87:O87),0)</f>
        <v>18681.428571428572</v>
      </c>
      <c r="D87" s="705">
        <f>'lokale energieproductie'!C17</f>
        <v>21978.151260504208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37263.025210084044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4439.5865546218502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31673.571428571431</v>
      </c>
      <c r="C90" s="683">
        <f>SUM(C87:C89)</f>
        <v>18681.428571428572</v>
      </c>
      <c r="D90" s="683">
        <f t="shared" ref="D90:H90" si="12">SUM(D87:D89)</f>
        <v>21978.151260504208</v>
      </c>
      <c r="E90" s="683">
        <f t="shared" si="12"/>
        <v>0</v>
      </c>
      <c r="F90" s="683">
        <f t="shared" si="12"/>
        <v>0</v>
      </c>
      <c r="G90" s="683">
        <f t="shared" si="12"/>
        <v>0</v>
      </c>
      <c r="H90" s="683">
        <f t="shared" si="12"/>
        <v>0</v>
      </c>
      <c r="I90" s="683">
        <f>SUM(I87:I89)</f>
        <v>0</v>
      </c>
      <c r="J90" s="683">
        <f>SUM(J87:J89)</f>
        <v>37263.025210084044</v>
      </c>
      <c r="K90" s="683">
        <f t="shared" ref="K90:L90" si="13">SUM(K87:K89)</f>
        <v>0</v>
      </c>
      <c r="L90" s="683">
        <f t="shared" si="13"/>
        <v>0</v>
      </c>
      <c r="M90" s="683">
        <f>SUM(M87:M89)</f>
        <v>0</v>
      </c>
      <c r="N90" s="683">
        <f>SUM(N87:N89)</f>
        <v>0</v>
      </c>
      <c r="O90" s="683">
        <f>SUM(O87:O89)</f>
        <v>0</v>
      </c>
      <c r="P90" s="683">
        <v>0</v>
      </c>
      <c r="Q90" s="683">
        <f>SUM(Q87:Q89)</f>
        <v>4439.5865546218502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93609.734499616563</v>
      </c>
      <c r="C4" s="441">
        <f>huishoudens!C8</f>
        <v>0</v>
      </c>
      <c r="D4" s="441">
        <f>huishoudens!D8</f>
        <v>277702.30955208314</v>
      </c>
      <c r="E4" s="441">
        <f>huishoudens!E8</f>
        <v>3540.7726962476963</v>
      </c>
      <c r="F4" s="441">
        <f>huishoudens!F8</f>
        <v>82072.356320500796</v>
      </c>
      <c r="G4" s="441">
        <f>huishoudens!G8</f>
        <v>0</v>
      </c>
      <c r="H4" s="441">
        <f>huishoudens!H8</f>
        <v>0</v>
      </c>
      <c r="I4" s="441">
        <f>huishoudens!I8</f>
        <v>0</v>
      </c>
      <c r="J4" s="441">
        <f>huishoudens!J8</f>
        <v>421.77961729225456</v>
      </c>
      <c r="K4" s="441">
        <f>huishoudens!K8</f>
        <v>0</v>
      </c>
      <c r="L4" s="441">
        <f>huishoudens!L8</f>
        <v>0</v>
      </c>
      <c r="M4" s="441">
        <f>huishoudens!M8</f>
        <v>0</v>
      </c>
      <c r="N4" s="441">
        <f>huishoudens!N8</f>
        <v>33715.478956434272</v>
      </c>
      <c r="O4" s="441">
        <f>huishoudens!O8</f>
        <v>1149.05</v>
      </c>
      <c r="P4" s="442">
        <f>huishoudens!P8</f>
        <v>3737.0666666666666</v>
      </c>
      <c r="Q4" s="443">
        <f>SUM(B4:P4)</f>
        <v>495948.54830884136</v>
      </c>
    </row>
    <row r="5" spans="1:17">
      <c r="A5" s="440" t="s">
        <v>149</v>
      </c>
      <c r="B5" s="441">
        <f ca="1">tertiair!B16</f>
        <v>184657.26016262444</v>
      </c>
      <c r="C5" s="441">
        <f ca="1">tertiair!C16</f>
        <v>41355.000000000007</v>
      </c>
      <c r="D5" s="441">
        <f ca="1">tertiair!D16</f>
        <v>176321.24316082656</v>
      </c>
      <c r="E5" s="441">
        <f>tertiair!E16</f>
        <v>2015.3807803819757</v>
      </c>
      <c r="F5" s="441">
        <f ca="1">tertiair!F16</f>
        <v>24352.818177293706</v>
      </c>
      <c r="G5" s="441">
        <f>tertiair!G16</f>
        <v>0</v>
      </c>
      <c r="H5" s="441">
        <f>tertiair!H16</f>
        <v>0</v>
      </c>
      <c r="I5" s="441">
        <f>tertiair!I16</f>
        <v>0</v>
      </c>
      <c r="J5" s="441">
        <f>tertiair!J16</f>
        <v>0.15698570541061482</v>
      </c>
      <c r="K5" s="441">
        <f>tertiair!K16</f>
        <v>0</v>
      </c>
      <c r="L5" s="441">
        <f ca="1">tertiair!L16</f>
        <v>0</v>
      </c>
      <c r="M5" s="441">
        <f>tertiair!M16</f>
        <v>0</v>
      </c>
      <c r="N5" s="441">
        <f ca="1">tertiair!N16</f>
        <v>0</v>
      </c>
      <c r="O5" s="441">
        <f>tertiair!O16</f>
        <v>6.2533333333333339</v>
      </c>
      <c r="P5" s="442">
        <f>tertiair!P16</f>
        <v>209.73333333333335</v>
      </c>
      <c r="Q5" s="440">
        <f t="shared" ref="Q5:Q14" ca="1" si="0">SUM(B5:P5)</f>
        <v>428917.84593349881</v>
      </c>
    </row>
    <row r="6" spans="1:17">
      <c r="A6" s="440" t="s">
        <v>187</v>
      </c>
      <c r="B6" s="441">
        <f>'openbare verlichting'!B8</f>
        <v>5452.5029999999997</v>
      </c>
      <c r="C6" s="441"/>
      <c r="D6" s="441"/>
      <c r="E6" s="441"/>
      <c r="F6" s="441"/>
      <c r="G6" s="441"/>
      <c r="H6" s="441"/>
      <c r="I6" s="441"/>
      <c r="J6" s="441"/>
      <c r="K6" s="441"/>
      <c r="L6" s="441"/>
      <c r="M6" s="441"/>
      <c r="N6" s="441"/>
      <c r="O6" s="441"/>
      <c r="P6" s="442"/>
      <c r="Q6" s="440">
        <f t="shared" si="0"/>
        <v>5452.5029999999997</v>
      </c>
    </row>
    <row r="7" spans="1:17">
      <c r="A7" s="440" t="s">
        <v>105</v>
      </c>
      <c r="B7" s="441">
        <f>landbouw!B8</f>
        <v>3461.9962372603982</v>
      </c>
      <c r="C7" s="441">
        <f>landbouw!C8</f>
        <v>0</v>
      </c>
      <c r="D7" s="441">
        <f>landbouw!D8</f>
        <v>2377.6348119629597</v>
      </c>
      <c r="E7" s="441">
        <f>landbouw!E8</f>
        <v>112.35315839619493</v>
      </c>
      <c r="F7" s="441">
        <f>landbouw!F8</f>
        <v>12771.975909044857</v>
      </c>
      <c r="G7" s="441">
        <f>landbouw!G8</f>
        <v>0</v>
      </c>
      <c r="H7" s="441">
        <f>landbouw!H8</f>
        <v>0</v>
      </c>
      <c r="I7" s="441">
        <f>landbouw!I8</f>
        <v>0</v>
      </c>
      <c r="J7" s="441">
        <f>landbouw!J8</f>
        <v>910.46921794765603</v>
      </c>
      <c r="K7" s="441">
        <f>landbouw!K8</f>
        <v>0</v>
      </c>
      <c r="L7" s="441">
        <f>landbouw!L8</f>
        <v>0</v>
      </c>
      <c r="M7" s="441">
        <f>landbouw!M8</f>
        <v>0</v>
      </c>
      <c r="N7" s="441">
        <f>landbouw!N8</f>
        <v>0</v>
      </c>
      <c r="O7" s="441">
        <f>landbouw!O8</f>
        <v>0</v>
      </c>
      <c r="P7" s="442">
        <f>landbouw!P8</f>
        <v>0</v>
      </c>
      <c r="Q7" s="440">
        <f t="shared" si="0"/>
        <v>19634.429334612065</v>
      </c>
    </row>
    <row r="8" spans="1:17">
      <c r="A8" s="440" t="s">
        <v>596</v>
      </c>
      <c r="B8" s="441">
        <f>industrie!B18</f>
        <v>217457.30219745124</v>
      </c>
      <c r="C8" s="441">
        <f>industrie!C18</f>
        <v>9000</v>
      </c>
      <c r="D8" s="441">
        <f>industrie!D18</f>
        <v>273683.47904443706</v>
      </c>
      <c r="E8" s="441">
        <f>industrie!E18</f>
        <v>4352.0245800184648</v>
      </c>
      <c r="F8" s="441">
        <f>industrie!F18</f>
        <v>31394.701186201353</v>
      </c>
      <c r="G8" s="441">
        <f>industrie!G18</f>
        <v>0</v>
      </c>
      <c r="H8" s="441">
        <f>industrie!H18</f>
        <v>0</v>
      </c>
      <c r="I8" s="441">
        <f>industrie!I18</f>
        <v>0</v>
      </c>
      <c r="J8" s="441">
        <f>industrie!J18</f>
        <v>256.55888039552991</v>
      </c>
      <c r="K8" s="441">
        <f>industrie!K18</f>
        <v>0</v>
      </c>
      <c r="L8" s="441">
        <f>industrie!L18</f>
        <v>0</v>
      </c>
      <c r="M8" s="441">
        <f>industrie!M18</f>
        <v>0</v>
      </c>
      <c r="N8" s="441">
        <f>industrie!N18</f>
        <v>9979.3068982893365</v>
      </c>
      <c r="O8" s="441">
        <f>industrie!O18</f>
        <v>0</v>
      </c>
      <c r="P8" s="442">
        <f>industrie!P18</f>
        <v>0</v>
      </c>
      <c r="Q8" s="440">
        <f t="shared" si="0"/>
        <v>546123.37278679293</v>
      </c>
    </row>
    <row r="9" spans="1:17" s="446" customFormat="1">
      <c r="A9" s="444" t="s">
        <v>545</v>
      </c>
      <c r="B9" s="445">
        <f>transport!B14</f>
        <v>150.82222858280761</v>
      </c>
      <c r="C9" s="445">
        <f>transport!C14</f>
        <v>0</v>
      </c>
      <c r="D9" s="445">
        <f>transport!D14</f>
        <v>256.16430945774709</v>
      </c>
      <c r="E9" s="445">
        <f>transport!E14</f>
        <v>461.81181638115999</v>
      </c>
      <c r="F9" s="445">
        <f>transport!F14</f>
        <v>0</v>
      </c>
      <c r="G9" s="445">
        <f>transport!G14</f>
        <v>220014.32808581347</v>
      </c>
      <c r="H9" s="445">
        <f>transport!H14</f>
        <v>44546.917440368961</v>
      </c>
      <c r="I9" s="445">
        <f>transport!I14</f>
        <v>0</v>
      </c>
      <c r="J9" s="445">
        <f>transport!J14</f>
        <v>0</v>
      </c>
      <c r="K9" s="445">
        <f>transport!K14</f>
        <v>0</v>
      </c>
      <c r="L9" s="445">
        <f>transport!L14</f>
        <v>0</v>
      </c>
      <c r="M9" s="445">
        <f>transport!M14</f>
        <v>14165.903323182698</v>
      </c>
      <c r="N9" s="445">
        <f>transport!N14</f>
        <v>0</v>
      </c>
      <c r="O9" s="445">
        <f>transport!O14</f>
        <v>0</v>
      </c>
      <c r="P9" s="445">
        <f>transport!P14</f>
        <v>0</v>
      </c>
      <c r="Q9" s="444">
        <f>SUM(B9:P9)</f>
        <v>279595.94720378687</v>
      </c>
    </row>
    <row r="10" spans="1:17">
      <c r="A10" s="440" t="s">
        <v>535</v>
      </c>
      <c r="B10" s="441">
        <f>transport!B54</f>
        <v>51.902551347969883</v>
      </c>
      <c r="C10" s="441">
        <f>transport!C54</f>
        <v>0</v>
      </c>
      <c r="D10" s="441">
        <f>transport!D54</f>
        <v>0</v>
      </c>
      <c r="E10" s="441">
        <f>transport!E54</f>
        <v>0</v>
      </c>
      <c r="F10" s="441">
        <f>transport!F54</f>
        <v>0</v>
      </c>
      <c r="G10" s="441">
        <f>transport!G54</f>
        <v>4875.729609951145</v>
      </c>
      <c r="H10" s="441">
        <f>transport!H54</f>
        <v>0</v>
      </c>
      <c r="I10" s="441">
        <f>transport!I54</f>
        <v>0</v>
      </c>
      <c r="J10" s="441">
        <f>transport!J54</f>
        <v>0</v>
      </c>
      <c r="K10" s="441">
        <f>transport!K54</f>
        <v>0</v>
      </c>
      <c r="L10" s="441">
        <f>transport!L54</f>
        <v>0</v>
      </c>
      <c r="M10" s="441">
        <f>transport!M54</f>
        <v>280.77862893429682</v>
      </c>
      <c r="N10" s="441">
        <f>transport!N54</f>
        <v>0</v>
      </c>
      <c r="O10" s="441">
        <f>transport!O54</f>
        <v>0</v>
      </c>
      <c r="P10" s="442">
        <f>transport!P54</f>
        <v>0</v>
      </c>
      <c r="Q10" s="440">
        <f t="shared" si="0"/>
        <v>5208.4107902334117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4531.80742374909</v>
      </c>
      <c r="C14" s="448"/>
      <c r="D14" s="448">
        <f>'SEAP template'!E25</f>
        <v>11952.8997568588</v>
      </c>
      <c r="E14" s="448"/>
      <c r="F14" s="448"/>
      <c r="G14" s="448"/>
      <c r="H14" s="448"/>
      <c r="I14" s="448"/>
      <c r="J14" s="448"/>
      <c r="K14" s="448"/>
      <c r="L14" s="448"/>
      <c r="M14" s="448"/>
      <c r="N14" s="448"/>
      <c r="O14" s="448"/>
      <c r="P14" s="449"/>
      <c r="Q14" s="440">
        <f t="shared" si="0"/>
        <v>16484.707180607889</v>
      </c>
    </row>
    <row r="15" spans="1:17" s="450" customFormat="1">
      <c r="A15" s="957" t="s">
        <v>539</v>
      </c>
      <c r="B15" s="905">
        <f ca="1">SUM(B4:B14)</f>
        <v>509373.32830063254</v>
      </c>
      <c r="C15" s="905">
        <f t="shared" ref="C15:Q15" ca="1" si="1">SUM(C4:C14)</f>
        <v>50355.000000000007</v>
      </c>
      <c r="D15" s="905">
        <f t="shared" ca="1" si="1"/>
        <v>742293.73063562636</v>
      </c>
      <c r="E15" s="905">
        <f t="shared" si="1"/>
        <v>10482.343031425491</v>
      </c>
      <c r="F15" s="905">
        <f t="shared" ca="1" si="1"/>
        <v>150591.85159304072</v>
      </c>
      <c r="G15" s="905">
        <f t="shared" si="1"/>
        <v>224890.05769576461</v>
      </c>
      <c r="H15" s="905">
        <f t="shared" si="1"/>
        <v>44546.917440368961</v>
      </c>
      <c r="I15" s="905">
        <f t="shared" si="1"/>
        <v>0</v>
      </c>
      <c r="J15" s="905">
        <f t="shared" si="1"/>
        <v>1588.9647013408512</v>
      </c>
      <c r="K15" s="905">
        <f t="shared" si="1"/>
        <v>0</v>
      </c>
      <c r="L15" s="905">
        <f t="shared" ca="1" si="1"/>
        <v>0</v>
      </c>
      <c r="M15" s="905">
        <f t="shared" si="1"/>
        <v>14446.681952116995</v>
      </c>
      <c r="N15" s="905">
        <f t="shared" ca="1" si="1"/>
        <v>43694.78585472361</v>
      </c>
      <c r="O15" s="905">
        <f t="shared" si="1"/>
        <v>1155.3033333333333</v>
      </c>
      <c r="P15" s="905">
        <f t="shared" si="1"/>
        <v>3946.8</v>
      </c>
      <c r="Q15" s="905">
        <f t="shared" ca="1" si="1"/>
        <v>1797365.7645383733</v>
      </c>
    </row>
    <row r="17" spans="1:17">
      <c r="A17" s="451" t="s">
        <v>540</v>
      </c>
      <c r="B17" s="714">
        <f ca="1">huishoudens!B10</f>
        <v>0.1912045281981046</v>
      </c>
      <c r="C17" s="714">
        <f ca="1">huishoudens!C10</f>
        <v>8.816575423735179E-2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17898.60511974902</v>
      </c>
      <c r="C22" s="441">
        <f t="shared" ref="C22:C32" ca="1" si="3">C4*$C$17</f>
        <v>0</v>
      </c>
      <c r="D22" s="441">
        <f t="shared" ref="D22:D32" si="4">D4*$D$17</f>
        <v>56095.866529520797</v>
      </c>
      <c r="E22" s="441">
        <f t="shared" ref="E22:E32" si="5">E4*$E$17</f>
        <v>803.7554020482271</v>
      </c>
      <c r="F22" s="441">
        <f t="shared" ref="F22:F32" si="6">F4*$F$17</f>
        <v>21913.319137573715</v>
      </c>
      <c r="G22" s="441">
        <f t="shared" ref="G22:G32" si="7">G4*$G$17</f>
        <v>0</v>
      </c>
      <c r="H22" s="441">
        <f t="shared" ref="H22:H32" si="8">H4*$H$17</f>
        <v>0</v>
      </c>
      <c r="I22" s="441">
        <f t="shared" ref="I22:I32" si="9">I4*$I$17</f>
        <v>0</v>
      </c>
      <c r="J22" s="441">
        <f t="shared" ref="J22:J32" si="10">J4*$J$17</f>
        <v>149.30998452145809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96860.856173413209</v>
      </c>
    </row>
    <row r="23" spans="1:17">
      <c r="A23" s="440" t="s">
        <v>149</v>
      </c>
      <c r="B23" s="441">
        <f t="shared" ca="1" si="2"/>
        <v>35307.304307749262</v>
      </c>
      <c r="C23" s="441">
        <f t="shared" ca="1" si="3"/>
        <v>3646.094766485684</v>
      </c>
      <c r="D23" s="441">
        <f t="shared" ca="1" si="4"/>
        <v>35616.891118486965</v>
      </c>
      <c r="E23" s="441">
        <f t="shared" si="5"/>
        <v>457.49143714670851</v>
      </c>
      <c r="F23" s="441">
        <f t="shared" ca="1" si="6"/>
        <v>6502.2024533374197</v>
      </c>
      <c r="G23" s="441">
        <f t="shared" si="7"/>
        <v>0</v>
      </c>
      <c r="H23" s="441">
        <f t="shared" si="8"/>
        <v>0</v>
      </c>
      <c r="I23" s="441">
        <f t="shared" si="9"/>
        <v>0</v>
      </c>
      <c r="J23" s="441">
        <f t="shared" si="10"/>
        <v>5.5572939715357643E-2</v>
      </c>
      <c r="K23" s="441">
        <f t="shared" si="11"/>
        <v>0</v>
      </c>
      <c r="L23" s="441">
        <f t="shared" ca="1" si="12"/>
        <v>0</v>
      </c>
      <c r="M23" s="441">
        <f t="shared" si="13"/>
        <v>0</v>
      </c>
      <c r="N23" s="441">
        <f t="shared" ca="1" si="14"/>
        <v>0</v>
      </c>
      <c r="O23" s="441">
        <f t="shared" si="15"/>
        <v>0</v>
      </c>
      <c r="P23" s="442">
        <f t="shared" si="16"/>
        <v>0</v>
      </c>
      <c r="Q23" s="440">
        <f t="shared" ref="Q23:Q32" ca="1" si="17">SUM(B23:P23)</f>
        <v>81530.039656145746</v>
      </c>
    </row>
    <row r="24" spans="1:17">
      <c r="A24" s="440" t="s">
        <v>187</v>
      </c>
      <c r="B24" s="441">
        <f t="shared" ca="1" si="2"/>
        <v>1042.5432636137498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1042.5432636137498</v>
      </c>
    </row>
    <row r="25" spans="1:17">
      <c r="A25" s="440" t="s">
        <v>105</v>
      </c>
      <c r="B25" s="441">
        <f t="shared" ca="1" si="2"/>
        <v>661.94935716898783</v>
      </c>
      <c r="C25" s="441">
        <f t="shared" ca="1" si="3"/>
        <v>0</v>
      </c>
      <c r="D25" s="441">
        <f t="shared" si="4"/>
        <v>480.28223201651787</v>
      </c>
      <c r="E25" s="441">
        <f t="shared" si="5"/>
        <v>25.504166955936249</v>
      </c>
      <c r="F25" s="441">
        <f t="shared" si="6"/>
        <v>3410.1175677149772</v>
      </c>
      <c r="G25" s="441">
        <f t="shared" si="7"/>
        <v>0</v>
      </c>
      <c r="H25" s="441">
        <f t="shared" si="8"/>
        <v>0</v>
      </c>
      <c r="I25" s="441">
        <f t="shared" si="9"/>
        <v>0</v>
      </c>
      <c r="J25" s="441">
        <f t="shared" si="10"/>
        <v>322.30610315347025</v>
      </c>
      <c r="K25" s="441">
        <f t="shared" si="11"/>
        <v>0</v>
      </c>
      <c r="L25" s="441">
        <f t="shared" si="12"/>
        <v>0</v>
      </c>
      <c r="M25" s="441">
        <f t="shared" si="13"/>
        <v>0</v>
      </c>
      <c r="N25" s="441">
        <f t="shared" si="14"/>
        <v>0</v>
      </c>
      <c r="O25" s="441">
        <f t="shared" si="15"/>
        <v>0</v>
      </c>
      <c r="P25" s="442">
        <f t="shared" si="16"/>
        <v>0</v>
      </c>
      <c r="Q25" s="440">
        <f t="shared" ca="1" si="17"/>
        <v>4900.1594270098894</v>
      </c>
    </row>
    <row r="26" spans="1:17">
      <c r="A26" s="440" t="s">
        <v>596</v>
      </c>
      <c r="B26" s="441">
        <f t="shared" ca="1" si="2"/>
        <v>41578.820869896321</v>
      </c>
      <c r="C26" s="441">
        <f t="shared" ca="1" si="3"/>
        <v>793.49178813616606</v>
      </c>
      <c r="D26" s="441">
        <f t="shared" si="4"/>
        <v>55284.062766976291</v>
      </c>
      <c r="E26" s="441">
        <f t="shared" si="5"/>
        <v>987.9095796641916</v>
      </c>
      <c r="F26" s="441">
        <f t="shared" si="6"/>
        <v>8382.385216715762</v>
      </c>
      <c r="G26" s="441">
        <f t="shared" si="7"/>
        <v>0</v>
      </c>
      <c r="H26" s="441">
        <f t="shared" si="8"/>
        <v>0</v>
      </c>
      <c r="I26" s="441">
        <f t="shared" si="9"/>
        <v>0</v>
      </c>
      <c r="J26" s="441">
        <f t="shared" si="10"/>
        <v>90.821843660017578</v>
      </c>
      <c r="K26" s="441">
        <f t="shared" si="11"/>
        <v>0</v>
      </c>
      <c r="L26" s="441">
        <f t="shared" si="12"/>
        <v>0</v>
      </c>
      <c r="M26" s="441">
        <f t="shared" si="13"/>
        <v>0</v>
      </c>
      <c r="N26" s="441">
        <f t="shared" si="14"/>
        <v>0</v>
      </c>
      <c r="O26" s="441">
        <f t="shared" si="15"/>
        <v>0</v>
      </c>
      <c r="P26" s="442">
        <f t="shared" si="16"/>
        <v>0</v>
      </c>
      <c r="Q26" s="440">
        <f t="shared" ca="1" si="17"/>
        <v>107117.49206504875</v>
      </c>
    </row>
    <row r="27" spans="1:17" s="446" customFormat="1">
      <c r="A27" s="444" t="s">
        <v>545</v>
      </c>
      <c r="B27" s="708">
        <f t="shared" ca="1" si="2"/>
        <v>28.837893057962415</v>
      </c>
      <c r="C27" s="445">
        <f t="shared" ca="1" si="3"/>
        <v>0</v>
      </c>
      <c r="D27" s="445">
        <f t="shared" si="4"/>
        <v>51.745190510464916</v>
      </c>
      <c r="E27" s="445">
        <f t="shared" si="5"/>
        <v>104.83128231852332</v>
      </c>
      <c r="F27" s="445">
        <f t="shared" si="6"/>
        <v>0</v>
      </c>
      <c r="G27" s="445">
        <f t="shared" si="7"/>
        <v>58743.825598912197</v>
      </c>
      <c r="H27" s="445">
        <f t="shared" si="8"/>
        <v>11092.182442651871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70021.422407451013</v>
      </c>
    </row>
    <row r="28" spans="1:17">
      <c r="A28" s="440" t="s">
        <v>535</v>
      </c>
      <c r="B28" s="441">
        <f t="shared" ca="1" si="2"/>
        <v>9.9240028427664786</v>
      </c>
      <c r="C28" s="441">
        <f t="shared" ca="1" si="3"/>
        <v>0</v>
      </c>
      <c r="D28" s="441">
        <f t="shared" si="4"/>
        <v>0</v>
      </c>
      <c r="E28" s="441">
        <f t="shared" si="5"/>
        <v>0</v>
      </c>
      <c r="F28" s="441">
        <f t="shared" si="6"/>
        <v>0</v>
      </c>
      <c r="G28" s="441">
        <f t="shared" si="7"/>
        <v>1301.8198058569558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1311.7438086997222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866.50210034261261</v>
      </c>
      <c r="C32" s="441">
        <f t="shared" ca="1" si="3"/>
        <v>0</v>
      </c>
      <c r="D32" s="441">
        <f t="shared" si="4"/>
        <v>2414.485750885478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3280.9878512280907</v>
      </c>
    </row>
    <row r="33" spans="1:17" s="450" customFormat="1">
      <c r="A33" s="957" t="s">
        <v>539</v>
      </c>
      <c r="B33" s="905">
        <f ca="1">SUM(B22:B32)</f>
        <v>97394.486914420675</v>
      </c>
      <c r="C33" s="905">
        <f t="shared" ref="C33:Q33" ca="1" si="18">SUM(C22:C32)</f>
        <v>4439.5865546218502</v>
      </c>
      <c r="D33" s="905">
        <f t="shared" ca="1" si="18"/>
        <v>149943.33358839652</v>
      </c>
      <c r="E33" s="905">
        <f t="shared" si="18"/>
        <v>2379.4918681335866</v>
      </c>
      <c r="F33" s="905">
        <f t="shared" ca="1" si="18"/>
        <v>40208.024375341876</v>
      </c>
      <c r="G33" s="905">
        <f t="shared" si="18"/>
        <v>60045.645404769151</v>
      </c>
      <c r="H33" s="905">
        <f t="shared" si="18"/>
        <v>11092.182442651871</v>
      </c>
      <c r="I33" s="905">
        <f t="shared" si="18"/>
        <v>0</v>
      </c>
      <c r="J33" s="905">
        <f t="shared" si="18"/>
        <v>562.49350427466129</v>
      </c>
      <c r="K33" s="905">
        <f t="shared" si="18"/>
        <v>0</v>
      </c>
      <c r="L33" s="905">
        <f t="shared" ca="1" si="18"/>
        <v>0</v>
      </c>
      <c r="M33" s="905">
        <f t="shared" si="18"/>
        <v>0</v>
      </c>
      <c r="N33" s="905">
        <f t="shared" ca="1" si="18"/>
        <v>0</v>
      </c>
      <c r="O33" s="905">
        <f t="shared" si="18"/>
        <v>0</v>
      </c>
      <c r="P33" s="905">
        <f t="shared" si="18"/>
        <v>0</v>
      </c>
      <c r="Q33" s="905">
        <f t="shared" ca="1" si="18"/>
        <v>366065.24465261016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21530.6015656829</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25817.729783884504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22171.500000000004</v>
      </c>
      <c r="C8" s="974">
        <f>'SEAP template'!C76</f>
        <v>13077</v>
      </c>
      <c r="D8" s="974">
        <f>'SEAP template'!D76</f>
        <v>15384.705882352941</v>
      </c>
      <c r="E8" s="974">
        <f>'SEAP template'!E76</f>
        <v>0</v>
      </c>
      <c r="F8" s="974">
        <f>'SEAP template'!F76</f>
        <v>0</v>
      </c>
      <c r="G8" s="974">
        <f>'SEAP template'!G76</f>
        <v>0</v>
      </c>
      <c r="H8" s="974">
        <f>'SEAP template'!H76</f>
        <v>0</v>
      </c>
      <c r="I8" s="974">
        <f>'SEAP template'!I76</f>
        <v>0</v>
      </c>
      <c r="J8" s="974">
        <f>'SEAP template'!J76</f>
        <v>26084.117647058825</v>
      </c>
      <c r="K8" s="974">
        <f>'SEAP template'!K76</f>
        <v>0</v>
      </c>
      <c r="L8" s="974">
        <f>'SEAP template'!L76</f>
        <v>0</v>
      </c>
      <c r="M8" s="974">
        <f>'SEAP template'!M76</f>
        <v>0</v>
      </c>
      <c r="N8" s="974">
        <f>'SEAP template'!N76</f>
        <v>0</v>
      </c>
      <c r="O8" s="974">
        <f>'SEAP template'!O76</f>
        <v>0</v>
      </c>
      <c r="P8" s="975">
        <f>'SEAP template'!Q76</f>
        <v>3107.7105882352944</v>
      </c>
    </row>
    <row r="9" spans="1:16">
      <c r="A9" s="977" t="s">
        <v>792</v>
      </c>
      <c r="B9" s="974">
        <f>'SEAP template'!B77</f>
        <v>139.5</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398.57142857142861</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69659.331349567408</v>
      </c>
      <c r="C10" s="978">
        <f>SUM(C4:C9)</f>
        <v>13077</v>
      </c>
      <c r="D10" s="978">
        <f t="shared" ref="D10:H10" si="0">SUM(D8:D9)</f>
        <v>15384.705882352941</v>
      </c>
      <c r="E10" s="978">
        <f t="shared" si="0"/>
        <v>0</v>
      </c>
      <c r="F10" s="978">
        <f t="shared" si="0"/>
        <v>0</v>
      </c>
      <c r="G10" s="978">
        <f t="shared" si="0"/>
        <v>0</v>
      </c>
      <c r="H10" s="978">
        <f t="shared" si="0"/>
        <v>0</v>
      </c>
      <c r="I10" s="978">
        <f>SUM(I8:I9)</f>
        <v>0</v>
      </c>
      <c r="J10" s="978">
        <f>SUM(J8:J9)</f>
        <v>26482.689075630253</v>
      </c>
      <c r="K10" s="978">
        <f t="shared" ref="K10:L10" si="1">SUM(K8:K9)</f>
        <v>0</v>
      </c>
      <c r="L10" s="978">
        <f t="shared" si="1"/>
        <v>0</v>
      </c>
      <c r="M10" s="978">
        <f>SUM(M8:M9)</f>
        <v>0</v>
      </c>
      <c r="N10" s="978">
        <f>SUM(N8:N9)</f>
        <v>0</v>
      </c>
      <c r="O10" s="978">
        <f>SUM(O8:O9)</f>
        <v>0</v>
      </c>
      <c r="P10" s="978">
        <f>SUM(P8:P9)</f>
        <v>3107.7105882352944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0.1912045281981046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31673.571428571431</v>
      </c>
      <c r="C17" s="980">
        <f>'SEAP template'!C87</f>
        <v>18681.428571428572</v>
      </c>
      <c r="D17" s="975">
        <f>'SEAP template'!D87</f>
        <v>21978.151260504208</v>
      </c>
      <c r="E17" s="975">
        <f>'SEAP template'!E87</f>
        <v>0</v>
      </c>
      <c r="F17" s="975">
        <f>'SEAP template'!F87</f>
        <v>0</v>
      </c>
      <c r="G17" s="975">
        <f>'SEAP template'!G87</f>
        <v>0</v>
      </c>
      <c r="H17" s="975">
        <f>'SEAP template'!H87</f>
        <v>0</v>
      </c>
      <c r="I17" s="975">
        <f>'SEAP template'!I87</f>
        <v>0</v>
      </c>
      <c r="J17" s="975">
        <f>'SEAP template'!J87</f>
        <v>37263.025210084044</v>
      </c>
      <c r="K17" s="975">
        <f>'SEAP template'!K87</f>
        <v>0</v>
      </c>
      <c r="L17" s="975">
        <f>'SEAP template'!L87</f>
        <v>0</v>
      </c>
      <c r="M17" s="975">
        <f>'SEAP template'!M87</f>
        <v>0</v>
      </c>
      <c r="N17" s="975">
        <f>'SEAP template'!N87</f>
        <v>0</v>
      </c>
      <c r="O17" s="975">
        <f>'SEAP template'!O87</f>
        <v>0</v>
      </c>
      <c r="P17" s="975">
        <f>'SEAP template'!Q87</f>
        <v>4439.5865546218502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31673.571428571431</v>
      </c>
      <c r="C20" s="978">
        <f>SUM(C17:C19)</f>
        <v>18681.428571428572</v>
      </c>
      <c r="D20" s="978">
        <f t="shared" ref="D20:H20" si="2">SUM(D17:D19)</f>
        <v>21978.151260504208</v>
      </c>
      <c r="E20" s="978">
        <f t="shared" si="2"/>
        <v>0</v>
      </c>
      <c r="F20" s="978">
        <f t="shared" si="2"/>
        <v>0</v>
      </c>
      <c r="G20" s="978">
        <f t="shared" si="2"/>
        <v>0</v>
      </c>
      <c r="H20" s="978">
        <f t="shared" si="2"/>
        <v>0</v>
      </c>
      <c r="I20" s="978">
        <f>SUM(I17:I19)</f>
        <v>0</v>
      </c>
      <c r="J20" s="978">
        <f>SUM(J17:J19)</f>
        <v>37263.025210084044</v>
      </c>
      <c r="K20" s="978">
        <f t="shared" ref="K20:L20" si="3">SUM(K17:K19)</f>
        <v>0</v>
      </c>
      <c r="L20" s="978">
        <f t="shared" si="3"/>
        <v>0</v>
      </c>
      <c r="M20" s="978">
        <f>SUM(M17:M19)</f>
        <v>0</v>
      </c>
      <c r="N20" s="978">
        <f>SUM(N17:N19)</f>
        <v>0</v>
      </c>
      <c r="O20" s="978">
        <f>SUM(O17:O19)</f>
        <v>0</v>
      </c>
      <c r="P20" s="978">
        <f>SUM(P17:P19)</f>
        <v>4439.5865546218502</v>
      </c>
    </row>
    <row r="22" spans="1:16">
      <c r="A22" s="451" t="s">
        <v>800</v>
      </c>
      <c r="B22" s="714" t="s">
        <v>794</v>
      </c>
      <c r="C22" s="714">
        <f ca="1">'EF ele_warmte'!B22</f>
        <v>8.816575423735179E-2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0.1912045281981046</v>
      </c>
      <c r="C17" s="488">
        <f ca="1">'EF ele_warmte'!B22</f>
        <v>8.816575423735179E-2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2022-07-26T10:44:41Z</dcterms:modified>
</cp:coreProperties>
</file>