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46E84BC3-51AF-47DA-8A62-40CDED3115F8}"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<sst xmlns="http://schemas.openxmlformats.org/spreadsheetml/2006/main" count="2397" uniqueCount="878">
  <si>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</si>
  <si>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</si>
  <si>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</si>
  <si>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</si>
  <si>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</si>
  <si>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</si>
  <si>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</si>
  <si>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</si>
  <si>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</si>
  <si>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</si>
  <si>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</si>
  <si>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</si>
  <si>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</si>
  <si>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</si>
  <si>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</si>
  <si>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</si>
  <si>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</si>
  <si>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</si>
  <si>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</si>
  <si>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</si>
  <si>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</si>
  <si>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</si>
  <si>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</si>
  <si>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</si>
  <si>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</si>
  <si>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</si>
  <si>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</si>
  <si>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</si>
  <si>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</si>
  <si>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</si>
  <si>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</si>
  <si>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</si>
  <si>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</si>
  <si>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</si>
  <si>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</si>
  <si>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</si>
  <si>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</si>
  <si>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</si>
  <si>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</si>
  <si>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</si>
  <si>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</si>
  <si>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</si>
  <si>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</si>
  <si>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</si>
  <si>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</si>
  <si>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</si>
  <si>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</si>
  <si>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</si>
  <si>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</si>
  <si>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</si>
  <si>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</si>
  <si>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</si>
  <si>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</si>
  <si>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</si>
  <si>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</si>
  <si>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</si>
  <si>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</si>
  <si>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</si>
  <si>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</si>
  <si>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</si>
  <si>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</si>
  <si>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</si>
  <si>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</si>
  <si>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</si>
  <si>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</si>
  <si>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</si>
  <si>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</si>
  <si>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</si>
  <si>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</si>
  <si>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</si>
  <si>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</si>
  <si>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</si>
  <si>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</si>
  <si>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</si>
  <si>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</si>
  <si>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</si>
  <si>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</si>
  <si>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</si>
  <si>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</si>
  <si>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</si>
  <si>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</si>
  <si>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</si>
  <si>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</si>
  <si>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</si>
  <si>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</si>
  <si>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</si>
  <si>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</si>
  <si>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</si>
  <si>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</si>
  <si>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</si>
  <si>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</si>
  <si>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</si>
  <si>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</si>
  <si>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</si>
  <si>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</si>
  <si>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</si>
  <si>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</si>
  <si>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</si>
  <si>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</si>
  <si>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</si>
  <si>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</si>
  <si>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</si>
  <si>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</si>
  <si>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</si>
  <si>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</si>
  <si>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</si>
  <si>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</si>
  <si>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</si>
  <si>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</si>
  <si>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</si>
  <si>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</si>
  <si>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</si>
  <si>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</si>
  <si>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</si>
  <si>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</si>
  <si>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</si>
  <si>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</si>
  <si>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</si>
  <si>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</si>
  <si>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</si>
  <si>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</si>
  <si>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</si>
  <si>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</si>
  <si>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</si>
  <si>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</si>
  <si>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</si>
  <si>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</si>
  <si>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</si>
  <si>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</si>
  <si>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</si>
  <si>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</si>
  <si>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</si>
  <si>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</si>
  <si>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</si>
  <si>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</si>
  <si>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</si>
  <si>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</si>
  <si>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</si>
  <si>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</si>
  <si>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</si>
  <si>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</si>
  <si>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</si>
  <si>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</si>
  <si>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</si>
  <si>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</si>
  <si>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</si>
  <si>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</si>
  <si>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</si>
  <si>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</si>
  <si>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</si>
  <si>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</si>
  <si>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</si>
  <si>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</si>
  <si>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</si>
  <si>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</si>
  <si>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</si>
  <si>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</si>
  <si>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</si>
  <si>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</si>
  <si>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</si>
  <si>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</si>
  <si>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</si>
  <si>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</si>
  <si>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</si>
  <si>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</si>
  <si>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</si>
  <si>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</si>
  <si>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</si>
  <si>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</si>
  <si>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</si>
  <si>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</si>
  <si>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</si>
  <si>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</si>
  <si>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</si>
  <si>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</si>
  <si>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</si>
  <si>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</si>
  <si>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</si>
  <si>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</si>
  <si>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</si>
  <si>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</si>
  <si>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</si>
  <si>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</si>
  <si>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</si>
  <si>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</si>
  <si>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</si>
  <si>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</si>
  <si>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</si>
  <si>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</si>
  <si>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</si>
  <si>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</si>
  <si>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</si>
  <si>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</si>
  <si>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</si>
  <si>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</si>
  <si>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</si>
  <si>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</si>
  <si>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</si>
  <si>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</si>
  <si>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</si>
  <si>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</si>
  <si>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</si>
  <si>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</si>
  <si>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</si>
  <si>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</si>
  <si>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</si>
  <si>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</si>
  <si>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</si>
  <si>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</si>
  <si>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</si>
  <si>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</si>
  <si>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</si>
  <si>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</si>
  <si>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</si>
  <si>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</si>
  <si>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</si>
  <si>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</si>
  <si>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</si>
  <si>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</si>
  <si>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</si>
  <si>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</si>
  <si>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</si>
  <si>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</si>
  <si>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</si>
  <si>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</si>
  <si>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</si>
  <si>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</si>
  <si>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</si>
  <si>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</si>
  <si>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</si>
  <si>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</si>
  <si>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</si>
  <si>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</si>
  <si>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</si>
  <si>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</si>
  <si>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</si>
  <si>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</si>
  <si>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</si>
  <si>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</si>
  <si>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</si>
  <si>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</si>
  <si>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</si>
  <si>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</si>
  <si>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</si>
  <si>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</si>
  <si>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</si>
  <si>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</si>
  <si>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</si>
  <si>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</si>
  <si>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</si>
  <si>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</si>
  <si>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</si>
  <si>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</si>
  <si>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</si>
  <si>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</si>
  <si>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</si>
  <si>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</si>
  <si>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</si>
  <si>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</si>
  <si>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</si>
  <si>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</si>
  <si>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</si>
  <si>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</si>
  <si>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</si>
  <si>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</si>
  <si>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</si>
  <si>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</si>
  <si>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</si>
  <si>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</si>
  <si>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</si>
  <si>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</si>
  <si>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</si>
  <si>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</si>
  <si>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</si>
  <si>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</si>
  <si>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</si>
  <si>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</si>
  <si>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</si>
  <si>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</si>
  <si>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</si>
  <si>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</si>
  <si>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</si>
  <si>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</si>
  <si>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</si>
  <si>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</si>
  <si>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</si>
  <si>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</si>
  <si>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</si>
  <si>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</si>
  <si>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</si>
  <si>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</si>
  <si>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</si>
  <si>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</si>
  <si>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</si>
  <si>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</si>
  <si>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</si>
  <si>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</si>
  <si>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</si>
  <si>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</si>
  <si>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</si>
  <si>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</si>
  <si>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</si>
  <si>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</si>
  <si>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</si>
  <si>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</si>
  <si>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</si>
  <si>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</si>
  <si>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</si>
  <si>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</si>
  <si>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</si>
  <si>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</si>
  <si>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</si>
  <si>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</si>
  <si>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</si>
  <si>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</si>
  <si>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</si>
  <si>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</si>
  <si>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</si>
  <si>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</si>
  <si>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</si>
  <si>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</si>
  <si>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</si>
  <si>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</si>
  <si>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</si>
  <si>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</si>
  <si>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</si>
  <si>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</si>
  <si>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</si>
  <si>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</si>
  <si>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</si>
  <si>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</si>
  <si>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</si>
  <si>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</si>
  <si>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</si>
  <si>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</si>
  <si>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</si>
  <si>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</si>
  <si>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</si>
  <si>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</si>
  <si>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</si>
  <si>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</si>
  <si>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</si>
  <si>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</si>
  <si>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</si>
  <si>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</si>
  <si>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</si>
  <si>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</si>
  <si>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</si>
  <si>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</si>
  <si>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</si>
  <si>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</si>
  <si>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</si>
  <si>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</si>
  <si>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</si>
  <si>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</si>
  <si>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</si>
  <si>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</si>
  <si>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</si>
  <si>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</si>
  <si>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</si>
  <si>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</si>
  <si>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</si>
  <si>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</si>
  <si>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</si>
  <si>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</si>
  <si>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</si>
  <si>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</si>
  <si>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</si>
  <si>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</si>
  <si>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</si>
  <si>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</si>
  <si>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</si>
  <si>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</si>
  <si>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</si>
  <si>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</si>
  <si>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</si>
  <si>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</si>
  <si>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</si>
  <si>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</si>
  <si>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</si>
  <si>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</si>
  <si>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</si>
  <si>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</si>
  <si>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</si>
  <si>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</si>
  <si>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</si>
  <si>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</si>
  <si>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</si>
  <si>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</si>
  <si>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</si>
  <si>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</si>
  <si>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</si>
  <si>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</si>
  <si>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</si>
  <si>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</si>
  <si>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</si>
  <si>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</si>
  <si>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</si>
  <si>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</si>
  <si>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</si>
  <si>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</si>
  <si>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</si>
  <si>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</si>
  <si>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</si>
  <si>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</si>
  <si>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</si>
  <si>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</si>
  <si>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</si>
  <si>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</si>
  <si>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</si>
  <si>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</si>
  <si>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</si>
  <si>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</si>
  <si>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</si>
  <si>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</si>
  <si>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</si>
  <si>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</si>
  <si>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</si>
  <si>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</si>
  <si>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</si>
  <si>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</si>
  <si>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</si>
  <si>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</si>
  <si>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</si>
  <si>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</si>
  <si>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</si>
  <si>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</si>
  <si>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</si>
  <si>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</si>
  <si>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</si>
  <si>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</si>
  <si>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</si>
  <si>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</si>
  <si>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</si>
  <si>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</si>
  <si>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</si>
  <si>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</si>
  <si>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</si>
  <si>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</si>
  <si>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</si>
  <si>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</si>
  <si>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</si>
  <si>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</si>
  <si>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</si>
  <si>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</si>
  <si>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</si>
  <si>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</si>
  <si>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</si>
  <si>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</si>
  <si>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</si>
  <si>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</si>
  <si>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</si>
  <si>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</si>
  <si>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</si>
  <si>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</si>
  <si>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</si>
  <si>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</si>
  <si>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</si>
  <si>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</si>
  <si>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</si>
  <si>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</si>
  <si>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</si>
  <si>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</si>
  <si>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</si>
  <si>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</si>
  <si>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</si>
  <si>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</si>
  <si>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</si>
  <si>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</si>
  <si>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</si>
  <si>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</si>
  <si>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</si>
  <si>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</si>
  <si>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</si>
  <si>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</si>
  <si>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</si>
  <si>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</si>
  <si>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</si>
  <si>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</si>
  <si>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</si>
  <si>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</si>
  <si>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</si>
  <si>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</si>
  <si>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</si>
  <si>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</si>
  <si>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</si>
  <si>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</si>
  <si>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</si>
  <si>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</si>
  <si>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</si>
  <si>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</si>
  <si>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</si>
  <si>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</si>
  <si>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</si>
  <si>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</si>
  <si>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</si>
  <si>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</si>
  <si>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</si>
  <si>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</si>
  <si>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</si>
  <si>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</si>
  <si>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</si>
  <si>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</si>
  <si>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</si>
  <si>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</si>
  <si>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</si>
  <si>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</si>
  <si>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</si>
  <si>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</si>
  <si>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</si>
  <si>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</si>
  <si>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</si>
  <si>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</si>
  <si>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</si>
  <si>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</si>
  <si>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</si>
  <si>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</si>
  <si>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</si>
  <si>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</si>
  <si>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</si>
  <si>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</si>
  <si>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</si>
  <si>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</si>
  <si>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</si>
  <si>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</si>
  <si>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</si>
  <si>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</si>
  <si>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</si>
  <si>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</si>
  <si>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</si>
  <si>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</si>
  <si>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</si>
  <si>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</si>
  <si>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</si>
  <si>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</si>
  <si>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</si>
  <si>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</si>
  <si>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</si>
  <si>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</si>
  <si>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</si>
  <si>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</si>
  <si>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</si>
  <si>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</si>
  <si>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</si>
  <si>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</si>
  <si>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</si>
  <si>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</si>
  <si>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</si>
  <si>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</si>
  <si>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</si>
  <si>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</si>
  <si>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</si>
  <si>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</si>
  <si>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</si>
  <si>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</si>
  <si>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</si>
  <si>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</si>
  <si>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</si>
  <si>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</si>
  <si>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</si>
  <si>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</si>
  <si>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</si>
  <si>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</si>
  <si>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</si>
  <si>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</si>
  <si>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</si>
  <si>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</si>
  <si>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</si>
  <si>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</si>
  <si>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</si>
  <si>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</si>
  <si>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</si>
  <si>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</si>
  <si>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</si>
  <si>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</si>
  <si>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</si>
  <si>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</si>
  <si>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</si>
  <si>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</si>
  <si>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</si>
  <si>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</si>
  <si>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</si>
  <si>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</si>
  <si>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</si>
  <si>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</si>
  <si>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</si>
  <si>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</si>
  <si>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</si>
  <si>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</si>
  <si>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</si>
  <si>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</si>
  <si>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</si>
  <si>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</si>
  <si>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</si>
  <si>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</si>
  <si>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</si>
  <si>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</si>
  <si>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</si>
  <si>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</si>
  <si>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</si>
  <si>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</si>
  <si>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</si>
  <si>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</si>
  <si>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</si>
  <si>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</si>
  <si>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</si>
  <si>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</si>
  <si>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</si>
  <si>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</si>
  <si>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</si>
  <si>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</si>
  <si>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</si>
  <si>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</si>
  <si>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</si>
  <si>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</si>
  <si>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</si>
  <si>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</si>
  <si>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</si>
  <si>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</si>
  <si>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</si>
  <si>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</si>
  <si>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</si>
  <si>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</si>
  <si>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</si>
  <si>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</si>
  <si>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</si>
  <si>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</si>
  <si>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</si>
  <si>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</si>
  <si>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</si>
  <si>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</si>
  <si>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</si>
  <si>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</si>
  <si>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</si>
  <si>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</si>
  <si>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</si>
  <si>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</si>
  <si>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</si>
  <si>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</si>
  <si>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</si>
  <si>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</si>
  <si>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</si>
  <si>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</si>
  <si>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</si>
  <si>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</si>
  <si>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</si>
  <si>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</si>
  <si>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</si>
  <si>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</si>
  <si>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</si>
  <si>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</si>
  <si>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</si>
  <si>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</si>
  <si>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</si>
  <si>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</si>
  <si>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</si>
  <si>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</si>
  <si>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</si>
  <si>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</si>
  <si>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</si>
  <si>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</si>
  <si>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</si>
  <si>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</si>
  <si>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</si>
  <si>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</si>
  <si>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</si>
  <si>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</si>
  <si>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</si>
  <si>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</si>
  <si>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</si>
  <si>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</si>
  <si>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</si>
  <si>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</si>
  <si>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</si>
  <si>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</si>
  <si>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</si>
  <si>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</si>
  <si>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</si>
  <si>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</si>
  <si>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</si>
  <si>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</si>
  <si>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</si>
  <si>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</si>
  <si>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</si>
  <si>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</si>
  <si>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</si>
  <si>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</si>
  <si>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</si>
  <si>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</si>
  <si>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</si>
  <si>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</si>
  <si>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</si>
  <si>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</si>
  <si>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</si>
  <si>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</si>
  <si>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</si>
  <si>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</si>
  <si>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</si>
  <si>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</si>
  <si>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</si>
  <si>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</si>
  <si>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</si>
  <si>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</si>
  <si>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</si>
  <si>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</si>
  <si>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</si>
  <si>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</si>
  <si>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</si>
  <si>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</si>
  <si>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</si>
  <si>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</si>
  <si>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</si>
  <si>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</si>
  <si>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</si>
  <si>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</si>
  <si>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</si>
  <si>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</si>
  <si>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</si>
  <si>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</si>
  <si>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</si>
  <si>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</si>
  <si>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</si>
  <si>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</si>
  <si>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</si>
  <si>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</si>
  <si>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</si>
  <si>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</si>
  <si>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</si>
  <si>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</si>
  <si>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</si>
  <si>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</si>
  <si>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</si>
  <si>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</si>
  <si>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</si>
  <si>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</si>
  <si>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</si>
  <si>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</si>
  <si>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</si>
  <si>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</si>
  <si>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</si>
  <si>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</si>
  <si>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</si>
  <si>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</si>
  <si>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</si>
  <si>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</si>
  <si>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</si>
  <si>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</si>
  <si>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</si>
  <si>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</si>
  <si>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</si>
  <si>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</si>
  <si>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</si>
  <si>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</si>
  <si>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</si>
  <si>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</si>
  <si>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</si>
  <si>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</si>
  <si>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</si>
  <si>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</si>
  <si>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</si>
  <si>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</si>
  <si>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</si>
  <si>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</si>
  <si>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</si>
  <si>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</si>
  <si>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</si>
  <si>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</si>
  <si>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</si>
  <si>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</si>
  <si>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</si>
  <si>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</si>
  <si>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</si>
  <si>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</si>
  <si>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</si>
  <si>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</si>
  <si>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</si>
  <si>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</si>
  <si>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</si>
  <si>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</si>
  <si>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</si>
  <si>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</si>
  <si>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</si>
  <si>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</si>
  <si>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</si>
  <si>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</si>
  <si>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</si>
  <si>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</si>
  <si>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</si>
  <si>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</si>
  <si>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</si>
  <si>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</si>
  <si>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</si>
  <si>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</si>
  <si>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</si>
  <si>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</si>
  <si>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</si>
  <si>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</si>
  <si>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</si>
  <si>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</si>
  <si>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</si>
  <si>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</si>
  <si>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</si>
  <si>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</si>
  <si>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</si>
  <si>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</si>
  <si>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</si>
  <si>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</si>
  <si>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</si>
  <si>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</si>
  <si>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</si>
  <si>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</si>
  <si>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</si>
  <si>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</si>
  <si>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</si>
  <si>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</si>
  <si>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</si>
  <si>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</si>
  <si>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</si>
  <si>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</si>
  <si>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</si>
  <si>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</si>
  <si>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</si>
  <si>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</si>
  <si>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</si>
  <si>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</si>
  <si>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</si>
  <si>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</si>
  <si>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</si>
  <si>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</si>
  <si>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</si>
  <si>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</si>
  <si>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</si>
  <si>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</si>
  <si>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</si>
  <si>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</si>
  <si>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</si>
  <si>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</si>
  <si>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</si>
  <si>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</si>
  <si>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</si>
  <si>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</si>
  <si>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</si>
  <si>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</si>
  <si>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</si>
  <si>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</si>
  <si>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</si>
  <si>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</si>
  <si>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</si>
  <si>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</si>
  <si>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</si>
  <si>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</si>
  <si>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</si>
  <si>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</si>
  <si>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</si>
  <si>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</si>
  <si>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</si>
  <si>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</si>
  <si>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</si>
  <si>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</si>
  <si>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</si>
  <si>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</si>
  <si>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</si>
  <si>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</si>
  <si>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</si>
  <si>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</si>
  <si>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</si>
  <si>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</si>
  <si>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</si>
  <si>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</si>
  <si>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</si>
  <si>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</si>
  <si>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</si>
  <si>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</si>
  <si>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</si>
  <si>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</si>
  <si>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34040</t>
  </si>
  <si>
    <t>WAREGEM</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</si>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</sst>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DD9D8F45-2C79-4C0F-B341-4ACD7B0AD589}"/>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318709.29324355611</c:v>
                </c:pt>
                <c:pt idx="1">
                  <c:v>207036.55577693062</c:v>
                </c:pt>
                <c:pt idx="2">
                  <c:v>2858.82</c:v>
                </c:pt>
                <c:pt idx="3">
                  <c:v>9152.2127884062356</c:v>
                </c:pt>
                <c:pt idx="4">
                  <c:v>509629.64336551458</c:v>
                </c:pt>
                <c:pt idx="5">
                  <c:v>372601.73625629069</c:v>
                </c:pt>
                <c:pt idx="6">
                  <c:v>2006.0192778000346</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318709.29324355611</c:v>
                </c:pt>
                <c:pt idx="1">
                  <c:v>207036.55577693062</c:v>
                </c:pt>
                <c:pt idx="2">
                  <c:v>2858.82</c:v>
                </c:pt>
                <c:pt idx="3">
                  <c:v>9152.2127884062356</c:v>
                </c:pt>
                <c:pt idx="4">
                  <c:v>509629.64336551458</c:v>
                </c:pt>
                <c:pt idx="5">
                  <c:v>372601.73625629069</c:v>
                </c:pt>
                <c:pt idx="6">
                  <c:v>2006.0192778000346</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65046.073334726083</c:v>
                </c:pt>
                <c:pt idx="2">
                  <c:v>41483.414811745424</c:v>
                </c:pt>
                <c:pt idx="3">
                  <c:v>561.40242684624286</c:v>
                </c:pt>
                <c:pt idx="4">
                  <c:v>2261.0489924696881</c:v>
                </c:pt>
                <c:pt idx="5">
                  <c:v>103755.52230235926</c:v>
                </c:pt>
                <c:pt idx="6">
                  <c:v>93437.777437880679</c:v>
                </c:pt>
                <c:pt idx="7">
                  <c:v>505.32146379167864</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65046.073334726083</c:v>
                </c:pt>
                <c:pt idx="2">
                  <c:v>41483.414811745424</c:v>
                </c:pt>
                <c:pt idx="3">
                  <c:v>561.40242684624286</c:v>
                </c:pt>
                <c:pt idx="4">
                  <c:v>2261.0489924696881</c:v>
                </c:pt>
                <c:pt idx="5">
                  <c:v>103755.52230235926</c:v>
                </c:pt>
                <c:pt idx="6">
                  <c:v>93437.777437880679</c:v>
                </c:pt>
                <c:pt idx="7">
                  <c:v>505.32146379167864</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34040</v>
      </c>
      <c r="B6" s="380"/>
      <c r="C6" s="381"/>
    </row>
    <row r="7" spans="1:7" s="378" customFormat="1" ht="15.75" customHeight="1">
      <c r="A7" s="382" t="str">
        <f>txtMunicipality</f>
        <v>WAREGEM</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0.19637557693252558</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0.19637557693252558</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15854</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1653.11</v>
      </c>
      <c r="C14" s="322"/>
      <c r="D14" s="322"/>
      <c r="E14" s="322"/>
      <c r="F14" s="322"/>
    </row>
    <row r="15" spans="1:6">
      <c r="A15" s="1248" t="s">
        <v>177</v>
      </c>
      <c r="B15" s="1249">
        <v>22</v>
      </c>
      <c r="C15" s="322"/>
      <c r="D15" s="322"/>
      <c r="E15" s="322"/>
      <c r="F15" s="322"/>
    </row>
    <row r="16" spans="1:6">
      <c r="A16" s="1248" t="s">
        <v>6</v>
      </c>
      <c r="B16" s="1249">
        <v>713</v>
      </c>
      <c r="C16" s="322"/>
      <c r="D16" s="322"/>
      <c r="E16" s="322"/>
      <c r="F16" s="322"/>
    </row>
    <row r="17" spans="1:6">
      <c r="A17" s="1248" t="s">
        <v>7</v>
      </c>
      <c r="B17" s="1249">
        <v>522</v>
      </c>
      <c r="C17" s="322"/>
      <c r="D17" s="322"/>
      <c r="E17" s="322"/>
      <c r="F17" s="322"/>
    </row>
    <row r="18" spans="1:6">
      <c r="A18" s="1248" t="s">
        <v>8</v>
      </c>
      <c r="B18" s="1249">
        <v>760</v>
      </c>
      <c r="C18" s="322"/>
      <c r="D18" s="322"/>
      <c r="E18" s="322"/>
      <c r="F18" s="322"/>
    </row>
    <row r="19" spans="1:6">
      <c r="A19" s="1248" t="s">
        <v>9</v>
      </c>
      <c r="B19" s="1249">
        <v>712</v>
      </c>
      <c r="C19" s="322"/>
      <c r="D19" s="322"/>
      <c r="E19" s="322"/>
      <c r="F19" s="322"/>
    </row>
    <row r="20" spans="1:6">
      <c r="A20" s="1248" t="s">
        <v>10</v>
      </c>
      <c r="B20" s="1249">
        <v>579</v>
      </c>
      <c r="C20" s="322"/>
      <c r="D20" s="322"/>
      <c r="E20" s="322"/>
      <c r="F20" s="322"/>
    </row>
    <row r="21" spans="1:6">
      <c r="A21" s="1248" t="s">
        <v>11</v>
      </c>
      <c r="B21" s="1249">
        <v>536</v>
      </c>
      <c r="C21" s="322"/>
      <c r="D21" s="322"/>
      <c r="E21" s="322"/>
      <c r="F21" s="322"/>
    </row>
    <row r="22" spans="1:6">
      <c r="A22" s="1248" t="s">
        <v>12</v>
      </c>
      <c r="B22" s="1249">
        <v>4547</v>
      </c>
      <c r="C22" s="322"/>
      <c r="D22" s="322"/>
      <c r="E22" s="322"/>
      <c r="F22" s="322"/>
    </row>
    <row r="23" spans="1:6">
      <c r="A23" s="1248" t="s">
        <v>13</v>
      </c>
      <c r="B23" s="1249">
        <v>40</v>
      </c>
      <c r="C23" s="322"/>
      <c r="D23" s="322"/>
      <c r="E23" s="322"/>
      <c r="F23" s="322"/>
    </row>
    <row r="24" spans="1:6">
      <c r="A24" s="1248" t="s">
        <v>14</v>
      </c>
      <c r="B24" s="1249">
        <v>8</v>
      </c>
      <c r="C24" s="322"/>
      <c r="D24" s="322"/>
      <c r="E24" s="322"/>
      <c r="F24" s="322"/>
    </row>
    <row r="25" spans="1:6">
      <c r="A25" s="1248" t="s">
        <v>15</v>
      </c>
      <c r="B25" s="1249">
        <v>107</v>
      </c>
      <c r="C25" s="322"/>
      <c r="D25" s="322"/>
      <c r="E25" s="322"/>
      <c r="F25" s="322"/>
    </row>
    <row r="26" spans="1:6">
      <c r="A26" s="1248" t="s">
        <v>16</v>
      </c>
      <c r="B26" s="1249">
        <v>250</v>
      </c>
      <c r="C26" s="322"/>
      <c r="D26" s="322"/>
      <c r="E26" s="322"/>
      <c r="F26" s="322"/>
    </row>
    <row r="27" spans="1:6">
      <c r="A27" s="1248" t="s">
        <v>17</v>
      </c>
      <c r="B27" s="1249">
        <v>17</v>
      </c>
      <c r="C27" s="322"/>
      <c r="D27" s="322"/>
      <c r="E27" s="322"/>
      <c r="F27" s="322"/>
    </row>
    <row r="28" spans="1:6">
      <c r="A28" s="1248" t="s">
        <v>18</v>
      </c>
      <c r="B28" s="1250">
        <v>37545</v>
      </c>
      <c r="C28" s="322"/>
      <c r="D28" s="322"/>
      <c r="E28" s="322"/>
      <c r="F28" s="322"/>
    </row>
    <row r="29" spans="1:6">
      <c r="A29" s="1248" t="s">
        <v>691</v>
      </c>
      <c r="B29" s="1250">
        <v>108</v>
      </c>
      <c r="C29" s="322"/>
      <c r="D29" s="322"/>
      <c r="E29" s="322"/>
      <c r="F29" s="322"/>
    </row>
    <row r="30" spans="1:6">
      <c r="A30" s="1243" t="s">
        <v>692</v>
      </c>
      <c r="B30" s="1251">
        <v>61</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4</v>
      </c>
      <c r="D36" s="1249">
        <v>984836.49076880398</v>
      </c>
      <c r="E36" s="1249">
        <v>5</v>
      </c>
      <c r="F36" s="1249">
        <v>40130</v>
      </c>
    </row>
    <row r="37" spans="1:6">
      <c r="A37" s="1248" t="s">
        <v>24</v>
      </c>
      <c r="B37" s="1248" t="s">
        <v>27</v>
      </c>
      <c r="C37" s="1249">
        <v>0</v>
      </c>
      <c r="D37" s="1249">
        <v>0</v>
      </c>
      <c r="E37" s="1249">
        <v>0</v>
      </c>
      <c r="F37" s="1249">
        <v>0</v>
      </c>
    </row>
    <row r="38" spans="1:6">
      <c r="A38" s="1248" t="s">
        <v>24</v>
      </c>
      <c r="B38" s="1248" t="s">
        <v>28</v>
      </c>
      <c r="C38" s="1249">
        <v>0</v>
      </c>
      <c r="D38" s="1249">
        <v>0</v>
      </c>
      <c r="E38" s="1249">
        <v>7</v>
      </c>
      <c r="F38" s="1249">
        <v>47744.4580578401</v>
      </c>
    </row>
    <row r="39" spans="1:6">
      <c r="A39" s="1248" t="s">
        <v>29</v>
      </c>
      <c r="B39" s="1248" t="s">
        <v>30</v>
      </c>
      <c r="C39" s="1249">
        <v>9662</v>
      </c>
      <c r="D39" s="1249">
        <v>146656369.25065899</v>
      </c>
      <c r="E39" s="1249">
        <v>15328</v>
      </c>
      <c r="F39" s="1249">
        <v>58255993.840960197</v>
      </c>
    </row>
    <row r="40" spans="1:6">
      <c r="A40" s="1248" t="s">
        <v>29</v>
      </c>
      <c r="B40" s="1248" t="s">
        <v>28</v>
      </c>
      <c r="C40" s="1249">
        <v>0</v>
      </c>
      <c r="D40" s="1249">
        <v>0</v>
      </c>
      <c r="E40" s="1249">
        <v>0</v>
      </c>
      <c r="F40" s="1249">
        <v>0</v>
      </c>
    </row>
    <row r="41" spans="1:6">
      <c r="A41" s="1248" t="s">
        <v>31</v>
      </c>
      <c r="B41" s="1248" t="s">
        <v>32</v>
      </c>
      <c r="C41" s="1249">
        <v>231</v>
      </c>
      <c r="D41" s="1249">
        <v>9016416.9870644491</v>
      </c>
      <c r="E41" s="1249">
        <v>577</v>
      </c>
      <c r="F41" s="1249">
        <v>16220253.522188099</v>
      </c>
    </row>
    <row r="42" spans="1:6">
      <c r="A42" s="1248" t="s">
        <v>31</v>
      </c>
      <c r="B42" s="1248" t="s">
        <v>33</v>
      </c>
      <c r="C42" s="1249">
        <v>8</v>
      </c>
      <c r="D42" s="1249">
        <v>215149.60757681701</v>
      </c>
      <c r="E42" s="1249">
        <v>7</v>
      </c>
      <c r="F42" s="1249">
        <v>56745.923247685998</v>
      </c>
    </row>
    <row r="43" spans="1:6">
      <c r="A43" s="1248" t="s">
        <v>31</v>
      </c>
      <c r="B43" s="1248" t="s">
        <v>34</v>
      </c>
      <c r="C43" s="1249">
        <v>0</v>
      </c>
      <c r="D43" s="1249">
        <v>0</v>
      </c>
      <c r="E43" s="1249">
        <v>0</v>
      </c>
      <c r="F43" s="1249">
        <v>0</v>
      </c>
    </row>
    <row r="44" spans="1:6">
      <c r="A44" s="1248" t="s">
        <v>31</v>
      </c>
      <c r="B44" s="1248" t="s">
        <v>35</v>
      </c>
      <c r="C44" s="1249">
        <v>19</v>
      </c>
      <c r="D44" s="1249">
        <v>9894395.8306435104</v>
      </c>
      <c r="E44" s="1249">
        <v>55</v>
      </c>
      <c r="F44" s="1249">
        <v>6296056.6552469302</v>
      </c>
    </row>
    <row r="45" spans="1:6">
      <c r="A45" s="1248" t="s">
        <v>31</v>
      </c>
      <c r="B45" s="1248" t="s">
        <v>36</v>
      </c>
      <c r="C45" s="1249">
        <v>0</v>
      </c>
      <c r="D45" s="1249">
        <v>0</v>
      </c>
      <c r="E45" s="1249">
        <v>13</v>
      </c>
      <c r="F45" s="1249">
        <v>1384883.51929005</v>
      </c>
    </row>
    <row r="46" spans="1:6">
      <c r="A46" s="1248" t="s">
        <v>31</v>
      </c>
      <c r="B46" s="1248" t="s">
        <v>37</v>
      </c>
      <c r="C46" s="1249">
        <v>0</v>
      </c>
      <c r="D46" s="1249">
        <v>0</v>
      </c>
      <c r="E46" s="1249">
        <v>0</v>
      </c>
      <c r="F46" s="1249">
        <v>0</v>
      </c>
    </row>
    <row r="47" spans="1:6">
      <c r="A47" s="1248" t="s">
        <v>31</v>
      </c>
      <c r="B47" s="1248" t="s">
        <v>38</v>
      </c>
      <c r="C47" s="1249">
        <v>0</v>
      </c>
      <c r="D47" s="1249">
        <v>0</v>
      </c>
      <c r="E47" s="1249">
        <v>13</v>
      </c>
      <c r="F47" s="1249">
        <v>1081313.60232666</v>
      </c>
    </row>
    <row r="48" spans="1:6">
      <c r="A48" s="1248" t="s">
        <v>31</v>
      </c>
      <c r="B48" s="1248" t="s">
        <v>28</v>
      </c>
      <c r="C48" s="1249">
        <v>125</v>
      </c>
      <c r="D48" s="1249">
        <v>206789751.889263</v>
      </c>
      <c r="E48" s="1249">
        <v>161</v>
      </c>
      <c r="F48" s="1249">
        <v>135719351.951675</v>
      </c>
    </row>
    <row r="49" spans="1:6">
      <c r="A49" s="1248" t="s">
        <v>31</v>
      </c>
      <c r="B49" s="1248" t="s">
        <v>39</v>
      </c>
      <c r="C49" s="1249">
        <v>16</v>
      </c>
      <c r="D49" s="1249">
        <v>17838551.569646198</v>
      </c>
      <c r="E49" s="1249">
        <v>77</v>
      </c>
      <c r="F49" s="1249">
        <v>71385392.291144401</v>
      </c>
    </row>
    <row r="50" spans="1:6">
      <c r="A50" s="1248" t="s">
        <v>31</v>
      </c>
      <c r="B50" s="1248" t="s">
        <v>40</v>
      </c>
      <c r="C50" s="1249">
        <v>9</v>
      </c>
      <c r="D50" s="1249">
        <v>1005603.9490497001</v>
      </c>
      <c r="E50" s="1249">
        <v>19</v>
      </c>
      <c r="F50" s="1249">
        <v>932294.92108014994</v>
      </c>
    </row>
    <row r="51" spans="1:6">
      <c r="A51" s="1248" t="s">
        <v>41</v>
      </c>
      <c r="B51" s="1248" t="s">
        <v>42</v>
      </c>
      <c r="C51" s="1249">
        <v>14</v>
      </c>
      <c r="D51" s="1249">
        <v>1037227.0912473</v>
      </c>
      <c r="E51" s="1249">
        <v>64</v>
      </c>
      <c r="F51" s="1249">
        <v>1200637.0635755099</v>
      </c>
    </row>
    <row r="52" spans="1:6">
      <c r="A52" s="1248" t="s">
        <v>41</v>
      </c>
      <c r="B52" s="1248" t="s">
        <v>28</v>
      </c>
      <c r="C52" s="1249">
        <v>8</v>
      </c>
      <c r="D52" s="1249">
        <v>822784.38221851201</v>
      </c>
      <c r="E52" s="1249">
        <v>23</v>
      </c>
      <c r="F52" s="1249">
        <v>298866.80120666802</v>
      </c>
    </row>
    <row r="53" spans="1:6">
      <c r="A53" s="1248" t="s">
        <v>43</v>
      </c>
      <c r="B53" s="1248" t="s">
        <v>44</v>
      </c>
      <c r="C53" s="1249">
        <v>247</v>
      </c>
      <c r="D53" s="1249">
        <v>4671395.7096062601</v>
      </c>
      <c r="E53" s="1249">
        <v>571</v>
      </c>
      <c r="F53" s="1249">
        <v>2426180.8247676902</v>
      </c>
    </row>
    <row r="54" spans="1:6">
      <c r="A54" s="1248" t="s">
        <v>45</v>
      </c>
      <c r="B54" s="1248" t="s">
        <v>46</v>
      </c>
      <c r="C54" s="1249">
        <v>0</v>
      </c>
      <c r="D54" s="1249">
        <v>0</v>
      </c>
      <c r="E54" s="1249">
        <v>3</v>
      </c>
      <c r="F54" s="1249">
        <v>2858820</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128</v>
      </c>
      <c r="D57" s="1249">
        <v>7814115.0125333602</v>
      </c>
      <c r="E57" s="1249">
        <v>199</v>
      </c>
      <c r="F57" s="1249">
        <v>3991651.7547818399</v>
      </c>
    </row>
    <row r="58" spans="1:6">
      <c r="A58" s="1248" t="s">
        <v>48</v>
      </c>
      <c r="B58" s="1248" t="s">
        <v>50</v>
      </c>
      <c r="C58" s="1249">
        <v>62</v>
      </c>
      <c r="D58" s="1249">
        <v>1977487.68401896</v>
      </c>
      <c r="E58" s="1249">
        <v>99</v>
      </c>
      <c r="F58" s="1249">
        <v>965056.98851262499</v>
      </c>
    </row>
    <row r="59" spans="1:6">
      <c r="A59" s="1248" t="s">
        <v>48</v>
      </c>
      <c r="B59" s="1248" t="s">
        <v>51</v>
      </c>
      <c r="C59" s="1249">
        <v>309</v>
      </c>
      <c r="D59" s="1249">
        <v>17890763.696224</v>
      </c>
      <c r="E59" s="1249">
        <v>665</v>
      </c>
      <c r="F59" s="1249">
        <v>29511904.667261802</v>
      </c>
    </row>
    <row r="60" spans="1:6">
      <c r="A60" s="1248" t="s">
        <v>48</v>
      </c>
      <c r="B60" s="1248" t="s">
        <v>52</v>
      </c>
      <c r="C60" s="1249">
        <v>128</v>
      </c>
      <c r="D60" s="1249">
        <v>5687690.0019567199</v>
      </c>
      <c r="E60" s="1249">
        <v>181</v>
      </c>
      <c r="F60" s="1249">
        <v>5361356.0614790898</v>
      </c>
    </row>
    <row r="61" spans="1:6">
      <c r="A61" s="1248" t="s">
        <v>48</v>
      </c>
      <c r="B61" s="1248" t="s">
        <v>53</v>
      </c>
      <c r="C61" s="1249">
        <v>450</v>
      </c>
      <c r="D61" s="1249">
        <v>71436949.399456307</v>
      </c>
      <c r="E61" s="1249">
        <v>1085</v>
      </c>
      <c r="F61" s="1249">
        <v>13980462.8110801</v>
      </c>
    </row>
    <row r="62" spans="1:6">
      <c r="A62" s="1248" t="s">
        <v>48</v>
      </c>
      <c r="B62" s="1248" t="s">
        <v>54</v>
      </c>
      <c r="C62" s="1249">
        <v>26</v>
      </c>
      <c r="D62" s="1249">
        <v>5979435.1169117996</v>
      </c>
      <c r="E62" s="1249">
        <v>30</v>
      </c>
      <c r="F62" s="1249">
        <v>2118511.5039506201</v>
      </c>
    </row>
    <row r="63" spans="1:6">
      <c r="A63" s="1248" t="s">
        <v>48</v>
      </c>
      <c r="B63" s="1248" t="s">
        <v>28</v>
      </c>
      <c r="C63" s="1249">
        <v>273</v>
      </c>
      <c r="D63" s="1249">
        <v>18125478.7061643</v>
      </c>
      <c r="E63" s="1249">
        <v>327</v>
      </c>
      <c r="F63" s="1249">
        <v>18082043.794364601</v>
      </c>
    </row>
    <row r="64" spans="1:6">
      <c r="A64" s="1248" t="s">
        <v>55</v>
      </c>
      <c r="B64" s="1248" t="s">
        <v>56</v>
      </c>
      <c r="C64" s="1249">
        <v>0</v>
      </c>
      <c r="D64" s="1249">
        <v>0</v>
      </c>
      <c r="E64" s="1249">
        <v>0</v>
      </c>
      <c r="F64" s="1249">
        <v>0</v>
      </c>
    </row>
    <row r="65" spans="1:6">
      <c r="A65" s="1248" t="s">
        <v>55</v>
      </c>
      <c r="B65" s="1248" t="s">
        <v>28</v>
      </c>
      <c r="C65" s="1249">
        <v>7</v>
      </c>
      <c r="D65" s="1249">
        <v>233349.35856364301</v>
      </c>
      <c r="E65" s="1249">
        <v>9</v>
      </c>
      <c r="F65" s="1249">
        <v>130591.734225821</v>
      </c>
    </row>
    <row r="66" spans="1:6">
      <c r="A66" s="1248" t="s">
        <v>55</v>
      </c>
      <c r="B66" s="1248" t="s">
        <v>57</v>
      </c>
      <c r="C66" s="1249">
        <v>0</v>
      </c>
      <c r="D66" s="1249">
        <v>0</v>
      </c>
      <c r="E66" s="1249">
        <v>19</v>
      </c>
      <c r="F66" s="1249">
        <v>942657.85467468004</v>
      </c>
    </row>
    <row r="67" spans="1:6">
      <c r="A67" s="1248" t="s">
        <v>55</v>
      </c>
      <c r="B67" s="1248" t="s">
        <v>58</v>
      </c>
      <c r="C67" s="1249">
        <v>0</v>
      </c>
      <c r="D67" s="1249">
        <v>0</v>
      </c>
      <c r="E67" s="1249">
        <v>0</v>
      </c>
      <c r="F67" s="1249">
        <v>0</v>
      </c>
    </row>
    <row r="68" spans="1:6">
      <c r="A68" s="1243" t="s">
        <v>55</v>
      </c>
      <c r="B68" s="1243" t="s">
        <v>59</v>
      </c>
      <c r="C68" s="1251">
        <v>8</v>
      </c>
      <c r="D68" s="1251">
        <v>174165.755026528</v>
      </c>
      <c r="E68" s="1251">
        <v>31</v>
      </c>
      <c r="F68" s="1251">
        <v>194563.29638320699</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87201051</v>
      </c>
      <c r="E73" s="439"/>
      <c r="F73" s="322"/>
    </row>
    <row r="74" spans="1:6">
      <c r="A74" s="1248" t="s">
        <v>63</v>
      </c>
      <c r="B74" s="1248" t="s">
        <v>617</v>
      </c>
      <c r="C74" s="1261" t="s">
        <v>619</v>
      </c>
      <c r="D74" s="1249">
        <v>9942917</v>
      </c>
      <c r="E74" s="439"/>
      <c r="F74" s="322"/>
    </row>
    <row r="75" spans="1:6">
      <c r="A75" s="1248" t="s">
        <v>64</v>
      </c>
      <c r="B75" s="1248" t="s">
        <v>616</v>
      </c>
      <c r="C75" s="1261" t="s">
        <v>620</v>
      </c>
      <c r="D75" s="1249">
        <v>32333782</v>
      </c>
      <c r="E75" s="439"/>
      <c r="F75" s="322"/>
    </row>
    <row r="76" spans="1:6">
      <c r="A76" s="1248" t="s">
        <v>64</v>
      </c>
      <c r="B76" s="1248" t="s">
        <v>617</v>
      </c>
      <c r="C76" s="1261" t="s">
        <v>621</v>
      </c>
      <c r="D76" s="1249">
        <v>2074569</v>
      </c>
      <c r="E76" s="439"/>
      <c r="F76" s="322"/>
    </row>
    <row r="77" spans="1:6">
      <c r="A77" s="1248" t="s">
        <v>65</v>
      </c>
      <c r="B77" s="1248" t="s">
        <v>616</v>
      </c>
      <c r="C77" s="1261" t="s">
        <v>622</v>
      </c>
      <c r="D77" s="1249">
        <v>189515514</v>
      </c>
      <c r="E77" s="439"/>
      <c r="F77" s="322"/>
    </row>
    <row r="78" spans="1:6">
      <c r="A78" s="1243" t="s">
        <v>65</v>
      </c>
      <c r="B78" s="1243" t="s">
        <v>617</v>
      </c>
      <c r="C78" s="1243" t="s">
        <v>623</v>
      </c>
      <c r="D78" s="1251">
        <v>48516304</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545610</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6889.7925010185299</v>
      </c>
      <c r="C90" s="322"/>
      <c r="D90" s="322"/>
      <c r="E90" s="322"/>
      <c r="F90" s="322"/>
    </row>
    <row r="91" spans="1:6">
      <c r="A91" s="1248" t="s">
        <v>67</v>
      </c>
      <c r="B91" s="1249">
        <v>7451.3582626653497</v>
      </c>
      <c r="C91" s="322"/>
      <c r="D91" s="322"/>
      <c r="E91" s="322"/>
      <c r="F91" s="322"/>
    </row>
    <row r="92" spans="1:6">
      <c r="A92" s="1243" t="s">
        <v>68</v>
      </c>
      <c r="B92" s="1244">
        <v>27975.131040967051</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5216</v>
      </c>
      <c r="C97" s="322"/>
      <c r="D97" s="322"/>
      <c r="E97" s="322"/>
      <c r="F97" s="322"/>
    </row>
    <row r="98" spans="1:6">
      <c r="A98" s="1248" t="s">
        <v>71</v>
      </c>
      <c r="B98" s="1249">
        <v>2</v>
      </c>
      <c r="C98" s="322"/>
      <c r="D98" s="322"/>
      <c r="E98" s="322"/>
      <c r="F98" s="322"/>
    </row>
    <row r="99" spans="1:6">
      <c r="A99" s="1248" t="s">
        <v>72</v>
      </c>
      <c r="B99" s="1249">
        <v>157</v>
      </c>
      <c r="C99" s="322"/>
      <c r="D99" s="322"/>
      <c r="E99" s="322"/>
      <c r="F99" s="322"/>
    </row>
    <row r="100" spans="1:6">
      <c r="A100" s="1248" t="s">
        <v>73</v>
      </c>
      <c r="B100" s="1249">
        <v>1363</v>
      </c>
      <c r="C100" s="322"/>
      <c r="D100" s="322"/>
      <c r="E100" s="322"/>
      <c r="F100" s="322"/>
    </row>
    <row r="101" spans="1:6">
      <c r="A101" s="1248" t="s">
        <v>74</v>
      </c>
      <c r="B101" s="1249">
        <v>179</v>
      </c>
      <c r="C101" s="322"/>
      <c r="D101" s="322"/>
      <c r="E101" s="322"/>
      <c r="F101" s="322"/>
    </row>
    <row r="102" spans="1:6">
      <c r="A102" s="1248" t="s">
        <v>75</v>
      </c>
      <c r="B102" s="1249">
        <v>330</v>
      </c>
      <c r="C102" s="322"/>
      <c r="D102" s="322"/>
      <c r="E102" s="322"/>
      <c r="F102" s="322"/>
    </row>
    <row r="103" spans="1:6">
      <c r="A103" s="1248" t="s">
        <v>76</v>
      </c>
      <c r="B103" s="1249">
        <v>222</v>
      </c>
      <c r="C103" s="322"/>
      <c r="D103" s="322"/>
      <c r="E103" s="322"/>
      <c r="F103" s="322"/>
    </row>
    <row r="104" spans="1:6">
      <c r="A104" s="1248" t="s">
        <v>77</v>
      </c>
      <c r="B104" s="1249">
        <v>6001</v>
      </c>
      <c r="C104" s="322"/>
      <c r="D104" s="322"/>
      <c r="E104" s="322"/>
      <c r="F104" s="322"/>
    </row>
    <row r="105" spans="1:6">
      <c r="A105" s="1243" t="s">
        <v>78</v>
      </c>
      <c r="B105" s="1251">
        <v>20</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1</v>
      </c>
      <c r="C122" s="1249">
        <v>0</v>
      </c>
      <c r="D122" s="322"/>
      <c r="E122" s="322"/>
      <c r="F122" s="322"/>
    </row>
    <row r="123" spans="1:6">
      <c r="A123" s="1248" t="s">
        <v>87</v>
      </c>
      <c r="B123" s="1249">
        <v>39</v>
      </c>
      <c r="C123" s="1249">
        <v>44</v>
      </c>
      <c r="D123" s="322"/>
      <c r="E123" s="322"/>
      <c r="F123" s="322"/>
    </row>
    <row r="124" spans="1:6">
      <c r="A124" s="1248" t="s">
        <v>88</v>
      </c>
      <c r="B124" s="1249">
        <v>4</v>
      </c>
      <c r="C124" s="1249">
        <v>2</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401</v>
      </c>
      <c r="C129" s="322"/>
      <c r="D129" s="322"/>
      <c r="E129" s="322"/>
      <c r="F129" s="322"/>
    </row>
    <row r="130" spans="1:6">
      <c r="A130" s="1248" t="s">
        <v>283</v>
      </c>
      <c r="B130" s="1249">
        <v>7</v>
      </c>
      <c r="C130" s="322"/>
      <c r="D130" s="322"/>
      <c r="E130" s="322"/>
      <c r="F130" s="322"/>
    </row>
    <row r="131" spans="1:6">
      <c r="A131" s="1248" t="s">
        <v>284</v>
      </c>
      <c r="B131" s="1249">
        <v>14</v>
      </c>
      <c r="C131" s="322"/>
      <c r="D131" s="322"/>
      <c r="E131" s="322"/>
      <c r="F131" s="322"/>
    </row>
    <row r="132" spans="1:6">
      <c r="A132" s="1243" t="s">
        <v>285</v>
      </c>
      <c r="B132" s="1244">
        <v>27</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379781.41673420422</v>
      </c>
      <c r="C3" s="43" t="s">
        <v>163</v>
      </c>
      <c r="D3" s="43"/>
      <c r="E3" s="153"/>
      <c r="F3" s="43"/>
      <c r="G3" s="43"/>
      <c r="H3" s="43"/>
      <c r="I3" s="43"/>
      <c r="J3" s="43"/>
      <c r="K3" s="96"/>
    </row>
    <row r="4" spans="1:11">
      <c r="A4" s="348" t="s">
        <v>164</v>
      </c>
      <c r="B4" s="49">
        <f>IF(ISERROR('SEAP template'!B78+'SEAP template'!C78),0,'SEAP template'!B78+'SEAP template'!C78)</f>
        <v>42316.281804650927</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0.19637557693252558</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2858.82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2858.82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0.19637557693252558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561.40242684624286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58255.993840960196</v>
      </c>
      <c r="C5" s="17">
        <f>IF(ISERROR('Eigen informatie GS &amp; warmtenet'!B57),0,'Eigen informatie GS &amp; warmtenet'!B57)</f>
        <v>0</v>
      </c>
      <c r="D5" s="30">
        <f>(SUM(HH_hh_gas_kWh,HH_rest_gas_kWh)/1000)*0.902</f>
        <v>132284.04506409442</v>
      </c>
      <c r="E5" s="17">
        <f>B32*B41</f>
        <v>3936.4035743295872</v>
      </c>
      <c r="F5" s="17">
        <f>B36*B45</f>
        <v>91242.772267206368</v>
      </c>
      <c r="G5" s="18"/>
      <c r="H5" s="17"/>
      <c r="I5" s="17"/>
      <c r="J5" s="17">
        <f>B35*B44+C35*C44</f>
        <v>468.90747741250931</v>
      </c>
      <c r="K5" s="17"/>
      <c r="L5" s="17"/>
      <c r="M5" s="17"/>
      <c r="N5" s="17">
        <f>B34*B43+C34*C43</f>
        <v>23036.336090221012</v>
      </c>
      <c r="O5" s="17">
        <f>B52*B53*B54</f>
        <v>698.81000000000006</v>
      </c>
      <c r="P5" s="17">
        <f>B60*B61*B62/1000-B60*B61*B62/1000/B63</f>
        <v>1334.6666666666667</v>
      </c>
    </row>
    <row r="6" spans="1:16">
      <c r="A6" s="16" t="s">
        <v>582</v>
      </c>
      <c r="B6" s="716">
        <f>kWh_PV_kleiner_dan_10kW</f>
        <v>7451.3582626653497</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65707.352103625541</v>
      </c>
      <c r="C8" s="21">
        <f>C5</f>
        <v>0</v>
      </c>
      <c r="D8" s="21">
        <f>D5</f>
        <v>132284.04506409442</v>
      </c>
      <c r="E8" s="21">
        <f>E5</f>
        <v>3936.4035743295872</v>
      </c>
      <c r="F8" s="21">
        <f>F5</f>
        <v>91242.772267206368</v>
      </c>
      <c r="G8" s="21"/>
      <c r="H8" s="21"/>
      <c r="I8" s="21"/>
      <c r="J8" s="21">
        <f>J5</f>
        <v>468.90747741250931</v>
      </c>
      <c r="K8" s="21"/>
      <c r="L8" s="21">
        <f>L5</f>
        <v>0</v>
      </c>
      <c r="M8" s="21">
        <f>M5</f>
        <v>0</v>
      </c>
      <c r="N8" s="21">
        <f>N5</f>
        <v>23036.336090221012</v>
      </c>
      <c r="O8" s="21">
        <f>O5</f>
        <v>698.81000000000006</v>
      </c>
      <c r="P8" s="21">
        <f>P5</f>
        <v>1334.6666666666667</v>
      </c>
    </row>
    <row r="9" spans="1:16">
      <c r="B9" s="19"/>
      <c r="C9" s="19"/>
      <c r="D9" s="253"/>
      <c r="E9" s="19"/>
      <c r="F9" s="19"/>
      <c r="G9" s="19"/>
      <c r="H9" s="19"/>
      <c r="I9" s="19"/>
      <c r="J9" s="19"/>
      <c r="K9" s="19"/>
      <c r="L9" s="19"/>
      <c r="M9" s="19"/>
      <c r="N9" s="19"/>
      <c r="O9" s="19"/>
      <c r="P9" s="19"/>
    </row>
    <row r="10" spans="1:16">
      <c r="A10" s="24" t="s">
        <v>207</v>
      </c>
      <c r="B10" s="25">
        <f ca="1">'EF ele_warmte'!B12</f>
        <v>0.19637557693252558</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12903.319178058064</v>
      </c>
      <c r="C12" s="23">
        <f ca="1">C10*C8</f>
        <v>0</v>
      </c>
      <c r="D12" s="23">
        <f>D8*D10</f>
        <v>26721.377102947074</v>
      </c>
      <c r="E12" s="23">
        <f>E10*E8</f>
        <v>893.56361137281635</v>
      </c>
      <c r="F12" s="23">
        <f>F10*F8</f>
        <v>24361.820195344102</v>
      </c>
      <c r="G12" s="23"/>
      <c r="H12" s="23"/>
      <c r="I12" s="23"/>
      <c r="J12" s="23">
        <f>J10*J8</f>
        <v>165.99324700402829</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15854</v>
      </c>
      <c r="C26" s="36"/>
      <c r="D26" s="224"/>
    </row>
    <row r="27" spans="1:5" s="15" customFormat="1">
      <c r="A27" s="226" t="s">
        <v>736</v>
      </c>
      <c r="B27" s="37">
        <f>SUM(HH_hh_gas_aantal,HH_rest_gas_aantal)</f>
        <v>9662</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9178.9</v>
      </c>
      <c r="C31" s="34" t="s">
        <v>104</v>
      </c>
      <c r="D31" s="170"/>
    </row>
    <row r="32" spans="1:5">
      <c r="A32" s="167" t="s">
        <v>72</v>
      </c>
      <c r="B32" s="33">
        <f>IF((B21*($B$26-($B$27-0.05*$B$27)-$B$60))&lt;0,0,B21*($B$26-($B$27-0.05*$B$27)-$B$60))</f>
        <v>72.740863535966298</v>
      </c>
      <c r="C32" s="34" t="s">
        <v>104</v>
      </c>
      <c r="D32" s="170"/>
    </row>
    <row r="33" spans="1:6">
      <c r="A33" s="167" t="s">
        <v>73</v>
      </c>
      <c r="B33" s="33">
        <f>IF((B22*($B$26-($B$27-0.05*$B$27)-$B$60))&lt;0,0,B22*($B$26-($B$27-0.05*$B$27)-$B$60))</f>
        <v>1512.3436384555851</v>
      </c>
      <c r="C33" s="34" t="s">
        <v>104</v>
      </c>
      <c r="D33" s="170"/>
    </row>
    <row r="34" spans="1:6">
      <c r="A34" s="167" t="s">
        <v>74</v>
      </c>
      <c r="B34" s="33">
        <f>IF((B24*($B$26-($B$27-0.05*$B$27)-$B$60))&lt;0,0,B24*($B$26-($B$27-0.05*$B$27)-$B$60))</f>
        <v>590.26253740677726</v>
      </c>
      <c r="C34" s="33">
        <f>B26*C24</f>
        <v>2808.1340228559338</v>
      </c>
      <c r="D34" s="229"/>
    </row>
    <row r="35" spans="1:6">
      <c r="A35" s="167" t="s">
        <v>76</v>
      </c>
      <c r="B35" s="33">
        <f>IF((B19*($B$26-($B$27-0.05*$B$27)-$B$60))&lt;0,0,B19*($B$26-($B$27-0.05*$B$27)-$B$60))</f>
        <v>55.056990000130519</v>
      </c>
      <c r="C35" s="33">
        <f>B35/2</f>
        <v>27.528495000065259</v>
      </c>
      <c r="D35" s="229"/>
    </row>
    <row r="36" spans="1:6">
      <c r="A36" s="167" t="s">
        <v>77</v>
      </c>
      <c r="B36" s="33">
        <f>IF((B18*($B$26-($B$27-0.05*$B$27)-$B$60))&lt;0,0,B18*($B$26-($B$27-0.05*$B$27)-$B$60))</f>
        <v>4374.6959706015414</v>
      </c>
      <c r="C36" s="34" t="s">
        <v>104</v>
      </c>
      <c r="D36" s="170"/>
    </row>
    <row r="37" spans="1:6">
      <c r="A37" s="167" t="s">
        <v>78</v>
      </c>
      <c r="B37" s="33">
        <f>B60</f>
        <v>70</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447</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70</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74010.987581430672</v>
      </c>
      <c r="C5" s="17">
        <f>IF(ISERROR('Eigen informatie GS &amp; warmtenet'!B58),0,'Eigen informatie GS &amp; warmtenet'!B58)</f>
        <v>0</v>
      </c>
      <c r="D5" s="30">
        <f>SUM(D6:D12)</f>
        <v>116278.55149477343</v>
      </c>
      <c r="E5" s="17">
        <f>SUM(E6:E12)</f>
        <v>1241.6118302554121</v>
      </c>
      <c r="F5" s="17">
        <f>SUM(F6:F12)</f>
        <v>11907.57525433831</v>
      </c>
      <c r="G5" s="18"/>
      <c r="H5" s="17"/>
      <c r="I5" s="17"/>
      <c r="J5" s="17">
        <f>SUM(J6:J12)</f>
        <v>8.0637783759409401E-2</v>
      </c>
      <c r="K5" s="17"/>
      <c r="L5" s="17"/>
      <c r="M5" s="17"/>
      <c r="N5" s="17">
        <f>SUM(N6:N12)</f>
        <v>3300.8056450156619</v>
      </c>
      <c r="O5" s="17">
        <f>B38*B39*B40</f>
        <v>10.943333333333335</v>
      </c>
      <c r="P5" s="17">
        <f>B46*B47*B48/1000-B46*B47*B48/1000/B49</f>
        <v>286</v>
      </c>
      <c r="R5" s="32"/>
    </row>
    <row r="6" spans="1:18">
      <c r="A6" s="32" t="s">
        <v>53</v>
      </c>
      <c r="B6" s="37">
        <f>B26</f>
        <v>13980.4628110801</v>
      </c>
      <c r="C6" s="33"/>
      <c r="D6" s="37">
        <f>IF(ISERROR(TER_kantoor_gas_kWh/1000),0,TER_kantoor_gas_kWh/1000)*0.902</f>
        <v>64436.128358309594</v>
      </c>
      <c r="E6" s="33">
        <f>$C$26*'E Balans VL '!I12/100/3.6*1000000</f>
        <v>-1.1479779750115508E-3</v>
      </c>
      <c r="F6" s="33">
        <f>$C$26*('E Balans VL '!L12+'E Balans VL '!N12)/100/3.6*1000000</f>
        <v>1771.7633522593167</v>
      </c>
      <c r="G6" s="34"/>
      <c r="H6" s="33"/>
      <c r="I6" s="33"/>
      <c r="J6" s="33">
        <f>$C$26*('E Balans VL '!D12+'E Balans VL '!E12)/100/3.6*1000000</f>
        <v>0</v>
      </c>
      <c r="K6" s="33"/>
      <c r="L6" s="33"/>
      <c r="M6" s="33"/>
      <c r="N6" s="33">
        <f>$C$26*'E Balans VL '!Y12/100/3.6*1000000</f>
        <v>17.147864571559349</v>
      </c>
      <c r="O6" s="33"/>
      <c r="P6" s="33"/>
      <c r="R6" s="32"/>
    </row>
    <row r="7" spans="1:18">
      <c r="A7" s="32" t="s">
        <v>52</v>
      </c>
      <c r="B7" s="37">
        <f t="shared" ref="B7:B12" si="0">B27</f>
        <v>5361.3560614790895</v>
      </c>
      <c r="C7" s="33"/>
      <c r="D7" s="37">
        <f>IF(ISERROR(TER_horeca_gas_kWh/1000),0,TER_horeca_gas_kWh/1000)*0.902</f>
        <v>5130.2963817649616</v>
      </c>
      <c r="E7" s="33">
        <f>$C$27*'E Balans VL '!I9/100/3.6*1000000</f>
        <v>61.711833927984578</v>
      </c>
      <c r="F7" s="33">
        <f>$C$27*('E Balans VL '!L9+'E Balans VL '!N9)/100/3.6*1000000</f>
        <v>691.26020749988447</v>
      </c>
      <c r="G7" s="34"/>
      <c r="H7" s="33"/>
      <c r="I7" s="33"/>
      <c r="J7" s="33">
        <f>$C$27*('E Balans VL '!D9+'E Balans VL '!E9)/100/3.6*1000000</f>
        <v>0</v>
      </c>
      <c r="K7" s="33"/>
      <c r="L7" s="33"/>
      <c r="M7" s="33"/>
      <c r="N7" s="33">
        <f>$C$27*'E Balans VL '!Y9/100/3.6*1000000</f>
        <v>56.58788461778822</v>
      </c>
      <c r="O7" s="33"/>
      <c r="P7" s="33"/>
      <c r="R7" s="32"/>
    </row>
    <row r="8" spans="1:18">
      <c r="A8" s="6" t="s">
        <v>51</v>
      </c>
      <c r="B8" s="37">
        <f t="shared" si="0"/>
        <v>29511.904667261802</v>
      </c>
      <c r="C8" s="33"/>
      <c r="D8" s="37">
        <f>IF(ISERROR(TER_handel_gas_kWh/1000),0,TER_handel_gas_kWh/1000)*0.902</f>
        <v>16137.468853994047</v>
      </c>
      <c r="E8" s="33">
        <f>$C$28*'E Balans VL '!I13/100/3.6*1000000</f>
        <v>832.66083020974884</v>
      </c>
      <c r="F8" s="33">
        <f>$C$28*('E Balans VL '!L13+'E Balans VL '!N13)/100/3.6*1000000</f>
        <v>2968.2649096518535</v>
      </c>
      <c r="G8" s="34"/>
      <c r="H8" s="33"/>
      <c r="I8" s="33"/>
      <c r="J8" s="33">
        <f>$C$28*('E Balans VL '!D13+'E Balans VL '!E13)/100/3.6*1000000</f>
        <v>0</v>
      </c>
      <c r="K8" s="33"/>
      <c r="L8" s="33"/>
      <c r="M8" s="33"/>
      <c r="N8" s="33">
        <f>$C$28*'E Balans VL '!Y13/100/3.6*1000000</f>
        <v>40.737878726436875</v>
      </c>
      <c r="O8" s="33"/>
      <c r="P8" s="33"/>
      <c r="R8" s="32"/>
    </row>
    <row r="9" spans="1:18">
      <c r="A9" s="32" t="s">
        <v>50</v>
      </c>
      <c r="B9" s="37">
        <f t="shared" si="0"/>
        <v>965.05698851262503</v>
      </c>
      <c r="C9" s="33"/>
      <c r="D9" s="37">
        <f>IF(ISERROR(TER_gezond_gas_kWh/1000),0,TER_gezond_gas_kWh/1000)*0.902</f>
        <v>1783.6938909851019</v>
      </c>
      <c r="E9" s="33">
        <f>$C$29*'E Balans VL '!I10/100/3.6*1000000</f>
        <v>1.9278867547146483</v>
      </c>
      <c r="F9" s="33">
        <f>$C$29*('E Balans VL '!L10+'E Balans VL '!N10)/100/3.6*1000000</f>
        <v>84.55835029578715</v>
      </c>
      <c r="G9" s="34"/>
      <c r="H9" s="33"/>
      <c r="I9" s="33"/>
      <c r="J9" s="33">
        <f>$C$29*('E Balans VL '!D10+'E Balans VL '!E10)/100/3.6*1000000</f>
        <v>0</v>
      </c>
      <c r="K9" s="33"/>
      <c r="L9" s="33"/>
      <c r="M9" s="33"/>
      <c r="N9" s="33">
        <f>$C$29*'E Balans VL '!Y10/100/3.6*1000000</f>
        <v>14.597874145906941</v>
      </c>
      <c r="O9" s="33"/>
      <c r="P9" s="33"/>
      <c r="R9" s="32"/>
    </row>
    <row r="10" spans="1:18">
      <c r="A10" s="32" t="s">
        <v>49</v>
      </c>
      <c r="B10" s="37">
        <f t="shared" si="0"/>
        <v>3991.6517547818398</v>
      </c>
      <c r="C10" s="33"/>
      <c r="D10" s="37">
        <f>IF(ISERROR(TER_ander_gas_kWh/1000),0,TER_ander_gas_kWh/1000)*0.902</f>
        <v>7048.3317413050909</v>
      </c>
      <c r="E10" s="33">
        <f>$C$30*'E Balans VL '!I14/100/3.6*1000000</f>
        <v>56.232740950132033</v>
      </c>
      <c r="F10" s="33">
        <f>$C$30*('E Balans VL '!L14+'E Balans VL '!N14)/100/3.6*1000000</f>
        <v>2421.3871308575535</v>
      </c>
      <c r="G10" s="34"/>
      <c r="H10" s="33"/>
      <c r="I10" s="33"/>
      <c r="J10" s="33">
        <f>$C$30*('E Balans VL '!D14+'E Balans VL '!E14)/100/3.6*1000000</f>
        <v>4.3820662815530209E-2</v>
      </c>
      <c r="K10" s="33"/>
      <c r="L10" s="33"/>
      <c r="M10" s="33"/>
      <c r="N10" s="33">
        <f>$C$30*'E Balans VL '!Y14/100/3.6*1000000</f>
        <v>1688.1942508483644</v>
      </c>
      <c r="O10" s="33"/>
      <c r="P10" s="33"/>
      <c r="R10" s="32"/>
    </row>
    <row r="11" spans="1:18">
      <c r="A11" s="32" t="s">
        <v>54</v>
      </c>
      <c r="B11" s="37">
        <f t="shared" si="0"/>
        <v>2118.51150395062</v>
      </c>
      <c r="C11" s="33"/>
      <c r="D11" s="37">
        <f>IF(ISERROR(TER_onderwijs_gas_kWh/1000),0,TER_onderwijs_gas_kWh/1000)*0.902</f>
        <v>5393.4504754544432</v>
      </c>
      <c r="E11" s="33">
        <f>$C$31*'E Balans VL '!I11/100/3.6*1000000</f>
        <v>55.294191571871991</v>
      </c>
      <c r="F11" s="33">
        <f>$C$31*('E Balans VL '!L11+'E Balans VL '!N11)/100/3.6*1000000</f>
        <v>260.70064255557634</v>
      </c>
      <c r="G11" s="34"/>
      <c r="H11" s="33"/>
      <c r="I11" s="33"/>
      <c r="J11" s="33">
        <f>$C$31*('E Balans VL '!D11+'E Balans VL '!E11)/100/3.6*1000000</f>
        <v>0</v>
      </c>
      <c r="K11" s="33"/>
      <c r="L11" s="33"/>
      <c r="M11" s="33"/>
      <c r="N11" s="33">
        <f>$C$31*'E Balans VL '!Y11/100/3.6*1000000</f>
        <v>6.7087009160347693</v>
      </c>
      <c r="O11" s="33"/>
      <c r="P11" s="33"/>
      <c r="R11" s="32"/>
    </row>
    <row r="12" spans="1:18">
      <c r="A12" s="32" t="s">
        <v>248</v>
      </c>
      <c r="B12" s="37">
        <f t="shared" si="0"/>
        <v>18082.043794364603</v>
      </c>
      <c r="C12" s="33"/>
      <c r="D12" s="37">
        <f>IF(ISERROR(TER_rest_gas_kWh/1000),0,TER_rest_gas_kWh/1000)*0.902</f>
        <v>16349.181792960198</v>
      </c>
      <c r="E12" s="33">
        <f>$C$32*'E Balans VL '!I8/100/3.6*1000000</f>
        <v>233.78549481893506</v>
      </c>
      <c r="F12" s="33">
        <f>$C$32*('E Balans VL '!L8+'E Balans VL '!N8)/100/3.6*1000000</f>
        <v>3709.6406612183387</v>
      </c>
      <c r="G12" s="34"/>
      <c r="H12" s="33"/>
      <c r="I12" s="33"/>
      <c r="J12" s="33">
        <f>$C$32*('E Balans VL '!D8+'E Balans VL '!E8)/100/3.6*1000000</f>
        <v>3.6817120943879192E-2</v>
      </c>
      <c r="K12" s="33"/>
      <c r="L12" s="33"/>
      <c r="M12" s="33"/>
      <c r="N12" s="33">
        <f>$C$32*'E Balans VL '!Y8/100/3.6*1000000</f>
        <v>1476.8311911895714</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74010.987581430672</v>
      </c>
      <c r="C16" s="21">
        <f t="shared" ca="1" si="1"/>
        <v>0</v>
      </c>
      <c r="D16" s="21">
        <f t="shared" ca="1" si="1"/>
        <v>116278.55149477343</v>
      </c>
      <c r="E16" s="21">
        <f t="shared" si="1"/>
        <v>1241.6118302554121</v>
      </c>
      <c r="F16" s="21">
        <f t="shared" ca="1" si="1"/>
        <v>11907.57525433831</v>
      </c>
      <c r="G16" s="21">
        <f t="shared" si="1"/>
        <v>0</v>
      </c>
      <c r="H16" s="21">
        <f t="shared" si="1"/>
        <v>0</v>
      </c>
      <c r="I16" s="21">
        <f t="shared" si="1"/>
        <v>0</v>
      </c>
      <c r="J16" s="21">
        <f t="shared" si="1"/>
        <v>8.0637783759409401E-2</v>
      </c>
      <c r="K16" s="21">
        <f t="shared" si="1"/>
        <v>0</v>
      </c>
      <c r="L16" s="21">
        <f t="shared" ca="1" si="1"/>
        <v>0</v>
      </c>
      <c r="M16" s="21">
        <f t="shared" si="1"/>
        <v>0</v>
      </c>
      <c r="N16" s="21">
        <f t="shared" ca="1" si="1"/>
        <v>3300.8056450156619</v>
      </c>
      <c r="O16" s="21">
        <f>O5</f>
        <v>10.943333333333335</v>
      </c>
      <c r="P16" s="21">
        <f>P5</f>
        <v>286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0.19637557693252558</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14533.950385649434</v>
      </c>
      <c r="C20" s="23">
        <f t="shared" ref="C20:P20" ca="1" si="2">C16*C18</f>
        <v>0</v>
      </c>
      <c r="D20" s="23">
        <f t="shared" ca="1" si="2"/>
        <v>23488.267401944235</v>
      </c>
      <c r="E20" s="23">
        <f t="shared" si="2"/>
        <v>281.84588546797858</v>
      </c>
      <c r="F20" s="23">
        <f t="shared" ca="1" si="2"/>
        <v>3179.3225929083287</v>
      </c>
      <c r="G20" s="23">
        <f t="shared" si="2"/>
        <v>0</v>
      </c>
      <c r="H20" s="23">
        <f t="shared" si="2"/>
        <v>0</v>
      </c>
      <c r="I20" s="23">
        <f t="shared" si="2"/>
        <v>0</v>
      </c>
      <c r="J20" s="23">
        <f t="shared" si="2"/>
        <v>2.8545775450830927E-2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13980.4628110801</v>
      </c>
      <c r="C26" s="39">
        <f>IF(ISERROR(B26*3.6/1000000/'E Balans VL '!Z12*100),0,B26*3.6/1000000/'E Balans VL '!Z12*100)</f>
        <v>0.37902236159267211</v>
      </c>
      <c r="D26" s="232" t="s">
        <v>700</v>
      </c>
      <c r="F26" s="6"/>
    </row>
    <row r="27" spans="1:18">
      <c r="A27" s="227" t="s">
        <v>52</v>
      </c>
      <c r="B27" s="33">
        <f>IF(ISERROR(TER_horeca_ele_kWh/1000),0,TER_horeca_ele_kWh/1000)</f>
        <v>5361.3560614790895</v>
      </c>
      <c r="C27" s="39">
        <f>IF(ISERROR(B27*3.6/1000000/'E Balans VL '!Z9*100),0,B27*3.6/1000000/'E Balans VL '!Z9*100)</f>
        <v>0.41470651531303243</v>
      </c>
      <c r="D27" s="232" t="s">
        <v>700</v>
      </c>
      <c r="F27" s="6"/>
    </row>
    <row r="28" spans="1:18">
      <c r="A28" s="167" t="s">
        <v>51</v>
      </c>
      <c r="B28" s="33">
        <f>IF(ISERROR(TER_handel_ele_kWh/1000),0,TER_handel_ele_kWh/1000)</f>
        <v>29511.904667261802</v>
      </c>
      <c r="C28" s="39">
        <f>IF(ISERROR(B28*3.6/1000000/'E Balans VL '!Z13*100),0,B28*3.6/1000000/'E Balans VL '!Z13*100)</f>
        <v>0.85356060980382054</v>
      </c>
      <c r="D28" s="232" t="s">
        <v>700</v>
      </c>
      <c r="F28" s="6"/>
    </row>
    <row r="29" spans="1:18">
      <c r="A29" s="227" t="s">
        <v>50</v>
      </c>
      <c r="B29" s="33">
        <f>IF(ISERROR(TER_gezond_ele_kWh/1000),0,TER_gezond_ele_kWh/1000)</f>
        <v>965.05698851262503</v>
      </c>
      <c r="C29" s="39">
        <f>IF(ISERROR(B29*3.6/1000000/'E Balans VL '!Z10*100),0,B29*3.6/1000000/'E Balans VL '!Z10*100)</f>
        <v>9.9391405516801229E-2</v>
      </c>
      <c r="D29" s="232" t="s">
        <v>700</v>
      </c>
      <c r="F29" s="6"/>
    </row>
    <row r="30" spans="1:18">
      <c r="A30" s="227" t="s">
        <v>49</v>
      </c>
      <c r="B30" s="33">
        <f>IF(ISERROR(TER_ander_ele_kWh/1000),0,TER_ander_ele_kWh/1000)</f>
        <v>3991.6517547818398</v>
      </c>
      <c r="C30" s="39">
        <f>IF(ISERROR(B30*3.6/1000000/'E Balans VL '!Z14*100),0,B30*3.6/1000000/'E Balans VL '!Z14*100)</f>
        <v>0.17947029139466295</v>
      </c>
      <c r="D30" s="232" t="s">
        <v>700</v>
      </c>
      <c r="F30" s="6"/>
    </row>
    <row r="31" spans="1:18">
      <c r="A31" s="227" t="s">
        <v>54</v>
      </c>
      <c r="B31" s="33">
        <f>IF(ISERROR(TER_onderwijs_ele_kWh/1000),0,TER_onderwijs_ele_kWh/1000)</f>
        <v>2118.51150395062</v>
      </c>
      <c r="C31" s="39">
        <f>IF(ISERROR(B31*3.6/1000000/'E Balans VL '!Z11*100),0,B31*3.6/1000000/'E Balans VL '!Z11*100)</f>
        <v>0.59205390257913404</v>
      </c>
      <c r="D31" s="232" t="s">
        <v>700</v>
      </c>
    </row>
    <row r="32" spans="1:18">
      <c r="A32" s="227" t="s">
        <v>248</v>
      </c>
      <c r="B32" s="33">
        <f>IF(ISERROR(TER_rest_ele_kWh/1000),0,TER_rest_ele_kWh/1000)</f>
        <v>18082.043794364603</v>
      </c>
      <c r="C32" s="39">
        <f>IF(ISERROR(B32*3.6/1000000/'E Balans VL '!Z8*100),0,B32*3.6/1000000/'E Balans VL '!Z8*100)</f>
        <v>0.1507868434561605</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7</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15</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233076.29238619894</v>
      </c>
      <c r="C5" s="17">
        <f>IF(ISERROR('Eigen informatie GS &amp; warmtenet'!B59),0,'Eigen informatie GS &amp; warmtenet'!B59)</f>
        <v>0</v>
      </c>
      <c r="D5" s="30">
        <f>SUM(D6:D15)</f>
        <v>220773.40258958581</v>
      </c>
      <c r="E5" s="17">
        <f>SUM(E6:E15)</f>
        <v>7765.0757346357141</v>
      </c>
      <c r="F5" s="17">
        <f>SUM(F6:F15)</f>
        <v>42906.510382016655</v>
      </c>
      <c r="G5" s="18"/>
      <c r="H5" s="17"/>
      <c r="I5" s="17"/>
      <c r="J5" s="17">
        <f>SUM(J6:J15)</f>
        <v>480.48906459982021</v>
      </c>
      <c r="K5" s="17"/>
      <c r="L5" s="17"/>
      <c r="M5" s="17"/>
      <c r="N5" s="17">
        <f>SUM(N6:N15)</f>
        <v>4627.8732084776893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6296.0566552469299</v>
      </c>
      <c r="C8" s="33"/>
      <c r="D8" s="37">
        <f>IF( ISERROR(IND_metaal_Gas_kWH/1000),0,IND_metaal_Gas_kWH/1000)*0.902</f>
        <v>8924.7450392404462</v>
      </c>
      <c r="E8" s="33">
        <f>C30*'E Balans VL '!I18/100/3.6*1000000</f>
        <v>57.138643153571905</v>
      </c>
      <c r="F8" s="33">
        <f>C30*'E Balans VL '!L18/100/3.6*1000000+C30*'E Balans VL '!N18/100/3.6*1000000</f>
        <v>579.5021737081089</v>
      </c>
      <c r="G8" s="34"/>
      <c r="H8" s="33"/>
      <c r="I8" s="33"/>
      <c r="J8" s="40">
        <f>C30*'E Balans VL '!D18/100/3.6*1000000+C30*'E Balans VL '!E18/100/3.6*1000000</f>
        <v>0</v>
      </c>
      <c r="K8" s="33"/>
      <c r="L8" s="33"/>
      <c r="M8" s="33"/>
      <c r="N8" s="33">
        <f>C30*'E Balans VL '!Y18/100/3.6*1000000</f>
        <v>91.917469103231213</v>
      </c>
      <c r="O8" s="33"/>
      <c r="P8" s="33"/>
      <c r="R8" s="32"/>
    </row>
    <row r="9" spans="1:18">
      <c r="A9" s="6" t="s">
        <v>32</v>
      </c>
      <c r="B9" s="37">
        <f t="shared" si="0"/>
        <v>16220.253522188099</v>
      </c>
      <c r="C9" s="33"/>
      <c r="D9" s="37">
        <f>IF( ISERROR(IND_andere_gas_kWh/1000),0,IND_andere_gas_kWh/1000)*0.902</f>
        <v>8132.8081223321333</v>
      </c>
      <c r="E9" s="33">
        <f>C31*'E Balans VL '!I19/100/3.6*1000000</f>
        <v>94.146017159777557</v>
      </c>
      <c r="F9" s="33">
        <f>C31*'E Balans VL '!L19/100/3.6*1000000+C31*'E Balans VL '!N19/100/3.6*1000000</f>
        <v>10697.075064794506</v>
      </c>
      <c r="G9" s="34"/>
      <c r="H9" s="33"/>
      <c r="I9" s="33"/>
      <c r="J9" s="40">
        <f>C31*'E Balans VL '!D19/100/3.6*1000000+C31*'E Balans VL '!E19/100/3.6*1000000</f>
        <v>0</v>
      </c>
      <c r="K9" s="33"/>
      <c r="L9" s="33"/>
      <c r="M9" s="33"/>
      <c r="N9" s="33">
        <f>C31*'E Balans VL '!Y19/100/3.6*1000000</f>
        <v>751.17404020890297</v>
      </c>
      <c r="O9" s="33"/>
      <c r="P9" s="33"/>
      <c r="R9" s="32"/>
    </row>
    <row r="10" spans="1:18">
      <c r="A10" s="6" t="s">
        <v>40</v>
      </c>
      <c r="B10" s="37">
        <f t="shared" si="0"/>
        <v>932.29492108014995</v>
      </c>
      <c r="C10" s="33"/>
      <c r="D10" s="37">
        <f>IF( ISERROR(IND_voed_gas_kWh/1000),0,IND_voed_gas_kWh/1000)*0.902</f>
        <v>907.05476204282945</v>
      </c>
      <c r="E10" s="33">
        <f>C32*'E Balans VL '!I20/100/3.6*1000000</f>
        <v>1.9757504022221932</v>
      </c>
      <c r="F10" s="33">
        <f>C32*'E Balans VL '!L20/100/3.6*1000000+C32*'E Balans VL '!N20/100/3.6*1000000</f>
        <v>59.251193392674587</v>
      </c>
      <c r="G10" s="34"/>
      <c r="H10" s="33"/>
      <c r="I10" s="33"/>
      <c r="J10" s="40">
        <f>C32*'E Balans VL '!D20/100/3.6*1000000+C32*'E Balans VL '!E20/100/3.6*1000000</f>
        <v>0</v>
      </c>
      <c r="K10" s="33"/>
      <c r="L10" s="33"/>
      <c r="M10" s="33"/>
      <c r="N10" s="33">
        <f>C32*'E Balans VL '!Y20/100/3.6*1000000</f>
        <v>27.026197164049364</v>
      </c>
      <c r="O10" s="33"/>
      <c r="P10" s="33"/>
      <c r="R10" s="32"/>
    </row>
    <row r="11" spans="1:18">
      <c r="A11" s="6" t="s">
        <v>39</v>
      </c>
      <c r="B11" s="37">
        <f t="shared" si="0"/>
        <v>71385.392291144395</v>
      </c>
      <c r="C11" s="33"/>
      <c r="D11" s="37">
        <f>IF( ISERROR(IND_textiel_gas_kWh/1000),0,IND_textiel_gas_kWh/1000)*0.902</f>
        <v>16090.373515820871</v>
      </c>
      <c r="E11" s="33">
        <f>C33*'E Balans VL '!I21/100/3.6*1000000</f>
        <v>223.46565656927208</v>
      </c>
      <c r="F11" s="33">
        <f>C33*'E Balans VL '!L21/100/3.6*1000000+C33*'E Balans VL '!N21/100/3.6*1000000</f>
        <v>7296.7627118676519</v>
      </c>
      <c r="G11" s="34"/>
      <c r="H11" s="33"/>
      <c r="I11" s="33"/>
      <c r="J11" s="40">
        <f>C33*'E Balans VL '!D21/100/3.6*1000000+C33*'E Balans VL '!E21/100/3.6*1000000</f>
        <v>0</v>
      </c>
      <c r="K11" s="33"/>
      <c r="L11" s="33"/>
      <c r="M11" s="33"/>
      <c r="N11" s="33">
        <f>C33*'E Balans VL '!Y21/100/3.6*1000000</f>
        <v>9.8555987881582539</v>
      </c>
      <c r="O11" s="33"/>
      <c r="P11" s="33"/>
      <c r="R11" s="32"/>
    </row>
    <row r="12" spans="1:18">
      <c r="A12" s="6" t="s">
        <v>36</v>
      </c>
      <c r="B12" s="37">
        <f t="shared" si="0"/>
        <v>1384.8835192900501</v>
      </c>
      <c r="C12" s="33"/>
      <c r="D12" s="37">
        <f>IF( ISERROR(IND_min_gas_kWh/1000),0,IND_min_gas_kWh/1000)*0.902</f>
        <v>0</v>
      </c>
      <c r="E12" s="33">
        <f>C34*'E Balans VL '!I22/100/3.6*1000000</f>
        <v>33.753783510215257</v>
      </c>
      <c r="F12" s="33">
        <f>C34*'E Balans VL '!L22/100/3.6*1000000+C34*'E Balans VL '!N22/100/3.6*1000000</f>
        <v>390.66281833509146</v>
      </c>
      <c r="G12" s="34"/>
      <c r="H12" s="33"/>
      <c r="I12" s="33"/>
      <c r="J12" s="40">
        <f>C34*'E Balans VL '!D22/100/3.6*1000000+C34*'E Balans VL '!E22/100/3.6*1000000</f>
        <v>2.3676815449395394</v>
      </c>
      <c r="K12" s="33"/>
      <c r="L12" s="33"/>
      <c r="M12" s="33"/>
      <c r="N12" s="33">
        <f>C34*'E Balans VL '!Y22/100/3.6*1000000</f>
        <v>315.41652442843076</v>
      </c>
      <c r="O12" s="33"/>
      <c r="P12" s="33"/>
      <c r="R12" s="32"/>
    </row>
    <row r="13" spans="1:18">
      <c r="A13" s="6" t="s">
        <v>38</v>
      </c>
      <c r="B13" s="37">
        <f t="shared" si="0"/>
        <v>1081.31360232666</v>
      </c>
      <c r="C13" s="33"/>
      <c r="D13" s="37">
        <f>IF( ISERROR(IND_papier_gas_kWh/1000),0,IND_papier_gas_kWh/1000)*0.902</f>
        <v>0</v>
      </c>
      <c r="E13" s="33">
        <f>C35*'E Balans VL '!I23/100/3.6*1000000</f>
        <v>1.596088221086402</v>
      </c>
      <c r="F13" s="33">
        <f>C35*'E Balans VL '!L23/100/3.6*1000000+C35*'E Balans VL '!N23/100/3.6*1000000</f>
        <v>28.002757923032252</v>
      </c>
      <c r="G13" s="34"/>
      <c r="H13" s="33"/>
      <c r="I13" s="33"/>
      <c r="J13" s="40">
        <f>C35*'E Balans VL '!D23/100/3.6*1000000+C35*'E Balans VL '!E23/100/3.6*1000000</f>
        <v>0.17398859708501499</v>
      </c>
      <c r="K13" s="33"/>
      <c r="L13" s="33"/>
      <c r="M13" s="33"/>
      <c r="N13" s="33">
        <f>C35*'E Balans VL '!Y23/100/3.6*1000000</f>
        <v>-49.109985450648367</v>
      </c>
      <c r="O13" s="33"/>
      <c r="P13" s="33"/>
      <c r="R13" s="32"/>
    </row>
    <row r="14" spans="1:18">
      <c r="A14" s="6" t="s">
        <v>33</v>
      </c>
      <c r="B14" s="37">
        <f t="shared" si="0"/>
        <v>56.745923247686001</v>
      </c>
      <c r="C14" s="33"/>
      <c r="D14" s="37">
        <f>IF( ISERROR(IND_chemie_gas_kWh/1000),0,IND_chemie_gas_kWh/1000)*0.902</f>
        <v>194.06494603428894</v>
      </c>
      <c r="E14" s="33">
        <f>C36*'E Balans VL '!I24/100/3.6*1000000</f>
        <v>10.607598080302566</v>
      </c>
      <c r="F14" s="33">
        <f>C36*'E Balans VL '!L24/100/3.6*1000000+C36*'E Balans VL '!N24/100/3.6*1000000</f>
        <v>0.58610012224588648</v>
      </c>
      <c r="G14" s="34"/>
      <c r="H14" s="33"/>
      <c r="I14" s="33"/>
      <c r="J14" s="40">
        <f>C36*'E Balans VL '!D24/100/3.6*1000000+C36*'E Balans VL '!E24/100/3.6*1000000</f>
        <v>0</v>
      </c>
      <c r="K14" s="33"/>
      <c r="L14" s="33"/>
      <c r="M14" s="33"/>
      <c r="N14" s="33">
        <f>C36*'E Balans VL '!Y24/100/3.6*1000000</f>
        <v>3.2257118461565738E-2</v>
      </c>
      <c r="O14" s="33"/>
      <c r="P14" s="33"/>
      <c r="R14" s="32"/>
    </row>
    <row r="15" spans="1:18">
      <c r="A15" s="6" t="s">
        <v>258</v>
      </c>
      <c r="B15" s="37">
        <f t="shared" si="0"/>
        <v>135719.35195167499</v>
      </c>
      <c r="C15" s="33"/>
      <c r="D15" s="37">
        <f>IF( ISERROR(IND_rest_gas_kWh/1000),0,IND_rest_gas_kWh/1000)*0.902</f>
        <v>186524.35620411523</v>
      </c>
      <c r="E15" s="33">
        <f>C37*'E Balans VL '!I15/100/3.6*1000000</f>
        <v>7342.3921975392659</v>
      </c>
      <c r="F15" s="33">
        <f>C37*'E Balans VL '!L15/100/3.6*1000000+C37*'E Balans VL '!N15/100/3.6*1000000</f>
        <v>23854.667561873342</v>
      </c>
      <c r="G15" s="34"/>
      <c r="H15" s="33"/>
      <c r="I15" s="33"/>
      <c r="J15" s="40">
        <f>C37*'E Balans VL '!D15/100/3.6*1000000+C37*'E Balans VL '!E15/100/3.6*1000000</f>
        <v>477.94739445779567</v>
      </c>
      <c r="K15" s="33"/>
      <c r="L15" s="33"/>
      <c r="M15" s="33"/>
      <c r="N15" s="33">
        <f>C37*'E Balans VL '!Y15/100/3.6*1000000</f>
        <v>3481.5611071171038</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233076.29238619894</v>
      </c>
      <c r="C18" s="21">
        <f>C5+C16</f>
        <v>0</v>
      </c>
      <c r="D18" s="21">
        <f>MAX((D5+D16),0)</f>
        <v>220773.40258958581</v>
      </c>
      <c r="E18" s="21">
        <f>MAX((E5+E16),0)</f>
        <v>7765.0757346357141</v>
      </c>
      <c r="F18" s="21">
        <f>MAX((F5+F16),0)</f>
        <v>42906.510382016655</v>
      </c>
      <c r="G18" s="21"/>
      <c r="H18" s="21"/>
      <c r="I18" s="21"/>
      <c r="J18" s="21">
        <f>MAX((J5+J16),0)</f>
        <v>480.48906459982021</v>
      </c>
      <c r="K18" s="21"/>
      <c r="L18" s="21">
        <f>MAX((L5+L16),0)</f>
        <v>0</v>
      </c>
      <c r="M18" s="21"/>
      <c r="N18" s="21">
        <f>MAX((N5+N16),0)</f>
        <v>4627.8732084776893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0.19637557693252558</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45770.491386633839</v>
      </c>
      <c r="C22" s="23">
        <f ca="1">C18*C20</f>
        <v>0</v>
      </c>
      <c r="D22" s="23">
        <f>D18*D20</f>
        <v>44596.227323096333</v>
      </c>
      <c r="E22" s="23">
        <f>E18*E20</f>
        <v>1762.6721917623072</v>
      </c>
      <c r="F22" s="23">
        <f>F18*F20</f>
        <v>11456.038271998448</v>
      </c>
      <c r="G22" s="23"/>
      <c r="H22" s="23"/>
      <c r="I22" s="23"/>
      <c r="J22" s="23">
        <f>J18*J20</f>
        <v>170.09312886833635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6296.0566552469299</v>
      </c>
      <c r="C30" s="39">
        <f>IF(ISERROR(B30*3.6/1000000/'E Balans VL '!Z18*100),0,B30*3.6/1000000/'E Balans VL '!Z18*100)</f>
        <v>0.36513110839955482</v>
      </c>
      <c r="D30" s="232" t="s">
        <v>700</v>
      </c>
    </row>
    <row r="31" spans="1:18">
      <c r="A31" s="6" t="s">
        <v>32</v>
      </c>
      <c r="B31" s="37">
        <f>IF( ISERROR(IND_ander_ele_kWh/1000),0,IND_ander_ele_kWh/1000)</f>
        <v>16220.253522188099</v>
      </c>
      <c r="C31" s="39">
        <f>IF(ISERROR(B31*3.6/1000000/'E Balans VL '!Z19*100),0,B31*3.6/1000000/'E Balans VL '!Z19*100)</f>
        <v>0.67741882524178143</v>
      </c>
      <c r="D31" s="232" t="s">
        <v>700</v>
      </c>
    </row>
    <row r="32" spans="1:18">
      <c r="A32" s="167" t="s">
        <v>40</v>
      </c>
      <c r="B32" s="37">
        <f>IF( ISERROR(IND_voed_ele_kWh/1000),0,IND_voed_ele_kWh/1000)</f>
        <v>932.29492108014995</v>
      </c>
      <c r="C32" s="39">
        <f>IF(ISERROR(B32*3.6/1000000/'E Balans VL '!Z20*100),0,B32*3.6/1000000/'E Balans VL '!Z20*100)</f>
        <v>2.8916115106457817E-2</v>
      </c>
      <c r="D32" s="232" t="s">
        <v>700</v>
      </c>
    </row>
    <row r="33" spans="1:5">
      <c r="A33" s="167" t="s">
        <v>39</v>
      </c>
      <c r="B33" s="37">
        <f>IF( ISERROR(IND_textiel_ele_kWh/1000),0,IND_textiel_ele_kWh/1000)</f>
        <v>71385.392291144395</v>
      </c>
      <c r="C33" s="39">
        <f>IF(ISERROR(B33*3.6/1000000/'E Balans VL '!Z21*100),0,B33*3.6/1000000/'E Balans VL '!Z21*100)</f>
        <v>9.8940757494059444</v>
      </c>
      <c r="D33" s="232" t="s">
        <v>700</v>
      </c>
    </row>
    <row r="34" spans="1:5">
      <c r="A34" s="167" t="s">
        <v>36</v>
      </c>
      <c r="B34" s="37">
        <f>IF( ISERROR(IND_min_ele_kWh/1000),0,IND_min_ele_kWh/1000)</f>
        <v>1384.8835192900501</v>
      </c>
      <c r="C34" s="39">
        <f>IF(ISERROR(B34*3.6/1000000/'E Balans VL '!Z22*100),0,B34*3.6/1000000/'E Balans VL '!Z22*100)</f>
        <v>0.25915638679788316</v>
      </c>
      <c r="D34" s="232" t="s">
        <v>700</v>
      </c>
    </row>
    <row r="35" spans="1:5">
      <c r="A35" s="167" t="s">
        <v>38</v>
      </c>
      <c r="B35" s="37">
        <f>IF( ISERROR(IND_papier_ele_kWh/1000),0,IND_papier_ele_kWh/1000)</f>
        <v>1081.31360232666</v>
      </c>
      <c r="C35" s="39">
        <f>IF(ISERROR(B35*3.6/1000000/'E Balans VL '!Z22*100),0,B35*3.6/1000000/'E Balans VL '!Z22*100)</f>
        <v>0.20234866129249465</v>
      </c>
      <c r="D35" s="232" t="s">
        <v>700</v>
      </c>
    </row>
    <row r="36" spans="1:5">
      <c r="A36" s="167" t="s">
        <v>33</v>
      </c>
      <c r="B36" s="37">
        <f>IF( ISERROR(IND_chemie_ele_kWh/1000),0,IND_chemie_ele_kWh/1000)</f>
        <v>56.745923247686001</v>
      </c>
      <c r="C36" s="39">
        <f>IF(ISERROR(B36*3.6/1000000/'E Balans VL '!Z24*100),0,B36*3.6/1000000/'E Balans VL '!Z24*100)</f>
        <v>1.6584636741164883E-3</v>
      </c>
      <c r="D36" s="232" t="s">
        <v>700</v>
      </c>
    </row>
    <row r="37" spans="1:5">
      <c r="A37" s="167" t="s">
        <v>258</v>
      </c>
      <c r="B37" s="37">
        <f>IF( ISERROR(IND_rest_ele_kWh/1000),0,IND_rest_ele_kWh/1000)</f>
        <v>135719.35195167499</v>
      </c>
      <c r="C37" s="39">
        <f>IF(ISERROR(B37*3.6/1000000/'E Balans VL '!Z15*100),0,B37*3.6/1000000/'E Balans VL '!Z15*100)</f>
        <v>1.0581955861888168</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1499.5038647821777</v>
      </c>
      <c r="C5" s="17">
        <f>'Eigen informatie GS &amp; warmtenet'!B60</f>
        <v>0</v>
      </c>
      <c r="D5" s="30">
        <f>IF(ISERROR(SUM(LB_lb_gas_kWh,LB_rest_gas_kWh)/1000),0,SUM(LB_lb_gas_kWh,LB_rest_gas_kWh)/1000)*0.902</f>
        <v>1677.7303490661623</v>
      </c>
      <c r="E5" s="17">
        <f>B17*'E Balans VL '!I25/3.6*1000000/100</f>
        <v>48.66382967790225</v>
      </c>
      <c r="F5" s="17">
        <f>B17*('E Balans VL '!L25/3.6*1000000+'E Balans VL '!N25/3.6*1000000)/100</f>
        <v>5531.9607313244805</v>
      </c>
      <c r="G5" s="18"/>
      <c r="H5" s="17"/>
      <c r="I5" s="17"/>
      <c r="J5" s="17">
        <f>('E Balans VL '!D25+'E Balans VL '!E25)/3.6*1000000*landbouw!B17/100</f>
        <v>394.35401355551153</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1499.5038647821777</v>
      </c>
      <c r="C8" s="21">
        <f>C5+C6</f>
        <v>0</v>
      </c>
      <c r="D8" s="21">
        <f>MAX((D5+D6),0)</f>
        <v>1677.7303490661623</v>
      </c>
      <c r="E8" s="21">
        <f>MAX((E5+E6),0)</f>
        <v>48.66382967790225</v>
      </c>
      <c r="F8" s="21">
        <f>MAX((F5+F6),0)</f>
        <v>5531.9607313244805</v>
      </c>
      <c r="G8" s="21"/>
      <c r="H8" s="21"/>
      <c r="I8" s="21"/>
      <c r="J8" s="21">
        <f>MAX((J5+J6),0)</f>
        <v>394.35401355551153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0.19637557693252558</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294.465936559152</v>
      </c>
      <c r="C12" s="23">
        <f ca="1">C8*C10</f>
        <v>0</v>
      </c>
      <c r="D12" s="23">
        <f>D8*D10</f>
        <v>338.9015305113648</v>
      </c>
      <c r="E12" s="23">
        <f>E8*E10</f>
        <v>11.04668933688381</v>
      </c>
      <c r="F12" s="23">
        <f>F8*F10</f>
        <v>1477.0335152636364</v>
      </c>
      <c r="G12" s="23"/>
      <c r="H12" s="23"/>
      <c r="I12" s="23"/>
      <c r="J12" s="23">
        <f>J8*J10</f>
        <v>139.60132079865107</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0.21278430296249265</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222.70418989291301</v>
      </c>
      <c r="C26" s="242">
        <f>B26*'GWP N2O_CH4'!B5</f>
        <v>4676.7879877511732</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55.911147028155277</v>
      </c>
      <c r="C27" s="242">
        <f>B27*'GWP N2O_CH4'!B5</f>
        <v>1174.1340875912608</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3.1772989962926883</v>
      </c>
      <c r="C28" s="242">
        <f>B28*'GWP N2O_CH4'!B4</f>
        <v>984.96268885073334</v>
      </c>
      <c r="D28" s="50"/>
    </row>
    <row r="29" spans="1:4">
      <c r="A29" s="41" t="s">
        <v>265</v>
      </c>
      <c r="B29" s="242">
        <f>B34*'ha_N2O bodem landbouw'!B4</f>
        <v>10.755531042879172</v>
      </c>
      <c r="C29" s="242">
        <f>B29*'GWP N2O_CH4'!B4</f>
        <v>3334.2146232925434</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2.4543751187761304E-3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6.5624294564373793E-4</v>
      </c>
      <c r="C5" s="427" t="s">
        <v>204</v>
      </c>
      <c r="D5" s="412">
        <f>SUM(D6:D11)</f>
        <v>9.8275888167669023E-4</v>
      </c>
      <c r="E5" s="412">
        <f>SUM(E6:E11)</f>
        <v>1.9219259827977266E-3</v>
      </c>
      <c r="F5" s="425" t="s">
        <v>204</v>
      </c>
      <c r="G5" s="412">
        <f>SUM(G6:G11)</f>
        <v>1.0942914797315391</v>
      </c>
      <c r="H5" s="412">
        <f>SUM(H6:H11)</f>
        <v>0.174443811681916</v>
      </c>
      <c r="I5" s="427" t="s">
        <v>204</v>
      </c>
      <c r="J5" s="427" t="s">
        <v>204</v>
      </c>
      <c r="K5" s="427" t="s">
        <v>204</v>
      </c>
      <c r="L5" s="427" t="s">
        <v>204</v>
      </c>
      <c r="M5" s="412">
        <f>SUM(M6:M11)</f>
        <v>6.9070031299073367E-2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1.5295459878326046E-4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2.5844150029314208E-4</v>
      </c>
      <c r="E6" s="818">
        <f>vkm_GW_PW*SUMIFS(TableVerdeelsleutelVkm[LPG],TableVerdeelsleutelVkm[Voertuigtype],"Lichte voertuigen")*SUMIFS(TableECFTransport[EnergieConsumptieFactor (PJ per km)],TableECFTransport[Index],CONCATENATE($A6,"_LPG_LPG"))</f>
        <v>4.4924899972337371E-4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0.13606560749288574</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4.4808900736707243E-2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9.2689073146573903E-3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2.9081583242194844E-6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9.3410745558233491E-2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1.8636299758659477E-6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5.4575836104090412E-3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7.5001124034929757E-5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1.6224881417559335E-4</v>
      </c>
      <c r="E8" s="415">
        <f>vkm_NGW_PW*SUMIFS(TableVerdeelsleutelVkm[LPG],TableVerdeelsleutelVkm[Voertuigtype],"Lichte voertuigen")*SUMIFS(TableECFTransport[EnergieConsumptieFactor (PJ per km)],TableECFTransport[Index],CONCATENATE($A8,"_LPG_LPG"))</f>
        <v>2.6925005194505011E-4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7.6159883833052153E-2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2.7481666401755186E-2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5.2587624372985916E-3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6.0678119977444153E-7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2.500690676187348E-2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4.6934284706275709E-7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1.4610439340506801E-3</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4.1058197141038912E-4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5.6206856720795485E-4</v>
      </c>
      <c r="E10" s="415">
        <f>vkm_SW_PW*SUMIFS(TableVerdeelsleutelVkm[LPG],TableVerdeelsleutelVkm[Voertuigtype],"Lichte voertuigen")*SUMIFS(TableECFTransport[EnergieConsumptieFactor (PJ per km)],TableECFTransport[Index],CONCATENATE($A10,"_LPG_LPG"))</f>
        <v>1.2034269311293028E-3</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0.32950994156938884</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0.10214155182553598</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2.2258895162864702E-2</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1.4190311891164643E-5</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0.43413839451610525</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9.359745094669836E-6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2.5364838839792968E-2</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182.28970712326054</v>
      </c>
      <c r="C14" s="21"/>
      <c r="D14" s="21">
        <f t="shared" ref="D14:M14" si="0">((D5)*10^9/3600)+D12</f>
        <v>272.98857824352507</v>
      </c>
      <c r="E14" s="21">
        <f t="shared" si="0"/>
        <v>533.86832855492401</v>
      </c>
      <c r="F14" s="21"/>
      <c r="G14" s="21">
        <f t="shared" si="0"/>
        <v>303969.85548098304</v>
      </c>
      <c r="H14" s="21">
        <f t="shared" si="0"/>
        <v>48456.614356087775</v>
      </c>
      <c r="I14" s="21"/>
      <c r="J14" s="21"/>
      <c r="K14" s="21"/>
      <c r="L14" s="21"/>
      <c r="M14" s="21">
        <f t="shared" si="0"/>
        <v>19186.119805298156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0.19637557693252558</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35.797246405191409</v>
      </c>
      <c r="C18" s="23"/>
      <c r="D18" s="23">
        <f t="shared" ref="D18:M18" si="1">D14*D16</f>
        <v>55.143692805192067</v>
      </c>
      <c r="E18" s="23">
        <f t="shared" si="1"/>
        <v>121.18811058196775</v>
      </c>
      <c r="F18" s="23"/>
      <c r="G18" s="23">
        <f t="shared" si="1"/>
        <v>81159.951413422474</v>
      </c>
      <c r="H18" s="23">
        <f t="shared" si="1"/>
        <v>12065.696974665856</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7.1964958593238008E-5</v>
      </c>
      <c r="C50" s="311">
        <f t="shared" ref="C50:P50" si="2">SUM(C51:C52)</f>
        <v>0</v>
      </c>
      <c r="D50" s="311">
        <f t="shared" si="2"/>
        <v>0</v>
      </c>
      <c r="E50" s="311">
        <f t="shared" si="2"/>
        <v>0</v>
      </c>
      <c r="F50" s="311">
        <f t="shared" si="2"/>
        <v>0</v>
      </c>
      <c r="G50" s="311">
        <f t="shared" si="2"/>
        <v>6.7603936681174927E-3</v>
      </c>
      <c r="H50" s="311">
        <f t="shared" si="2"/>
        <v>0</v>
      </c>
      <c r="I50" s="311">
        <f t="shared" si="2"/>
        <v>0</v>
      </c>
      <c r="J50" s="311">
        <f t="shared" si="2"/>
        <v>0</v>
      </c>
      <c r="K50" s="311">
        <f t="shared" si="2"/>
        <v>0</v>
      </c>
      <c r="L50" s="311">
        <f t="shared" si="2"/>
        <v>0</v>
      </c>
      <c r="M50" s="311">
        <f t="shared" si="2"/>
        <v>3.8931077336939356E-4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7.1964958593238008E-5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6.7603936681174927E-3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3.8931077336939356E-4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19.990266275899447</v>
      </c>
      <c r="C54" s="21">
        <f t="shared" ref="C54:P54" si="3">(C50)*10^9/3600</f>
        <v>0</v>
      </c>
      <c r="D54" s="21">
        <f t="shared" si="3"/>
        <v>0</v>
      </c>
      <c r="E54" s="21">
        <f t="shared" si="3"/>
        <v>0</v>
      </c>
      <c r="F54" s="21">
        <f t="shared" si="3"/>
        <v>0</v>
      </c>
      <c r="G54" s="21">
        <f t="shared" si="3"/>
        <v>1877.8871300326368</v>
      </c>
      <c r="H54" s="21">
        <f t="shared" si="3"/>
        <v>0</v>
      </c>
      <c r="I54" s="21">
        <f t="shared" si="3"/>
        <v>0</v>
      </c>
      <c r="J54" s="21">
        <f t="shared" si="3"/>
        <v>0</v>
      </c>
      <c r="K54" s="21">
        <f t="shared" si="3"/>
        <v>0</v>
      </c>
      <c r="L54" s="21">
        <f t="shared" si="3"/>
        <v>0</v>
      </c>
      <c r="M54" s="21">
        <f t="shared" si="3"/>
        <v>108.14188149149821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0.19637557693252558</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3.9256000729645635</v>
      </c>
      <c r="C58" s="23">
        <f t="shared" ref="C58:P58" ca="1" si="4">C54*C56</f>
        <v>0</v>
      </c>
      <c r="D58" s="23">
        <f t="shared" si="4"/>
        <v>0</v>
      </c>
      <c r="E58" s="23">
        <f t="shared" si="4"/>
        <v>0</v>
      </c>
      <c r="F58" s="23">
        <f t="shared" si="4"/>
        <v>0</v>
      </c>
      <c r="G58" s="23">
        <f t="shared" si="4"/>
        <v>501.39586371871405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6889.7925010185299</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35426.489303632399</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0</v>
      </c>
      <c r="C8" s="534">
        <f>B48</f>
        <v>0</v>
      </c>
      <c r="D8" s="962"/>
      <c r="E8" s="962">
        <f>E48</f>
        <v>0</v>
      </c>
      <c r="F8" s="963"/>
      <c r="G8" s="535"/>
      <c r="H8" s="962">
        <f>I48</f>
        <v>0</v>
      </c>
      <c r="I8" s="962">
        <f>G48+F48</f>
        <v>0</v>
      </c>
      <c r="J8" s="962">
        <f>H48+D48+C48</f>
        <v>0</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42316.281804650927</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0</v>
      </c>
      <c r="C17" s="559">
        <f>B49</f>
        <v>0</v>
      </c>
      <c r="D17" s="560"/>
      <c r="E17" s="560">
        <f>E49</f>
        <v>0</v>
      </c>
      <c r="F17" s="968"/>
      <c r="G17" s="561"/>
      <c r="H17" s="559">
        <f>I49</f>
        <v>0</v>
      </c>
      <c r="I17" s="560">
        <f>G49+F49</f>
        <v>0</v>
      </c>
      <c r="J17" s="560">
        <f>H49+D49+C49</f>
        <v>0</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268</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76869.807581430679</v>
      </c>
      <c r="D10" s="931">
        <f ca="1">tertiair!C16</f>
        <v>0</v>
      </c>
      <c r="E10" s="931">
        <f ca="1">tertiair!D16</f>
        <v>116278.55149477343</v>
      </c>
      <c r="F10" s="931">
        <f>tertiair!E16</f>
        <v>1241.6118302554121</v>
      </c>
      <c r="G10" s="931">
        <f ca="1">tertiair!F16</f>
        <v>11907.57525433831</v>
      </c>
      <c r="H10" s="931">
        <f>tertiair!G16</f>
        <v>0</v>
      </c>
      <c r="I10" s="931">
        <f>tertiair!H16</f>
        <v>0</v>
      </c>
      <c r="J10" s="931">
        <f>tertiair!I16</f>
        <v>0</v>
      </c>
      <c r="K10" s="931">
        <f>tertiair!J16</f>
        <v>8.0637783759409401E-2</v>
      </c>
      <c r="L10" s="931">
        <f>tertiair!K16</f>
        <v>0</v>
      </c>
      <c r="M10" s="931">
        <f ca="1">tertiair!L16</f>
        <v>0</v>
      </c>
      <c r="N10" s="931">
        <f>tertiair!M16</f>
        <v>0</v>
      </c>
      <c r="O10" s="931">
        <f ca="1">tertiair!N16</f>
        <v>3300.8056450156619</v>
      </c>
      <c r="P10" s="931">
        <f>tertiair!O16</f>
        <v>10.943333333333335</v>
      </c>
      <c r="Q10" s="932">
        <f>tertiair!P16</f>
        <v>286</v>
      </c>
      <c r="R10" s="628">
        <f ca="1">SUM(C10:Q10)</f>
        <v>209895.37577693062</v>
      </c>
      <c r="S10" s="67"/>
    </row>
    <row r="11" spans="1:19" s="437" customFormat="1">
      <c r="A11" s="736" t="s">
        <v>213</v>
      </c>
      <c r="B11" s="741"/>
      <c r="C11" s="931">
        <f>huishoudens!B8</f>
        <v>65707.352103625541</v>
      </c>
      <c r="D11" s="931">
        <f>huishoudens!C8</f>
        <v>0</v>
      </c>
      <c r="E11" s="931">
        <f>huishoudens!D8</f>
        <v>132284.04506409442</v>
      </c>
      <c r="F11" s="931">
        <f>huishoudens!E8</f>
        <v>3936.4035743295872</v>
      </c>
      <c r="G11" s="931">
        <f>huishoudens!F8</f>
        <v>91242.772267206368</v>
      </c>
      <c r="H11" s="931">
        <f>huishoudens!G8</f>
        <v>0</v>
      </c>
      <c r="I11" s="931">
        <f>huishoudens!H8</f>
        <v>0</v>
      </c>
      <c r="J11" s="931">
        <f>huishoudens!I8</f>
        <v>0</v>
      </c>
      <c r="K11" s="931">
        <f>huishoudens!J8</f>
        <v>468.90747741250931</v>
      </c>
      <c r="L11" s="931">
        <f>huishoudens!K8</f>
        <v>0</v>
      </c>
      <c r="M11" s="931">
        <f>huishoudens!L8</f>
        <v>0</v>
      </c>
      <c r="N11" s="931">
        <f>huishoudens!M8</f>
        <v>0</v>
      </c>
      <c r="O11" s="931">
        <f>huishoudens!N8</f>
        <v>23036.336090221012</v>
      </c>
      <c r="P11" s="931">
        <f>huishoudens!O8</f>
        <v>698.81000000000006</v>
      </c>
      <c r="Q11" s="932">
        <f>huishoudens!P8</f>
        <v>1334.6666666666667</v>
      </c>
      <c r="R11" s="628">
        <f>SUM(C11:Q11)</f>
        <v>318709.29324355611</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233076.29238619894</v>
      </c>
      <c r="D13" s="931">
        <f>industrie!C18</f>
        <v>0</v>
      </c>
      <c r="E13" s="931">
        <f>industrie!D18</f>
        <v>220773.40258958581</v>
      </c>
      <c r="F13" s="931">
        <f>industrie!E18</f>
        <v>7765.0757346357141</v>
      </c>
      <c r="G13" s="931">
        <f>industrie!F18</f>
        <v>42906.510382016655</v>
      </c>
      <c r="H13" s="931">
        <f>industrie!G18</f>
        <v>0</v>
      </c>
      <c r="I13" s="931">
        <f>industrie!H18</f>
        <v>0</v>
      </c>
      <c r="J13" s="931">
        <f>industrie!I18</f>
        <v>0</v>
      </c>
      <c r="K13" s="931">
        <f>industrie!J18</f>
        <v>480.48906459982021</v>
      </c>
      <c r="L13" s="931">
        <f>industrie!K18</f>
        <v>0</v>
      </c>
      <c r="M13" s="931">
        <f>industrie!L18</f>
        <v>0</v>
      </c>
      <c r="N13" s="931">
        <f>industrie!M18</f>
        <v>0</v>
      </c>
      <c r="O13" s="931">
        <f>industrie!N18</f>
        <v>4627.8732084776893</v>
      </c>
      <c r="P13" s="931">
        <f>industrie!O18</f>
        <v>0</v>
      </c>
      <c r="Q13" s="932">
        <f>industrie!P18</f>
        <v>0</v>
      </c>
      <c r="R13" s="628">
        <f>SUM(C13:Q13)</f>
        <v>509629.64336551458</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375653.45207125519</v>
      </c>
      <c r="D16" s="660">
        <f t="shared" ref="D16:R16" ca="1" si="0">SUM(D9:D15)</f>
        <v>0</v>
      </c>
      <c r="E16" s="660">
        <f t="shared" ca="1" si="0"/>
        <v>469335.99914845364</v>
      </c>
      <c r="F16" s="660">
        <f t="shared" si="0"/>
        <v>12943.091139220713</v>
      </c>
      <c r="G16" s="660">
        <f t="shared" ca="1" si="0"/>
        <v>146056.85790356132</v>
      </c>
      <c r="H16" s="660">
        <f t="shared" si="0"/>
        <v>0</v>
      </c>
      <c r="I16" s="660">
        <f t="shared" si="0"/>
        <v>0</v>
      </c>
      <c r="J16" s="660">
        <f t="shared" si="0"/>
        <v>0</v>
      </c>
      <c r="K16" s="660">
        <f t="shared" si="0"/>
        <v>949.47717979608888</v>
      </c>
      <c r="L16" s="660">
        <f t="shared" si="0"/>
        <v>0</v>
      </c>
      <c r="M16" s="660">
        <f t="shared" ca="1" si="0"/>
        <v>0</v>
      </c>
      <c r="N16" s="660">
        <f t="shared" si="0"/>
        <v>0</v>
      </c>
      <c r="O16" s="660">
        <f t="shared" ca="1" si="0"/>
        <v>30965.014943714363</v>
      </c>
      <c r="P16" s="660">
        <f t="shared" si="0"/>
        <v>709.75333333333344</v>
      </c>
      <c r="Q16" s="660">
        <f t="shared" si="0"/>
        <v>1620.6666666666667</v>
      </c>
      <c r="R16" s="660">
        <f t="shared" ca="1" si="0"/>
        <v>1038234.3123860013</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19.990266275899447</v>
      </c>
      <c r="D19" s="931">
        <f>transport!C54</f>
        <v>0</v>
      </c>
      <c r="E19" s="931">
        <f>transport!D54</f>
        <v>0</v>
      </c>
      <c r="F19" s="931">
        <f>transport!E54</f>
        <v>0</v>
      </c>
      <c r="G19" s="931">
        <f>transport!F54</f>
        <v>0</v>
      </c>
      <c r="H19" s="931">
        <f>transport!G54</f>
        <v>1877.8871300326368</v>
      </c>
      <c r="I19" s="931">
        <f>transport!H54</f>
        <v>0</v>
      </c>
      <c r="J19" s="931">
        <f>transport!I54</f>
        <v>0</v>
      </c>
      <c r="K19" s="931">
        <f>transport!J54</f>
        <v>0</v>
      </c>
      <c r="L19" s="931">
        <f>transport!K54</f>
        <v>0</v>
      </c>
      <c r="M19" s="931">
        <f>transport!L54</f>
        <v>0</v>
      </c>
      <c r="N19" s="931">
        <f>transport!M54</f>
        <v>108.14188149149821</v>
      </c>
      <c r="O19" s="931">
        <f>transport!N54</f>
        <v>0</v>
      </c>
      <c r="P19" s="931">
        <f>transport!O54</f>
        <v>0</v>
      </c>
      <c r="Q19" s="932">
        <f>transport!P54</f>
        <v>0</v>
      </c>
      <c r="R19" s="628">
        <f>SUM(C19:Q19)</f>
        <v>2006.0192778000346</v>
      </c>
      <c r="S19" s="67"/>
    </row>
    <row r="20" spans="1:19" s="437" customFormat="1">
      <c r="A20" s="736" t="s">
        <v>295</v>
      </c>
      <c r="B20" s="741"/>
      <c r="C20" s="931">
        <f>transport!B14</f>
        <v>182.28970712326054</v>
      </c>
      <c r="D20" s="931">
        <f>transport!C14</f>
        <v>0</v>
      </c>
      <c r="E20" s="931">
        <f>transport!D14</f>
        <v>272.98857824352507</v>
      </c>
      <c r="F20" s="931">
        <f>transport!E14</f>
        <v>533.86832855492401</v>
      </c>
      <c r="G20" s="931">
        <f>transport!F14</f>
        <v>0</v>
      </c>
      <c r="H20" s="931">
        <f>transport!G14</f>
        <v>303969.85548098304</v>
      </c>
      <c r="I20" s="931">
        <f>transport!H14</f>
        <v>48456.614356087775</v>
      </c>
      <c r="J20" s="931">
        <f>transport!I14</f>
        <v>0</v>
      </c>
      <c r="K20" s="931">
        <f>transport!J14</f>
        <v>0</v>
      </c>
      <c r="L20" s="931">
        <f>transport!K14</f>
        <v>0</v>
      </c>
      <c r="M20" s="931">
        <f>transport!L14</f>
        <v>0</v>
      </c>
      <c r="N20" s="931">
        <f>transport!M14</f>
        <v>19186.119805298156</v>
      </c>
      <c r="O20" s="931">
        <f>transport!N14</f>
        <v>0</v>
      </c>
      <c r="P20" s="931">
        <f>transport!O14</f>
        <v>0</v>
      </c>
      <c r="Q20" s="932">
        <f>transport!P14</f>
        <v>0</v>
      </c>
      <c r="R20" s="628">
        <f>SUM(C20:Q20)</f>
        <v>372601.73625629069</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202.27997339915999</v>
      </c>
      <c r="D22" s="739">
        <f t="shared" ref="D22:R22" si="1">SUM(D18:D21)</f>
        <v>0</v>
      </c>
      <c r="E22" s="739">
        <f t="shared" si="1"/>
        <v>272.98857824352507</v>
      </c>
      <c r="F22" s="739">
        <f t="shared" si="1"/>
        <v>533.86832855492401</v>
      </c>
      <c r="G22" s="739">
        <f t="shared" si="1"/>
        <v>0</v>
      </c>
      <c r="H22" s="739">
        <f t="shared" si="1"/>
        <v>305847.74261101568</v>
      </c>
      <c r="I22" s="739">
        <f t="shared" si="1"/>
        <v>48456.614356087775</v>
      </c>
      <c r="J22" s="739">
        <f t="shared" si="1"/>
        <v>0</v>
      </c>
      <c r="K22" s="739">
        <f t="shared" si="1"/>
        <v>0</v>
      </c>
      <c r="L22" s="739">
        <f t="shared" si="1"/>
        <v>0</v>
      </c>
      <c r="M22" s="739">
        <f t="shared" si="1"/>
        <v>0</v>
      </c>
      <c r="N22" s="739">
        <f t="shared" si="1"/>
        <v>19294.261686789654</v>
      </c>
      <c r="O22" s="739">
        <f t="shared" si="1"/>
        <v>0</v>
      </c>
      <c r="P22" s="739">
        <f t="shared" si="1"/>
        <v>0</v>
      </c>
      <c r="Q22" s="739">
        <f t="shared" si="1"/>
        <v>0</v>
      </c>
      <c r="R22" s="739">
        <f t="shared" si="1"/>
        <v>374607.75553409074</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1499.5038647821777</v>
      </c>
      <c r="D24" s="931">
        <f>+landbouw!C8</f>
        <v>0</v>
      </c>
      <c r="E24" s="931">
        <f>+landbouw!D8</f>
        <v>1677.7303490661623</v>
      </c>
      <c r="F24" s="931">
        <f>+landbouw!E8</f>
        <v>48.66382967790225</v>
      </c>
      <c r="G24" s="931">
        <f>+landbouw!F8</f>
        <v>5531.9607313244805</v>
      </c>
      <c r="H24" s="931">
        <f>+landbouw!G8</f>
        <v>0</v>
      </c>
      <c r="I24" s="931">
        <f>+landbouw!H8</f>
        <v>0</v>
      </c>
      <c r="J24" s="931">
        <f>+landbouw!I8</f>
        <v>0</v>
      </c>
      <c r="K24" s="931">
        <f>+landbouw!J8</f>
        <v>394.35401355551153</v>
      </c>
      <c r="L24" s="931">
        <f>+landbouw!K8</f>
        <v>0</v>
      </c>
      <c r="M24" s="931">
        <f>+landbouw!L8</f>
        <v>0</v>
      </c>
      <c r="N24" s="931">
        <f>+landbouw!M8</f>
        <v>0</v>
      </c>
      <c r="O24" s="931">
        <f>+landbouw!N8</f>
        <v>0</v>
      </c>
      <c r="P24" s="931">
        <f>+landbouw!O8</f>
        <v>0</v>
      </c>
      <c r="Q24" s="932">
        <f>+landbouw!P8</f>
        <v>0</v>
      </c>
      <c r="R24" s="628">
        <f>SUM(C24:Q24)</f>
        <v>9152.2127884062356</v>
      </c>
      <c r="S24" s="67"/>
    </row>
    <row r="25" spans="1:19" s="437" customFormat="1" ht="15" thickBot="1">
      <c r="A25" s="758" t="s">
        <v>775</v>
      </c>
      <c r="B25" s="934"/>
      <c r="C25" s="935">
        <f>IF(Onbekend_ele_kWh="---",0,Onbekend_ele_kWh)/1000+IF(REST_rest_ele_kWh="---",0,REST_rest_ele_kWh)/1000</f>
        <v>2426.18082476769</v>
      </c>
      <c r="D25" s="935"/>
      <c r="E25" s="935">
        <f>IF(onbekend_gas_kWh="---",0,onbekend_gas_kWh)/1000+IF(REST_rest_gas_kWh="---",0,REST_rest_gas_kWh)/1000</f>
        <v>4671.3957096062604</v>
      </c>
      <c r="F25" s="935"/>
      <c r="G25" s="935"/>
      <c r="H25" s="935"/>
      <c r="I25" s="935"/>
      <c r="J25" s="935"/>
      <c r="K25" s="935"/>
      <c r="L25" s="935"/>
      <c r="M25" s="935"/>
      <c r="N25" s="935"/>
      <c r="O25" s="935"/>
      <c r="P25" s="935"/>
      <c r="Q25" s="936"/>
      <c r="R25" s="628">
        <f>SUM(C25:Q25)</f>
        <v>7097.5765343739504</v>
      </c>
      <c r="S25" s="67"/>
    </row>
    <row r="26" spans="1:19" s="437" customFormat="1" ht="15.75" thickBot="1">
      <c r="A26" s="633" t="s">
        <v>776</v>
      </c>
      <c r="B26" s="744"/>
      <c r="C26" s="739">
        <f>SUM(C24:C25)</f>
        <v>3925.6846895498675</v>
      </c>
      <c r="D26" s="739">
        <f t="shared" ref="D26:R26" si="2">SUM(D24:D25)</f>
        <v>0</v>
      </c>
      <c r="E26" s="739">
        <f t="shared" si="2"/>
        <v>6349.1260586724229</v>
      </c>
      <c r="F26" s="739">
        <f t="shared" si="2"/>
        <v>48.66382967790225</v>
      </c>
      <c r="G26" s="739">
        <f t="shared" si="2"/>
        <v>5531.9607313244805</v>
      </c>
      <c r="H26" s="739">
        <f t="shared" si="2"/>
        <v>0</v>
      </c>
      <c r="I26" s="739">
        <f t="shared" si="2"/>
        <v>0</v>
      </c>
      <c r="J26" s="739">
        <f t="shared" si="2"/>
        <v>0</v>
      </c>
      <c r="K26" s="739">
        <f t="shared" si="2"/>
        <v>394.35401355551153</v>
      </c>
      <c r="L26" s="739">
        <f t="shared" si="2"/>
        <v>0</v>
      </c>
      <c r="M26" s="739">
        <f t="shared" si="2"/>
        <v>0</v>
      </c>
      <c r="N26" s="739">
        <f t="shared" si="2"/>
        <v>0</v>
      </c>
      <c r="O26" s="739">
        <f t="shared" si="2"/>
        <v>0</v>
      </c>
      <c r="P26" s="739">
        <f t="shared" si="2"/>
        <v>0</v>
      </c>
      <c r="Q26" s="739">
        <f t="shared" si="2"/>
        <v>0</v>
      </c>
      <c r="R26" s="739">
        <f t="shared" si="2"/>
        <v>16249.789322780187</v>
      </c>
      <c r="S26" s="67"/>
    </row>
    <row r="27" spans="1:19" s="437" customFormat="1" ht="17.25" thickTop="1" thickBot="1">
      <c r="A27" s="634" t="s">
        <v>109</v>
      </c>
      <c r="B27" s="732"/>
      <c r="C27" s="635">
        <f ca="1">C22+C16+C26</f>
        <v>379781.41673420422</v>
      </c>
      <c r="D27" s="635">
        <f t="shared" ref="D27:R27" ca="1" si="3">D22+D16+D26</f>
        <v>0</v>
      </c>
      <c r="E27" s="635">
        <f t="shared" ca="1" si="3"/>
        <v>475958.11378536961</v>
      </c>
      <c r="F27" s="635">
        <f t="shared" si="3"/>
        <v>13525.623297453538</v>
      </c>
      <c r="G27" s="635">
        <f t="shared" ca="1" si="3"/>
        <v>151588.8186348858</v>
      </c>
      <c r="H27" s="635">
        <f t="shared" si="3"/>
        <v>305847.74261101568</v>
      </c>
      <c r="I27" s="635">
        <f t="shared" si="3"/>
        <v>48456.614356087775</v>
      </c>
      <c r="J27" s="635">
        <f t="shared" si="3"/>
        <v>0</v>
      </c>
      <c r="K27" s="635">
        <f t="shared" si="3"/>
        <v>1343.8311933516004</v>
      </c>
      <c r="L27" s="635">
        <f t="shared" si="3"/>
        <v>0</v>
      </c>
      <c r="M27" s="635">
        <f t="shared" ca="1" si="3"/>
        <v>0</v>
      </c>
      <c r="N27" s="635">
        <f t="shared" si="3"/>
        <v>19294.261686789654</v>
      </c>
      <c r="O27" s="635">
        <f t="shared" ca="1" si="3"/>
        <v>30965.014943714363</v>
      </c>
      <c r="P27" s="635">
        <f t="shared" si="3"/>
        <v>709.75333333333344</v>
      </c>
      <c r="Q27" s="635">
        <f t="shared" si="3"/>
        <v>1620.6666666666667</v>
      </c>
      <c r="R27" s="635">
        <f t="shared" ca="1" si="3"/>
        <v>1429091.8572428722</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15095.352812495677</v>
      </c>
      <c r="D40" s="931">
        <f ca="1">tertiair!C20</f>
        <v>0</v>
      </c>
      <c r="E40" s="931">
        <f ca="1">tertiair!D20</f>
        <v>23488.267401944235</v>
      </c>
      <c r="F40" s="931">
        <f>tertiair!E20</f>
        <v>281.84588546797858</v>
      </c>
      <c r="G40" s="931">
        <f ca="1">tertiair!F20</f>
        <v>3179.3225929083287</v>
      </c>
      <c r="H40" s="931">
        <f>tertiair!G20</f>
        <v>0</v>
      </c>
      <c r="I40" s="931">
        <f>tertiair!H20</f>
        <v>0</v>
      </c>
      <c r="J40" s="931">
        <f>tertiair!I20</f>
        <v>0</v>
      </c>
      <c r="K40" s="931">
        <f>tertiair!J20</f>
        <v>2.8545775450830927E-2</v>
      </c>
      <c r="L40" s="931">
        <f>tertiair!K20</f>
        <v>0</v>
      </c>
      <c r="M40" s="931">
        <f ca="1">tertiair!L20</f>
        <v>0</v>
      </c>
      <c r="N40" s="931">
        <f>tertiair!M20</f>
        <v>0</v>
      </c>
      <c r="O40" s="931">
        <f ca="1">tertiair!N20</f>
        <v>0</v>
      </c>
      <c r="P40" s="931">
        <f>tertiair!O20</f>
        <v>0</v>
      </c>
      <c r="Q40" s="702">
        <f>tertiair!P20</f>
        <v>0</v>
      </c>
      <c r="R40" s="777">
        <f t="shared" ca="1" si="4"/>
        <v>42044.81723859167</v>
      </c>
    </row>
    <row r="41" spans="1:18">
      <c r="A41" s="749" t="s">
        <v>213</v>
      </c>
      <c r="B41" s="756"/>
      <c r="C41" s="931">
        <f ca="1">huishoudens!B12</f>
        <v>12903.319178058064</v>
      </c>
      <c r="D41" s="931">
        <f ca="1">huishoudens!C12</f>
        <v>0</v>
      </c>
      <c r="E41" s="931">
        <f>huishoudens!D12</f>
        <v>26721.377102947074</v>
      </c>
      <c r="F41" s="931">
        <f>huishoudens!E12</f>
        <v>893.56361137281635</v>
      </c>
      <c r="G41" s="931">
        <f>huishoudens!F12</f>
        <v>24361.820195344102</v>
      </c>
      <c r="H41" s="931">
        <f>huishoudens!G12</f>
        <v>0</v>
      </c>
      <c r="I41" s="931">
        <f>huishoudens!H12</f>
        <v>0</v>
      </c>
      <c r="J41" s="931">
        <f>huishoudens!I12</f>
        <v>0</v>
      </c>
      <c r="K41" s="931">
        <f>huishoudens!J12</f>
        <v>165.99324700402829</v>
      </c>
      <c r="L41" s="931">
        <f>huishoudens!K12</f>
        <v>0</v>
      </c>
      <c r="M41" s="931">
        <f>huishoudens!L12</f>
        <v>0</v>
      </c>
      <c r="N41" s="931">
        <f>huishoudens!M12</f>
        <v>0</v>
      </c>
      <c r="O41" s="931">
        <f>huishoudens!N12</f>
        <v>0</v>
      </c>
      <c r="P41" s="931">
        <f>huishoudens!O12</f>
        <v>0</v>
      </c>
      <c r="Q41" s="702">
        <f>huishoudens!P12</f>
        <v>0</v>
      </c>
      <c r="R41" s="777">
        <f t="shared" ca="1" si="4"/>
        <v>65046.073334726083</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45770.491386633839</v>
      </c>
      <c r="D43" s="931">
        <f ca="1">industrie!C22</f>
        <v>0</v>
      </c>
      <c r="E43" s="931">
        <f>industrie!D22</f>
        <v>44596.227323096333</v>
      </c>
      <c r="F43" s="931">
        <f>industrie!E22</f>
        <v>1762.6721917623072</v>
      </c>
      <c r="G43" s="931">
        <f>industrie!F22</f>
        <v>11456.038271998448</v>
      </c>
      <c r="H43" s="931">
        <f>industrie!G22</f>
        <v>0</v>
      </c>
      <c r="I43" s="931">
        <f>industrie!H22</f>
        <v>0</v>
      </c>
      <c r="J43" s="931">
        <f>industrie!I22</f>
        <v>0</v>
      </c>
      <c r="K43" s="931">
        <f>industrie!J22</f>
        <v>170.09312886833635</v>
      </c>
      <c r="L43" s="931">
        <f>industrie!K22</f>
        <v>0</v>
      </c>
      <c r="M43" s="931">
        <f>industrie!L22</f>
        <v>0</v>
      </c>
      <c r="N43" s="931">
        <f>industrie!M22</f>
        <v>0</v>
      </c>
      <c r="O43" s="931">
        <f>industrie!N22</f>
        <v>0</v>
      </c>
      <c r="P43" s="931">
        <f>industrie!O22</f>
        <v>0</v>
      </c>
      <c r="Q43" s="702">
        <f>industrie!P22</f>
        <v>0</v>
      </c>
      <c r="R43" s="776">
        <f t="shared" ca="1" si="4"/>
        <v>103755.52230235926</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73769.163377187579</v>
      </c>
      <c r="D46" s="660">
        <f t="shared" ref="D46:Q46" ca="1" si="5">SUM(D39:D45)</f>
        <v>0</v>
      </c>
      <c r="E46" s="660">
        <f t="shared" ca="1" si="5"/>
        <v>94805.871827987634</v>
      </c>
      <c r="F46" s="660">
        <f t="shared" si="5"/>
        <v>2938.0816886031021</v>
      </c>
      <c r="G46" s="660">
        <f t="shared" ca="1" si="5"/>
        <v>38997.181060250878</v>
      </c>
      <c r="H46" s="660">
        <f t="shared" si="5"/>
        <v>0</v>
      </c>
      <c r="I46" s="660">
        <f t="shared" si="5"/>
        <v>0</v>
      </c>
      <c r="J46" s="660">
        <f t="shared" si="5"/>
        <v>0</v>
      </c>
      <c r="K46" s="660">
        <f t="shared" si="5"/>
        <v>336.11492164781544</v>
      </c>
      <c r="L46" s="660">
        <f t="shared" si="5"/>
        <v>0</v>
      </c>
      <c r="M46" s="660">
        <f t="shared" ca="1" si="5"/>
        <v>0</v>
      </c>
      <c r="N46" s="660">
        <f t="shared" si="5"/>
        <v>0</v>
      </c>
      <c r="O46" s="660">
        <f t="shared" ca="1" si="5"/>
        <v>0</v>
      </c>
      <c r="P46" s="660">
        <f t="shared" si="5"/>
        <v>0</v>
      </c>
      <c r="Q46" s="660">
        <f t="shared" si="5"/>
        <v>0</v>
      </c>
      <c r="R46" s="660">
        <f ca="1">SUM(R39:R45)</f>
        <v>210846.41287567699</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3.9256000729645635</v>
      </c>
      <c r="D49" s="931">
        <f ca="1">transport!C58</f>
        <v>0</v>
      </c>
      <c r="E49" s="931">
        <f>transport!D58</f>
        <v>0</v>
      </c>
      <c r="F49" s="931">
        <f>transport!E58</f>
        <v>0</v>
      </c>
      <c r="G49" s="931">
        <f>transport!F58</f>
        <v>0</v>
      </c>
      <c r="H49" s="931">
        <f>transport!G58</f>
        <v>501.39586371871405</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505.32146379167864</v>
      </c>
    </row>
    <row r="50" spans="1:18">
      <c r="A50" s="752" t="s">
        <v>295</v>
      </c>
      <c r="B50" s="762"/>
      <c r="C50" s="631">
        <f ca="1">transport!B18</f>
        <v>35.797246405191409</v>
      </c>
      <c r="D50" s="631">
        <f>transport!C18</f>
        <v>0</v>
      </c>
      <c r="E50" s="631">
        <f>transport!D18</f>
        <v>55.143692805192067</v>
      </c>
      <c r="F50" s="631">
        <f>transport!E18</f>
        <v>121.18811058196775</v>
      </c>
      <c r="G50" s="631">
        <f>transport!F18</f>
        <v>0</v>
      </c>
      <c r="H50" s="631">
        <f>transport!G18</f>
        <v>81159.951413422474</v>
      </c>
      <c r="I50" s="631">
        <f>transport!H18</f>
        <v>12065.696974665856</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93437.777437880679</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39.722846478155972</v>
      </c>
      <c r="D52" s="660">
        <f t="shared" ref="D52:Q52" ca="1" si="6">SUM(D48:D51)</f>
        <v>0</v>
      </c>
      <c r="E52" s="660">
        <f t="shared" si="6"/>
        <v>55.143692805192067</v>
      </c>
      <c r="F52" s="660">
        <f t="shared" si="6"/>
        <v>121.18811058196775</v>
      </c>
      <c r="G52" s="660">
        <f t="shared" si="6"/>
        <v>0</v>
      </c>
      <c r="H52" s="660">
        <f t="shared" si="6"/>
        <v>81661.347277141191</v>
      </c>
      <c r="I52" s="660">
        <f t="shared" si="6"/>
        <v>12065.696974665856</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93943.098901672362</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294.465936559152</v>
      </c>
      <c r="D54" s="631">
        <f ca="1">+landbouw!C12</f>
        <v>0</v>
      </c>
      <c r="E54" s="631">
        <f>+landbouw!D12</f>
        <v>338.9015305113648</v>
      </c>
      <c r="F54" s="631">
        <f>+landbouw!E12</f>
        <v>11.04668933688381</v>
      </c>
      <c r="G54" s="631">
        <f>+landbouw!F12</f>
        <v>1477.0335152636364</v>
      </c>
      <c r="H54" s="631">
        <f>+landbouw!G12</f>
        <v>0</v>
      </c>
      <c r="I54" s="631">
        <f>+landbouw!H12</f>
        <v>0</v>
      </c>
      <c r="J54" s="631">
        <f>+landbouw!I12</f>
        <v>0</v>
      </c>
      <c r="K54" s="631">
        <f>+landbouw!J12</f>
        <v>139.60132079865107</v>
      </c>
      <c r="L54" s="631">
        <f>+landbouw!K12</f>
        <v>0</v>
      </c>
      <c r="M54" s="631">
        <f>+landbouw!L12</f>
        <v>0</v>
      </c>
      <c r="N54" s="631">
        <f>+landbouw!M12</f>
        <v>0</v>
      </c>
      <c r="O54" s="631">
        <f>+landbouw!N12</f>
        <v>0</v>
      </c>
      <c r="P54" s="631">
        <f>+landbouw!O12</f>
        <v>0</v>
      </c>
      <c r="Q54" s="632">
        <f>+landbouw!P12</f>
        <v>0</v>
      </c>
      <c r="R54" s="659">
        <f ca="1">SUM(C54:Q54)</f>
        <v>2261.0489924696881</v>
      </c>
    </row>
    <row r="55" spans="1:18" ht="15" thickBot="1">
      <c r="A55" s="752" t="s">
        <v>775</v>
      </c>
      <c r="B55" s="762"/>
      <c r="C55" s="631">
        <f ca="1">C25*'EF ele_warmte'!B12</f>
        <v>476.44265920638588</v>
      </c>
      <c r="D55" s="631"/>
      <c r="E55" s="631">
        <f>E25*EF_CO2_aardgas</f>
        <v>943.62193334046469</v>
      </c>
      <c r="F55" s="631"/>
      <c r="G55" s="631"/>
      <c r="H55" s="631"/>
      <c r="I55" s="631"/>
      <c r="J55" s="631"/>
      <c r="K55" s="631"/>
      <c r="L55" s="631"/>
      <c r="M55" s="631"/>
      <c r="N55" s="631"/>
      <c r="O55" s="631"/>
      <c r="P55" s="631"/>
      <c r="Q55" s="632"/>
      <c r="R55" s="659">
        <f ca="1">SUM(C55:Q55)</f>
        <v>1420.0645925468507</v>
      </c>
    </row>
    <row r="56" spans="1:18" ht="15.75" thickBot="1">
      <c r="A56" s="750" t="s">
        <v>776</v>
      </c>
      <c r="B56" s="763"/>
      <c r="C56" s="660">
        <f ca="1">SUM(C54:C55)</f>
        <v>770.90859576553794</v>
      </c>
      <c r="D56" s="660">
        <f t="shared" ref="D56:Q56" ca="1" si="7">SUM(D54:D55)</f>
        <v>0</v>
      </c>
      <c r="E56" s="660">
        <f t="shared" si="7"/>
        <v>1282.5234638518295</v>
      </c>
      <c r="F56" s="660">
        <f t="shared" si="7"/>
        <v>11.04668933688381</v>
      </c>
      <c r="G56" s="660">
        <f t="shared" si="7"/>
        <v>1477.0335152636364</v>
      </c>
      <c r="H56" s="660">
        <f t="shared" si="7"/>
        <v>0</v>
      </c>
      <c r="I56" s="660">
        <f t="shared" si="7"/>
        <v>0</v>
      </c>
      <c r="J56" s="660">
        <f t="shared" si="7"/>
        <v>0</v>
      </c>
      <c r="K56" s="660">
        <f t="shared" si="7"/>
        <v>139.60132079865107</v>
      </c>
      <c r="L56" s="660">
        <f t="shared" si="7"/>
        <v>0</v>
      </c>
      <c r="M56" s="660">
        <f t="shared" si="7"/>
        <v>0</v>
      </c>
      <c r="N56" s="660">
        <f t="shared" si="7"/>
        <v>0</v>
      </c>
      <c r="O56" s="660">
        <f t="shared" si="7"/>
        <v>0</v>
      </c>
      <c r="P56" s="660">
        <f t="shared" si="7"/>
        <v>0</v>
      </c>
      <c r="Q56" s="661">
        <f t="shared" si="7"/>
        <v>0</v>
      </c>
      <c r="R56" s="662">
        <f ca="1">SUM(R54:R55)</f>
        <v>3681.1135850165388</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74579.794819431263</v>
      </c>
      <c r="D61" s="668">
        <f t="shared" ref="D61:Q61" ca="1" si="8">D46+D52+D56</f>
        <v>0</v>
      </c>
      <c r="E61" s="668">
        <f t="shared" ca="1" si="8"/>
        <v>96143.538984644663</v>
      </c>
      <c r="F61" s="668">
        <f t="shared" si="8"/>
        <v>3070.3164885219539</v>
      </c>
      <c r="G61" s="668">
        <f t="shared" ca="1" si="8"/>
        <v>40474.214575514517</v>
      </c>
      <c r="H61" s="668">
        <f t="shared" si="8"/>
        <v>81661.347277141191</v>
      </c>
      <c r="I61" s="668">
        <f t="shared" si="8"/>
        <v>12065.696974665856</v>
      </c>
      <c r="J61" s="668">
        <f t="shared" si="8"/>
        <v>0</v>
      </c>
      <c r="K61" s="668">
        <f t="shared" si="8"/>
        <v>475.71624244646648</v>
      </c>
      <c r="L61" s="668">
        <f t="shared" si="8"/>
        <v>0</v>
      </c>
      <c r="M61" s="668">
        <f t="shared" ca="1" si="8"/>
        <v>0</v>
      </c>
      <c r="N61" s="668">
        <f t="shared" si="8"/>
        <v>0</v>
      </c>
      <c r="O61" s="668">
        <f t="shared" ca="1" si="8"/>
        <v>0</v>
      </c>
      <c r="P61" s="668">
        <f t="shared" si="8"/>
        <v>0</v>
      </c>
      <c r="Q61" s="668">
        <f t="shared" si="8"/>
        <v>0</v>
      </c>
      <c r="R61" s="668">
        <f ca="1">R46+R52+R56</f>
        <v>308470.62536236586</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0.19637557693252555</v>
      </c>
      <c r="D63" s="709">
        <f t="shared" ca="1" si="9"/>
        <v>0</v>
      </c>
      <c r="E63" s="942">
        <f t="shared" ca="1" si="9"/>
        <v>0.20200000000000001</v>
      </c>
      <c r="F63" s="709">
        <f t="shared" si="9"/>
        <v>0.22700000000000006</v>
      </c>
      <c r="G63" s="709">
        <f t="shared" ca="1" si="9"/>
        <v>0.26700000000000007</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6889.7925010185299</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35426.489303632399</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42316.281804650927</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65707.352103625541</v>
      </c>
      <c r="C4" s="441">
        <f>huishoudens!C8</f>
        <v>0</v>
      </c>
      <c r="D4" s="441">
        <f>huishoudens!D8</f>
        <v>132284.04506409442</v>
      </c>
      <c r="E4" s="441">
        <f>huishoudens!E8</f>
        <v>3936.4035743295872</v>
      </c>
      <c r="F4" s="441">
        <f>huishoudens!F8</f>
        <v>91242.772267206368</v>
      </c>
      <c r="G4" s="441">
        <f>huishoudens!G8</f>
        <v>0</v>
      </c>
      <c r="H4" s="441">
        <f>huishoudens!H8</f>
        <v>0</v>
      </c>
      <c r="I4" s="441">
        <f>huishoudens!I8</f>
        <v>0</v>
      </c>
      <c r="J4" s="441">
        <f>huishoudens!J8</f>
        <v>468.90747741250931</v>
      </c>
      <c r="K4" s="441">
        <f>huishoudens!K8</f>
        <v>0</v>
      </c>
      <c r="L4" s="441">
        <f>huishoudens!L8</f>
        <v>0</v>
      </c>
      <c r="M4" s="441">
        <f>huishoudens!M8</f>
        <v>0</v>
      </c>
      <c r="N4" s="441">
        <f>huishoudens!N8</f>
        <v>23036.336090221012</v>
      </c>
      <c r="O4" s="441">
        <f>huishoudens!O8</f>
        <v>698.81000000000006</v>
      </c>
      <c r="P4" s="442">
        <f>huishoudens!P8</f>
        <v>1334.6666666666667</v>
      </c>
      <c r="Q4" s="443">
        <f>SUM(B4:P4)</f>
        <v>318709.29324355611</v>
      </c>
    </row>
    <row r="5" spans="1:17">
      <c r="A5" s="440" t="s">
        <v>149</v>
      </c>
      <c r="B5" s="441">
        <f ca="1">tertiair!B16</f>
        <v>74010.987581430672</v>
      </c>
      <c r="C5" s="441">
        <f ca="1">tertiair!C16</f>
        <v>0</v>
      </c>
      <c r="D5" s="441">
        <f ca="1">tertiair!D16</f>
        <v>116278.55149477343</v>
      </c>
      <c r="E5" s="441">
        <f>tertiair!E16</f>
        <v>1241.6118302554121</v>
      </c>
      <c r="F5" s="441">
        <f ca="1">tertiair!F16</f>
        <v>11907.57525433831</v>
      </c>
      <c r="G5" s="441">
        <f>tertiair!G16</f>
        <v>0</v>
      </c>
      <c r="H5" s="441">
        <f>tertiair!H16</f>
        <v>0</v>
      </c>
      <c r="I5" s="441">
        <f>tertiair!I16</f>
        <v>0</v>
      </c>
      <c r="J5" s="441">
        <f>tertiair!J16</f>
        <v>8.0637783759409401E-2</v>
      </c>
      <c r="K5" s="441">
        <f>tertiair!K16</f>
        <v>0</v>
      </c>
      <c r="L5" s="441">
        <f ca="1">tertiair!L16</f>
        <v>0</v>
      </c>
      <c r="M5" s="441">
        <f>tertiair!M16</f>
        <v>0</v>
      </c>
      <c r="N5" s="441">
        <f ca="1">tertiair!N16</f>
        <v>3300.8056450156619</v>
      </c>
      <c r="O5" s="441">
        <f>tertiair!O16</f>
        <v>10.943333333333335</v>
      </c>
      <c r="P5" s="442">
        <f>tertiair!P16</f>
        <v>286</v>
      </c>
      <c r="Q5" s="440">
        <f t="shared" ref="Q5:Q14" ca="1" si="0">SUM(B5:P5)</f>
        <v>207036.55577693062</v>
      </c>
    </row>
    <row r="6" spans="1:17">
      <c r="A6" s="440" t="s">
        <v>187</v>
      </c>
      <c r="B6" s="441">
        <f>'openbare verlichting'!B8</f>
        <v>2858.82</v>
      </c>
      <c r="C6" s="441"/>
      <c r="D6" s="441"/>
      <c r="E6" s="441"/>
      <c r="F6" s="441"/>
      <c r="G6" s="441"/>
      <c r="H6" s="441"/>
      <c r="I6" s="441"/>
      <c r="J6" s="441"/>
      <c r="K6" s="441"/>
      <c r="L6" s="441"/>
      <c r="M6" s="441"/>
      <c r="N6" s="441"/>
      <c r="O6" s="441"/>
      <c r="P6" s="442"/>
      <c r="Q6" s="440">
        <f t="shared" si="0"/>
        <v>2858.82</v>
      </c>
    </row>
    <row r="7" spans="1:17">
      <c r="A7" s="440" t="s">
        <v>105</v>
      </c>
      <c r="B7" s="441">
        <f>landbouw!B8</f>
        <v>1499.5038647821777</v>
      </c>
      <c r="C7" s="441">
        <f>landbouw!C8</f>
        <v>0</v>
      </c>
      <c r="D7" s="441">
        <f>landbouw!D8</f>
        <v>1677.7303490661623</v>
      </c>
      <c r="E7" s="441">
        <f>landbouw!E8</f>
        <v>48.66382967790225</v>
      </c>
      <c r="F7" s="441">
        <f>landbouw!F8</f>
        <v>5531.9607313244805</v>
      </c>
      <c r="G7" s="441">
        <f>landbouw!G8</f>
        <v>0</v>
      </c>
      <c r="H7" s="441">
        <f>landbouw!H8</f>
        <v>0</v>
      </c>
      <c r="I7" s="441">
        <f>landbouw!I8</f>
        <v>0</v>
      </c>
      <c r="J7" s="441">
        <f>landbouw!J8</f>
        <v>394.35401355551153</v>
      </c>
      <c r="K7" s="441">
        <f>landbouw!K8</f>
        <v>0</v>
      </c>
      <c r="L7" s="441">
        <f>landbouw!L8</f>
        <v>0</v>
      </c>
      <c r="M7" s="441">
        <f>landbouw!M8</f>
        <v>0</v>
      </c>
      <c r="N7" s="441">
        <f>landbouw!N8</f>
        <v>0</v>
      </c>
      <c r="O7" s="441">
        <f>landbouw!O8</f>
        <v>0</v>
      </c>
      <c r="P7" s="442">
        <f>landbouw!P8</f>
        <v>0</v>
      </c>
      <c r="Q7" s="440">
        <f t="shared" si="0"/>
        <v>9152.2127884062356</v>
      </c>
    </row>
    <row r="8" spans="1:17">
      <c r="A8" s="440" t="s">
        <v>596</v>
      </c>
      <c r="B8" s="441">
        <f>industrie!B18</f>
        <v>233076.29238619894</v>
      </c>
      <c r="C8" s="441">
        <f>industrie!C18</f>
        <v>0</v>
      </c>
      <c r="D8" s="441">
        <f>industrie!D18</f>
        <v>220773.40258958581</v>
      </c>
      <c r="E8" s="441">
        <f>industrie!E18</f>
        <v>7765.0757346357141</v>
      </c>
      <c r="F8" s="441">
        <f>industrie!F18</f>
        <v>42906.510382016655</v>
      </c>
      <c r="G8" s="441">
        <f>industrie!G18</f>
        <v>0</v>
      </c>
      <c r="H8" s="441">
        <f>industrie!H18</f>
        <v>0</v>
      </c>
      <c r="I8" s="441">
        <f>industrie!I18</f>
        <v>0</v>
      </c>
      <c r="J8" s="441">
        <f>industrie!J18</f>
        <v>480.48906459982021</v>
      </c>
      <c r="K8" s="441">
        <f>industrie!K18</f>
        <v>0</v>
      </c>
      <c r="L8" s="441">
        <f>industrie!L18</f>
        <v>0</v>
      </c>
      <c r="M8" s="441">
        <f>industrie!M18</f>
        <v>0</v>
      </c>
      <c r="N8" s="441">
        <f>industrie!N18</f>
        <v>4627.8732084776893</v>
      </c>
      <c r="O8" s="441">
        <f>industrie!O18</f>
        <v>0</v>
      </c>
      <c r="P8" s="442">
        <f>industrie!P18</f>
        <v>0</v>
      </c>
      <c r="Q8" s="440">
        <f t="shared" si="0"/>
        <v>509629.64336551458</v>
      </c>
    </row>
    <row r="9" spans="1:17" s="446" customFormat="1">
      <c r="A9" s="444" t="s">
        <v>545</v>
      </c>
      <c r="B9" s="445">
        <f>transport!B14</f>
        <v>182.28970712326054</v>
      </c>
      <c r="C9" s="445">
        <f>transport!C14</f>
        <v>0</v>
      </c>
      <c r="D9" s="445">
        <f>transport!D14</f>
        <v>272.98857824352507</v>
      </c>
      <c r="E9" s="445">
        <f>transport!E14</f>
        <v>533.86832855492401</v>
      </c>
      <c r="F9" s="445">
        <f>transport!F14</f>
        <v>0</v>
      </c>
      <c r="G9" s="445">
        <f>transport!G14</f>
        <v>303969.85548098304</v>
      </c>
      <c r="H9" s="445">
        <f>transport!H14</f>
        <v>48456.614356087775</v>
      </c>
      <c r="I9" s="445">
        <f>transport!I14</f>
        <v>0</v>
      </c>
      <c r="J9" s="445">
        <f>transport!J14</f>
        <v>0</v>
      </c>
      <c r="K9" s="445">
        <f>transport!K14</f>
        <v>0</v>
      </c>
      <c r="L9" s="445">
        <f>transport!L14</f>
        <v>0</v>
      </c>
      <c r="M9" s="445">
        <f>transport!M14</f>
        <v>19186.119805298156</v>
      </c>
      <c r="N9" s="445">
        <f>transport!N14</f>
        <v>0</v>
      </c>
      <c r="O9" s="445">
        <f>transport!O14</f>
        <v>0</v>
      </c>
      <c r="P9" s="445">
        <f>transport!P14</f>
        <v>0</v>
      </c>
      <c r="Q9" s="444">
        <f>SUM(B9:P9)</f>
        <v>372601.73625629069</v>
      </c>
    </row>
    <row r="10" spans="1:17">
      <c r="A10" s="440" t="s">
        <v>535</v>
      </c>
      <c r="B10" s="441">
        <f>transport!B54</f>
        <v>19.990266275899447</v>
      </c>
      <c r="C10" s="441">
        <f>transport!C54</f>
        <v>0</v>
      </c>
      <c r="D10" s="441">
        <f>transport!D54</f>
        <v>0</v>
      </c>
      <c r="E10" s="441">
        <f>transport!E54</f>
        <v>0</v>
      </c>
      <c r="F10" s="441">
        <f>transport!F54</f>
        <v>0</v>
      </c>
      <c r="G10" s="441">
        <f>transport!G54</f>
        <v>1877.8871300326368</v>
      </c>
      <c r="H10" s="441">
        <f>transport!H54</f>
        <v>0</v>
      </c>
      <c r="I10" s="441">
        <f>transport!I54</f>
        <v>0</v>
      </c>
      <c r="J10" s="441">
        <f>transport!J54</f>
        <v>0</v>
      </c>
      <c r="K10" s="441">
        <f>transport!K54</f>
        <v>0</v>
      </c>
      <c r="L10" s="441">
        <f>transport!L54</f>
        <v>0</v>
      </c>
      <c r="M10" s="441">
        <f>transport!M54</f>
        <v>108.14188149149821</v>
      </c>
      <c r="N10" s="441">
        <f>transport!N54</f>
        <v>0</v>
      </c>
      <c r="O10" s="441">
        <f>transport!O54</f>
        <v>0</v>
      </c>
      <c r="P10" s="442">
        <f>transport!P54</f>
        <v>0</v>
      </c>
      <c r="Q10" s="440">
        <f t="shared" si="0"/>
        <v>2006.0192778000346</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2426.18082476769</v>
      </c>
      <c r="C14" s="448"/>
      <c r="D14" s="448">
        <f>'SEAP template'!E25</f>
        <v>4671.3957096062604</v>
      </c>
      <c r="E14" s="448"/>
      <c r="F14" s="448"/>
      <c r="G14" s="448"/>
      <c r="H14" s="448"/>
      <c r="I14" s="448"/>
      <c r="J14" s="448"/>
      <c r="K14" s="448"/>
      <c r="L14" s="448"/>
      <c r="M14" s="448"/>
      <c r="N14" s="448"/>
      <c r="O14" s="448"/>
      <c r="P14" s="449"/>
      <c r="Q14" s="440">
        <f t="shared" si="0"/>
        <v>7097.5765343739504</v>
      </c>
    </row>
    <row r="15" spans="1:17" s="450" customFormat="1">
      <c r="A15" s="957" t="s">
        <v>539</v>
      </c>
      <c r="B15" s="905">
        <f ca="1">SUM(B4:B14)</f>
        <v>379781.41673420416</v>
      </c>
      <c r="C15" s="905">
        <f t="shared" ref="C15:Q15" ca="1" si="1">SUM(C4:C14)</f>
        <v>0</v>
      </c>
      <c r="D15" s="905">
        <f t="shared" ca="1" si="1"/>
        <v>475958.11378536955</v>
      </c>
      <c r="E15" s="905">
        <f t="shared" si="1"/>
        <v>13525.623297453538</v>
      </c>
      <c r="F15" s="905">
        <f t="shared" ca="1" si="1"/>
        <v>151588.81863488583</v>
      </c>
      <c r="G15" s="905">
        <f t="shared" si="1"/>
        <v>305847.74261101568</v>
      </c>
      <c r="H15" s="905">
        <f t="shared" si="1"/>
        <v>48456.614356087775</v>
      </c>
      <c r="I15" s="905">
        <f t="shared" si="1"/>
        <v>0</v>
      </c>
      <c r="J15" s="905">
        <f t="shared" si="1"/>
        <v>1343.8311933516004</v>
      </c>
      <c r="K15" s="905">
        <f t="shared" si="1"/>
        <v>0</v>
      </c>
      <c r="L15" s="905">
        <f t="shared" ca="1" si="1"/>
        <v>0</v>
      </c>
      <c r="M15" s="905">
        <f t="shared" si="1"/>
        <v>19294.261686789654</v>
      </c>
      <c r="N15" s="905">
        <f t="shared" ca="1" si="1"/>
        <v>30965.014943714363</v>
      </c>
      <c r="O15" s="905">
        <f t="shared" si="1"/>
        <v>709.75333333333344</v>
      </c>
      <c r="P15" s="905">
        <f t="shared" si="1"/>
        <v>1620.6666666666667</v>
      </c>
      <c r="Q15" s="905">
        <f t="shared" ca="1" si="1"/>
        <v>1429091.857242872</v>
      </c>
    </row>
    <row r="17" spans="1:17">
      <c r="A17" s="451" t="s">
        <v>540</v>
      </c>
      <c r="B17" s="714">
        <f ca="1">huishoudens!B10</f>
        <v>0.19637557693252558</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12903.319178058064</v>
      </c>
      <c r="C22" s="441">
        <f t="shared" ref="C22:C32" ca="1" si="3">C4*$C$17</f>
        <v>0</v>
      </c>
      <c r="D22" s="441">
        <f t="shared" ref="D22:D32" si="4">D4*$D$17</f>
        <v>26721.377102947074</v>
      </c>
      <c r="E22" s="441">
        <f t="shared" ref="E22:E32" si="5">E4*$E$17</f>
        <v>893.56361137281635</v>
      </c>
      <c r="F22" s="441">
        <f t="shared" ref="F22:F32" si="6">F4*$F$17</f>
        <v>24361.820195344102</v>
      </c>
      <c r="G22" s="441">
        <f t="shared" ref="G22:G32" si="7">G4*$G$17</f>
        <v>0</v>
      </c>
      <c r="H22" s="441">
        <f t="shared" ref="H22:H32" si="8">H4*$H$17</f>
        <v>0</v>
      </c>
      <c r="I22" s="441">
        <f t="shared" ref="I22:I32" si="9">I4*$I$17</f>
        <v>0</v>
      </c>
      <c r="J22" s="441">
        <f t="shared" ref="J22:J32" si="10">J4*$J$17</f>
        <v>165.99324700402829</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65046.073334726083</v>
      </c>
    </row>
    <row r="23" spans="1:17">
      <c r="A23" s="440" t="s">
        <v>149</v>
      </c>
      <c r="B23" s="441">
        <f t="shared" ca="1" si="2"/>
        <v>14533.950385649434</v>
      </c>
      <c r="C23" s="441">
        <f t="shared" ca="1" si="3"/>
        <v>0</v>
      </c>
      <c r="D23" s="441">
        <f t="shared" ca="1" si="4"/>
        <v>23488.267401944235</v>
      </c>
      <c r="E23" s="441">
        <f t="shared" si="5"/>
        <v>281.84588546797858</v>
      </c>
      <c r="F23" s="441">
        <f t="shared" ca="1" si="6"/>
        <v>3179.3225929083287</v>
      </c>
      <c r="G23" s="441">
        <f t="shared" si="7"/>
        <v>0</v>
      </c>
      <c r="H23" s="441">
        <f t="shared" si="8"/>
        <v>0</v>
      </c>
      <c r="I23" s="441">
        <f t="shared" si="9"/>
        <v>0</v>
      </c>
      <c r="J23" s="441">
        <f t="shared" si="10"/>
        <v>2.8545775450830927E-2</v>
      </c>
      <c r="K23" s="441">
        <f t="shared" si="11"/>
        <v>0</v>
      </c>
      <c r="L23" s="441">
        <f t="shared" ca="1" si="12"/>
        <v>0</v>
      </c>
      <c r="M23" s="441">
        <f t="shared" si="13"/>
        <v>0</v>
      </c>
      <c r="N23" s="441">
        <f t="shared" ca="1" si="14"/>
        <v>0</v>
      </c>
      <c r="O23" s="441">
        <f t="shared" si="15"/>
        <v>0</v>
      </c>
      <c r="P23" s="442">
        <f t="shared" si="16"/>
        <v>0</v>
      </c>
      <c r="Q23" s="440">
        <f t="shared" ref="Q23:Q32" ca="1" si="17">SUM(B23:P23)</f>
        <v>41483.414811745424</v>
      </c>
    </row>
    <row r="24" spans="1:17">
      <c r="A24" s="440" t="s">
        <v>187</v>
      </c>
      <c r="B24" s="441">
        <f t="shared" ca="1" si="2"/>
        <v>561.40242684624286</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561.40242684624286</v>
      </c>
    </row>
    <row r="25" spans="1:17">
      <c r="A25" s="440" t="s">
        <v>105</v>
      </c>
      <c r="B25" s="441">
        <f t="shared" ca="1" si="2"/>
        <v>294.465936559152</v>
      </c>
      <c r="C25" s="441">
        <f t="shared" ca="1" si="3"/>
        <v>0</v>
      </c>
      <c r="D25" s="441">
        <f t="shared" si="4"/>
        <v>338.9015305113648</v>
      </c>
      <c r="E25" s="441">
        <f t="shared" si="5"/>
        <v>11.04668933688381</v>
      </c>
      <c r="F25" s="441">
        <f t="shared" si="6"/>
        <v>1477.0335152636364</v>
      </c>
      <c r="G25" s="441">
        <f t="shared" si="7"/>
        <v>0</v>
      </c>
      <c r="H25" s="441">
        <f t="shared" si="8"/>
        <v>0</v>
      </c>
      <c r="I25" s="441">
        <f t="shared" si="9"/>
        <v>0</v>
      </c>
      <c r="J25" s="441">
        <f t="shared" si="10"/>
        <v>139.60132079865107</v>
      </c>
      <c r="K25" s="441">
        <f t="shared" si="11"/>
        <v>0</v>
      </c>
      <c r="L25" s="441">
        <f t="shared" si="12"/>
        <v>0</v>
      </c>
      <c r="M25" s="441">
        <f t="shared" si="13"/>
        <v>0</v>
      </c>
      <c r="N25" s="441">
        <f t="shared" si="14"/>
        <v>0</v>
      </c>
      <c r="O25" s="441">
        <f t="shared" si="15"/>
        <v>0</v>
      </c>
      <c r="P25" s="442">
        <f t="shared" si="16"/>
        <v>0</v>
      </c>
      <c r="Q25" s="440">
        <f t="shared" ca="1" si="17"/>
        <v>2261.0489924696881</v>
      </c>
    </row>
    <row r="26" spans="1:17">
      <c r="A26" s="440" t="s">
        <v>596</v>
      </c>
      <c r="B26" s="441">
        <f t="shared" ca="1" si="2"/>
        <v>45770.491386633839</v>
      </c>
      <c r="C26" s="441">
        <f t="shared" ca="1" si="3"/>
        <v>0</v>
      </c>
      <c r="D26" s="441">
        <f t="shared" si="4"/>
        <v>44596.227323096333</v>
      </c>
      <c r="E26" s="441">
        <f t="shared" si="5"/>
        <v>1762.6721917623072</v>
      </c>
      <c r="F26" s="441">
        <f t="shared" si="6"/>
        <v>11456.038271998448</v>
      </c>
      <c r="G26" s="441">
        <f t="shared" si="7"/>
        <v>0</v>
      </c>
      <c r="H26" s="441">
        <f t="shared" si="8"/>
        <v>0</v>
      </c>
      <c r="I26" s="441">
        <f t="shared" si="9"/>
        <v>0</v>
      </c>
      <c r="J26" s="441">
        <f t="shared" si="10"/>
        <v>170.09312886833635</v>
      </c>
      <c r="K26" s="441">
        <f t="shared" si="11"/>
        <v>0</v>
      </c>
      <c r="L26" s="441">
        <f t="shared" si="12"/>
        <v>0</v>
      </c>
      <c r="M26" s="441">
        <f t="shared" si="13"/>
        <v>0</v>
      </c>
      <c r="N26" s="441">
        <f t="shared" si="14"/>
        <v>0</v>
      </c>
      <c r="O26" s="441">
        <f t="shared" si="15"/>
        <v>0</v>
      </c>
      <c r="P26" s="442">
        <f t="shared" si="16"/>
        <v>0</v>
      </c>
      <c r="Q26" s="440">
        <f t="shared" ca="1" si="17"/>
        <v>103755.52230235926</v>
      </c>
    </row>
    <row r="27" spans="1:17" s="446" customFormat="1">
      <c r="A27" s="444" t="s">
        <v>545</v>
      </c>
      <c r="B27" s="708">
        <f t="shared" ca="1" si="2"/>
        <v>35.797246405191409</v>
      </c>
      <c r="C27" s="445">
        <f t="shared" ca="1" si="3"/>
        <v>0</v>
      </c>
      <c r="D27" s="445">
        <f t="shared" si="4"/>
        <v>55.143692805192067</v>
      </c>
      <c r="E27" s="445">
        <f t="shared" si="5"/>
        <v>121.18811058196775</v>
      </c>
      <c r="F27" s="445">
        <f t="shared" si="6"/>
        <v>0</v>
      </c>
      <c r="G27" s="445">
        <f t="shared" si="7"/>
        <v>81159.951413422474</v>
      </c>
      <c r="H27" s="445">
        <f t="shared" si="8"/>
        <v>12065.696974665856</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93437.777437880679</v>
      </c>
    </row>
    <row r="28" spans="1:17">
      <c r="A28" s="440" t="s">
        <v>535</v>
      </c>
      <c r="B28" s="441">
        <f t="shared" ca="1" si="2"/>
        <v>3.9256000729645635</v>
      </c>
      <c r="C28" s="441">
        <f t="shared" ca="1" si="3"/>
        <v>0</v>
      </c>
      <c r="D28" s="441">
        <f t="shared" si="4"/>
        <v>0</v>
      </c>
      <c r="E28" s="441">
        <f t="shared" si="5"/>
        <v>0</v>
      </c>
      <c r="F28" s="441">
        <f t="shared" si="6"/>
        <v>0</v>
      </c>
      <c r="G28" s="441">
        <f t="shared" si="7"/>
        <v>501.39586371871405</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505.32146379167864</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476.44265920638588</v>
      </c>
      <c r="C32" s="441">
        <f t="shared" ca="1" si="3"/>
        <v>0</v>
      </c>
      <c r="D32" s="441">
        <f t="shared" si="4"/>
        <v>943.62193334046469</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1420.0645925468507</v>
      </c>
    </row>
    <row r="33" spans="1:17" s="450" customFormat="1">
      <c r="A33" s="957" t="s">
        <v>539</v>
      </c>
      <c r="B33" s="905">
        <f ca="1">SUM(B22:B32)</f>
        <v>74579.794819431263</v>
      </c>
      <c r="C33" s="905">
        <f t="shared" ref="C33:Q33" ca="1" si="18">SUM(C22:C32)</f>
        <v>0</v>
      </c>
      <c r="D33" s="905">
        <f t="shared" ca="1" si="18"/>
        <v>96143.538984644663</v>
      </c>
      <c r="E33" s="905">
        <f t="shared" si="18"/>
        <v>3070.3164885219539</v>
      </c>
      <c r="F33" s="905">
        <f t="shared" ca="1" si="18"/>
        <v>40474.214575514517</v>
      </c>
      <c r="G33" s="905">
        <f t="shared" si="18"/>
        <v>81661.347277141191</v>
      </c>
      <c r="H33" s="905">
        <f t="shared" si="18"/>
        <v>12065.696974665856</v>
      </c>
      <c r="I33" s="905">
        <f t="shared" si="18"/>
        <v>0</v>
      </c>
      <c r="J33" s="905">
        <f t="shared" si="18"/>
        <v>475.71624244646654</v>
      </c>
      <c r="K33" s="905">
        <f t="shared" si="18"/>
        <v>0</v>
      </c>
      <c r="L33" s="905">
        <f t="shared" ca="1" si="18"/>
        <v>0</v>
      </c>
      <c r="M33" s="905">
        <f t="shared" si="18"/>
        <v>0</v>
      </c>
      <c r="N33" s="905">
        <f t="shared" ca="1" si="18"/>
        <v>0</v>
      </c>
      <c r="O33" s="905">
        <f t="shared" si="18"/>
        <v>0</v>
      </c>
      <c r="P33" s="905">
        <f t="shared" si="18"/>
        <v>0</v>
      </c>
      <c r="Q33" s="905">
        <f t="shared" ca="1" si="18"/>
        <v>308470.62536236586</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6889.7925010185299</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35426.489303632399</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42316.281804650927</v>
      </c>
      <c r="C10" s="978">
        <f>SUM(C4:C9)</f>
        <v>0</v>
      </c>
      <c r="D10" s="978">
        <f t="shared" ref="D10:H10" si="0">SUM(D8:D9)</f>
        <v>0</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0.19637557693252558</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0</v>
      </c>
      <c r="D20" s="978">
        <f t="shared" ref="D20:H20" si="2">SUM(D17:D19)</f>
        <v>0</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0.19637557693252558</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2022-07-26T10:43:14Z</dcterms:modified>
</cp:coreProperties>
</file>