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018FDAB4-D5E3-47FF-ADC7-537AE4D03133}"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<sst xmlns="http://schemas.openxmlformats.org/spreadsheetml/2006/main" count="2402" uniqueCount="881">
  <si>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</si>
  <si>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</si>
  <si>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</si>
  <si>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</si>
  <si>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</si>
  <si>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</si>
  <si>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</si>
  <si>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</si>
  <si>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</si>
  <si>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</si>
  <si>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</si>
  <si>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</si>
  <si>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</si>
  <si>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</si>
  <si>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</si>
  <si>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</si>
  <si>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</si>
  <si>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</si>
  <si>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</si>
  <si>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</si>
  <si>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</si>
  <si>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</si>
  <si>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</si>
  <si>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</si>
  <si>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</si>
  <si>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</si>
  <si>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</si>
  <si>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</si>
  <si>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</si>
  <si>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</si>
  <si>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</si>
  <si>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</si>
  <si>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</si>
  <si>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</si>
  <si>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</si>
  <si>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</si>
  <si>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</si>
  <si>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</si>
  <si>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</si>
  <si>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</si>
  <si>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</si>
  <si>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</si>
  <si>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</si>
  <si>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</si>
  <si>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</si>
  <si>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</si>
  <si>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</si>
  <si>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</si>
  <si>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</si>
  <si>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</si>
  <si>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</si>
  <si>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</si>
  <si>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</si>
  <si>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</si>
  <si>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</si>
  <si>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</si>
  <si>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</si>
  <si>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</si>
  <si>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</si>
  <si>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</si>
  <si>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</si>
  <si>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</si>
  <si>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</si>
  <si>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</si>
  <si>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</si>
  <si>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</si>
  <si>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</si>
  <si>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</si>
  <si>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</si>
  <si>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</si>
  <si>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</si>
  <si>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</si>
  <si>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</si>
  <si>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</si>
  <si>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</si>
  <si>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</si>
  <si>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</si>
  <si>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</si>
  <si>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</si>
  <si>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</si>
  <si>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</si>
  <si>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</si>
  <si>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</si>
  <si>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</si>
  <si>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</si>
  <si>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</si>
  <si>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</si>
  <si>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</si>
  <si>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</si>
  <si>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</si>
  <si>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</si>
  <si>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</si>
  <si>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</si>
  <si>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</si>
  <si>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</si>
  <si>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</si>
  <si>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</si>
  <si>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</si>
  <si>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</si>
  <si>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</si>
  <si>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</si>
  <si>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</si>
  <si>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</si>
  <si>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</si>
  <si>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</si>
  <si>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</si>
  <si>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</si>
  <si>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</si>
  <si>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</si>
  <si>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</si>
  <si>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</si>
  <si>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</si>
  <si>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</si>
  <si>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</si>
  <si>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</si>
  <si>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</si>
  <si>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</si>
  <si>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</si>
  <si>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</si>
  <si>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</si>
  <si>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</si>
  <si>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</si>
  <si>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</si>
  <si>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</si>
  <si>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</si>
  <si>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</si>
  <si>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</si>
  <si>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</si>
  <si>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</si>
  <si>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</si>
  <si>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</si>
  <si>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</si>
  <si>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</si>
  <si>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</si>
  <si>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</si>
  <si>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</si>
  <si>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</si>
  <si>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</si>
  <si>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</si>
  <si>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</si>
  <si>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</si>
  <si>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</si>
  <si>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</si>
  <si>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</si>
  <si>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</si>
  <si>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</si>
  <si>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</si>
  <si>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</si>
  <si>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</si>
  <si>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</si>
  <si>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</si>
  <si>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</si>
  <si>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</si>
  <si>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</si>
  <si>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</si>
  <si>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</si>
  <si>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</si>
  <si>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</si>
  <si>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</si>
  <si>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</si>
  <si>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</si>
  <si>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</si>
  <si>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</si>
  <si>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</si>
  <si>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</si>
  <si>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</si>
  <si>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</si>
  <si>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</si>
  <si>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</si>
  <si>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</si>
  <si>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</si>
  <si>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</si>
  <si>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</si>
  <si>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</si>
  <si>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</si>
  <si>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</si>
  <si>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</si>
  <si>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</si>
  <si>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</si>
  <si>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</si>
  <si>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</si>
  <si>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</si>
  <si>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</si>
  <si>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</si>
  <si>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</si>
  <si>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</si>
  <si>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</si>
  <si>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</si>
  <si>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</si>
  <si>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</si>
  <si>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</si>
  <si>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</si>
  <si>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</si>
  <si>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</si>
  <si>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</si>
  <si>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</si>
  <si>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</si>
  <si>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</si>
  <si>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</si>
  <si>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</si>
  <si>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</si>
  <si>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</si>
  <si>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</si>
  <si>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</si>
  <si>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</si>
  <si>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</si>
  <si>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</si>
  <si>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</si>
  <si>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</si>
  <si>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</si>
  <si>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</si>
  <si>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</si>
  <si>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</si>
  <si>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</si>
  <si>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</si>
  <si>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</si>
  <si>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</si>
  <si>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</si>
  <si>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</si>
  <si>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</si>
  <si>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</si>
  <si>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</si>
  <si>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</si>
  <si>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</si>
  <si>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</si>
  <si>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</si>
  <si>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</si>
  <si>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</si>
  <si>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</si>
  <si>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</si>
  <si>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</si>
  <si>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</si>
  <si>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</si>
  <si>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</si>
  <si>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</si>
  <si>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</si>
  <si>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</si>
  <si>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</si>
  <si>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</si>
  <si>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</si>
  <si>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</si>
  <si>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</si>
  <si>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</si>
  <si>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</si>
  <si>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</si>
  <si>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</si>
  <si>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</si>
  <si>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</si>
  <si>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</si>
  <si>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</si>
  <si>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</si>
  <si>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</si>
  <si>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</si>
  <si>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</si>
  <si>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</si>
  <si>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</si>
  <si>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</si>
  <si>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</si>
  <si>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</si>
  <si>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</si>
  <si>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</si>
  <si>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</si>
  <si>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</si>
  <si>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</si>
  <si>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</si>
  <si>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</si>
  <si>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</si>
  <si>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</si>
  <si>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</si>
  <si>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</si>
  <si>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</si>
  <si>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</si>
  <si>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</si>
  <si>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</si>
  <si>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</si>
  <si>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</si>
  <si>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</si>
  <si>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</si>
  <si>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</si>
  <si>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</si>
  <si>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</si>
  <si>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</si>
  <si>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</si>
  <si>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</si>
  <si>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</si>
  <si>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</si>
  <si>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</si>
  <si>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</si>
  <si>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</si>
  <si>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</si>
  <si>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</si>
  <si>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</si>
  <si>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</si>
  <si>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</si>
  <si>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</si>
  <si>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</si>
  <si>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</si>
  <si>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</si>
  <si>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</si>
  <si>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</si>
  <si>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</si>
  <si>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</si>
  <si>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</si>
  <si>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</si>
  <si>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</si>
  <si>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</si>
  <si>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</si>
  <si>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</si>
  <si>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</si>
  <si>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</si>
  <si>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</si>
  <si>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</si>
  <si>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</si>
  <si>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</si>
  <si>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</si>
  <si>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</si>
  <si>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</si>
  <si>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</si>
  <si>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</si>
  <si>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</si>
  <si>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</si>
  <si>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</si>
  <si>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</si>
  <si>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</si>
  <si>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</si>
  <si>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</si>
  <si>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</si>
  <si>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</si>
  <si>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</si>
  <si>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</si>
  <si>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</si>
  <si>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</si>
  <si>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</si>
  <si>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</si>
  <si>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</si>
  <si>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</si>
  <si>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</si>
  <si>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</si>
  <si>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</si>
  <si>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</si>
  <si>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</si>
  <si>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</si>
  <si>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</si>
  <si>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</si>
  <si>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</si>
  <si>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</si>
  <si>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</si>
  <si>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</si>
  <si>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</si>
  <si>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</si>
  <si>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</si>
  <si>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</si>
  <si>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</si>
  <si>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</si>
  <si>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</si>
  <si>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</si>
  <si>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</si>
  <si>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</si>
  <si>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</si>
  <si>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</si>
  <si>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</si>
  <si>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</si>
  <si>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</si>
  <si>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</si>
  <si>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</si>
  <si>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</si>
  <si>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</si>
  <si>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</si>
  <si>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</si>
  <si>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</si>
  <si>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</si>
  <si>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</si>
  <si>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</si>
  <si>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</si>
  <si>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</si>
  <si>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</si>
  <si>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</si>
  <si>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</si>
  <si>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</si>
  <si>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</si>
  <si>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</si>
  <si>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</si>
  <si>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</si>
  <si>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</si>
  <si>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</si>
  <si>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</si>
  <si>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</si>
  <si>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</si>
  <si>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</si>
  <si>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</si>
  <si>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</si>
  <si>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</si>
  <si>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</si>
  <si>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</si>
  <si>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</si>
  <si>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</si>
  <si>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</si>
  <si>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</si>
  <si>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</si>
  <si>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</si>
  <si>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</si>
  <si>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</si>
  <si>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</si>
  <si>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</si>
  <si>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</si>
  <si>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</si>
  <si>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</si>
  <si>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</si>
  <si>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</si>
  <si>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</si>
  <si>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</si>
  <si>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</si>
  <si>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</si>
  <si>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</si>
  <si>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</si>
  <si>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</si>
  <si>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</si>
  <si>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</si>
  <si>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</si>
  <si>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</si>
  <si>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</si>
  <si>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</si>
  <si>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</si>
  <si>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</si>
  <si>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</si>
  <si>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</si>
  <si>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</si>
  <si>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</si>
  <si>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</si>
  <si>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</si>
  <si>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</si>
  <si>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</si>
  <si>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</si>
  <si>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</si>
  <si>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</si>
  <si>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</si>
  <si>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</si>
  <si>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</si>
  <si>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</si>
  <si>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</si>
  <si>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</si>
  <si>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</si>
  <si>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</si>
  <si>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</si>
  <si>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</si>
  <si>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</si>
  <si>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</si>
  <si>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</si>
  <si>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</si>
  <si>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</si>
  <si>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</si>
  <si>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</si>
  <si>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</si>
  <si>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</si>
  <si>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</si>
  <si>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</si>
  <si>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</si>
  <si>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</si>
  <si>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</si>
  <si>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</si>
  <si>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</si>
  <si>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</si>
  <si>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</si>
  <si>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</si>
  <si>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</si>
  <si>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</si>
  <si>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</si>
  <si>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</si>
  <si>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</si>
  <si>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</si>
  <si>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</si>
  <si>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</si>
  <si>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</si>
  <si>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</si>
  <si>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</si>
  <si>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</si>
  <si>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</si>
  <si>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</si>
  <si>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</si>
  <si>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</si>
  <si>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</si>
  <si>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</si>
  <si>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</si>
  <si>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</si>
  <si>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</si>
  <si>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</si>
  <si>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</si>
  <si>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</si>
  <si>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</si>
  <si>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</si>
  <si>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</si>
  <si>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</si>
  <si>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</si>
  <si>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</si>
  <si>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</si>
  <si>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</si>
  <si>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</si>
  <si>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</si>
  <si>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</si>
  <si>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</si>
  <si>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</si>
  <si>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</si>
  <si>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</si>
  <si>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</si>
  <si>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</si>
  <si>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</si>
  <si>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</si>
  <si>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</si>
  <si>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</si>
  <si>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</si>
  <si>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</si>
  <si>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</si>
  <si>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</si>
  <si>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</si>
  <si>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</si>
  <si>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</si>
  <si>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</si>
  <si>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</si>
  <si>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</si>
  <si>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</si>
  <si>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</si>
  <si>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</si>
  <si>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</si>
  <si>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</si>
  <si>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</si>
  <si>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</si>
  <si>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</si>
  <si>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</si>
  <si>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</si>
  <si>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</si>
  <si>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</si>
  <si>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</si>
  <si>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</si>
  <si>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</si>
  <si>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</si>
  <si>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</si>
  <si>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</si>
  <si>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</si>
  <si>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</si>
  <si>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</si>
  <si>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</si>
  <si>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</si>
  <si>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</si>
  <si>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</si>
  <si>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</si>
  <si>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</si>
  <si>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</si>
  <si>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</si>
  <si>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</si>
  <si>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</si>
  <si>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</si>
  <si>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</si>
  <si>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</si>
  <si>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</si>
  <si>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</si>
  <si>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</si>
  <si>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</si>
  <si>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</si>
  <si>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</si>
  <si>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</si>
  <si>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</si>
  <si>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</si>
  <si>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</si>
  <si>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</si>
  <si>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</si>
  <si>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</si>
  <si>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</si>
  <si>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</si>
  <si>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</si>
  <si>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</si>
  <si>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</si>
  <si>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</si>
  <si>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</si>
  <si>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</si>
  <si>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</si>
  <si>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</si>
  <si>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</si>
  <si>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</si>
  <si>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</si>
  <si>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</si>
  <si>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</si>
  <si>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</si>
  <si>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</si>
  <si>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</si>
  <si>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</si>
  <si>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</si>
  <si>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</si>
  <si>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</si>
  <si>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</si>
  <si>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</si>
  <si>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</si>
  <si>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</si>
  <si>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</si>
  <si>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</si>
  <si>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</si>
  <si>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</si>
  <si>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</si>
  <si>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</si>
  <si>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</si>
  <si>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</si>
  <si>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</si>
  <si>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</si>
  <si>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</si>
  <si>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</si>
  <si>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</si>
  <si>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</si>
  <si>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</si>
  <si>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</si>
  <si>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</si>
  <si>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</si>
  <si>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</si>
  <si>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</si>
  <si>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</si>
  <si>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</si>
  <si>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</si>
  <si>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</si>
  <si>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</si>
  <si>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</si>
  <si>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</si>
  <si>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</si>
  <si>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</si>
  <si>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</si>
  <si>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</si>
  <si>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</si>
  <si>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</si>
  <si>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</si>
  <si>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</si>
  <si>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</si>
  <si>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</si>
  <si>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</si>
  <si>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</si>
  <si>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</si>
  <si>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</si>
  <si>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</si>
  <si>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</si>
  <si>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</si>
  <si>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</si>
  <si>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</si>
  <si>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</si>
  <si>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</si>
  <si>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</si>
  <si>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</si>
  <si>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</si>
  <si>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</si>
  <si>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</si>
  <si>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</si>
  <si>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</si>
  <si>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</si>
  <si>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</si>
  <si>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</si>
  <si>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</si>
  <si>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</si>
  <si>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</si>
  <si>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</si>
  <si>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</si>
  <si>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</si>
  <si>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</si>
  <si>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</si>
  <si>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</si>
  <si>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</si>
  <si>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</si>
  <si>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</si>
  <si>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</si>
  <si>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</si>
  <si>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</si>
  <si>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</si>
  <si>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</si>
  <si>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</si>
  <si>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</si>
  <si>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</si>
  <si>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</si>
  <si>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</si>
  <si>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</si>
  <si>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</si>
  <si>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</si>
  <si>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</si>
  <si>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</si>
  <si>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</si>
  <si>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</si>
  <si>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</si>
  <si>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</si>
  <si>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</si>
  <si>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</si>
  <si>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</si>
  <si>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</si>
  <si>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</si>
  <si>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</si>
  <si>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</si>
  <si>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</si>
  <si>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</si>
  <si>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</si>
  <si>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</si>
  <si>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</si>
  <si>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</si>
  <si>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</si>
  <si>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</si>
  <si>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</si>
  <si>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</si>
  <si>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</si>
  <si>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</si>
  <si>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</si>
  <si>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</si>
  <si>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</si>
  <si>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</si>
  <si>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</si>
  <si>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</si>
  <si>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</si>
  <si>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</si>
  <si>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</si>
  <si>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</si>
  <si>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</si>
  <si>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</si>
  <si>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</si>
  <si>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</si>
  <si>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</si>
  <si>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</si>
  <si>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</si>
  <si>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</si>
  <si>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</si>
  <si>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</si>
  <si>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</si>
  <si>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</si>
  <si>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</si>
  <si>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</si>
  <si>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</si>
  <si>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</si>
  <si>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</si>
  <si>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</si>
  <si>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</si>
  <si>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</si>
  <si>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</si>
  <si>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</si>
  <si>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</si>
  <si>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</si>
  <si>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</si>
  <si>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</si>
  <si>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</si>
  <si>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</si>
  <si>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</si>
  <si>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</si>
  <si>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</si>
  <si>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</si>
  <si>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</si>
  <si>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</si>
  <si>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</si>
  <si>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</si>
  <si>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</si>
  <si>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</si>
  <si>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</si>
  <si>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</si>
  <si>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</si>
  <si>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</si>
  <si>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</si>
  <si>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</si>
  <si>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</si>
  <si>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</si>
  <si>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</si>
  <si>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</si>
  <si>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</si>
  <si>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</si>
  <si>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</si>
  <si>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</si>
  <si>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</si>
  <si>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</si>
  <si>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</si>
  <si>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</si>
  <si>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</si>
  <si>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</si>
  <si>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</si>
  <si>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</si>
  <si>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</si>
  <si>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</si>
  <si>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</si>
  <si>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</si>
  <si>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</si>
  <si>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</si>
  <si>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</si>
  <si>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</si>
  <si>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</si>
  <si>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</si>
  <si>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</si>
  <si>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</si>
  <si>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</si>
  <si>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</si>
  <si>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</si>
  <si>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</si>
  <si>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</si>
  <si>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</si>
  <si>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</si>
  <si>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</si>
  <si>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</si>
  <si>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</si>
  <si>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</si>
  <si>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</si>
  <si>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</si>
  <si>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</si>
  <si>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</si>
  <si>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</si>
  <si>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</si>
  <si>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</si>
  <si>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</si>
  <si>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</si>
  <si>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</si>
  <si>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</si>
  <si>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</si>
  <si>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</si>
  <si>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</si>
  <si>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</si>
  <si>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</si>
  <si>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</si>
  <si>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</si>
  <si>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</si>
  <si>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</si>
  <si>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</si>
  <si>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</si>
  <si>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</si>
  <si>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</si>
  <si>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</si>
  <si>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</si>
  <si>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</si>
  <si>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</si>
  <si>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</si>
  <si>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</si>
  <si>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</si>
  <si>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</si>
  <si>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</si>
  <si>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</si>
  <si>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</si>
  <si>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</si>
  <si>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</si>
  <si>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</si>
  <si>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</si>
  <si>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</si>
  <si>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</si>
  <si>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</si>
  <si>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</si>
  <si>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</si>
  <si>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</si>
  <si>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</si>
  <si>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</si>
  <si>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</si>
  <si>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</si>
  <si>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</si>
  <si>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</si>
  <si>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</si>
  <si>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</si>
  <si>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</si>
  <si>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</si>
  <si>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</si>
  <si>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</si>
  <si>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</si>
  <si>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</si>
  <si>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</si>
  <si>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</si>
  <si>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</si>
  <si>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</si>
  <si>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</si>
  <si>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</si>
  <si>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</si>
  <si>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</si>
  <si>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</si>
  <si>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</si>
  <si>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</si>
  <si>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</si>
  <si>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</si>
  <si>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</si>
  <si>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</si>
  <si>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</si>
  <si>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</si>
  <si>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</si>
  <si>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</si>
  <si>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</si>
  <si>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</si>
  <si>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</si>
  <si>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</si>
  <si>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32030</t>
  </si>
  <si>
    <t>LO-RENINGE</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</si>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</sst>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67605AE0-8632-4FDA-8E1C-805191E5F6E3}"/>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25622.712816313353</c:v>
                </c:pt>
                <c:pt idx="1">
                  <c:v>8335.8369341705547</c:v>
                </c:pt>
                <c:pt idx="2">
                  <c:v>197.684</c:v>
                </c:pt>
                <c:pt idx="3">
                  <c:v>28226.333303976418</c:v>
                </c:pt>
                <c:pt idx="4">
                  <c:v>7417.3900988563155</c:v>
                </c:pt>
                <c:pt idx="5">
                  <c:v>16706.362288196622</c:v>
                </c:pt>
                <c:pt idx="6">
                  <c:v>224.23546073889099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25622.712816313353</c:v>
                </c:pt>
                <c:pt idx="1">
                  <c:v>8335.8369341705547</c:v>
                </c:pt>
                <c:pt idx="2">
                  <c:v>197.684</c:v>
                </c:pt>
                <c:pt idx="3">
                  <c:v>28226.333303976418</c:v>
                </c:pt>
                <c:pt idx="4">
                  <c:v>7417.3900988563155</c:v>
                </c:pt>
                <c:pt idx="5">
                  <c:v>16706.362288196622</c:v>
                </c:pt>
                <c:pt idx="6">
                  <c:v>224.23546073889099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5231.2688213257834</c:v>
                </c:pt>
                <c:pt idx="2">
                  <c:v>1595.6877485219591</c:v>
                </c:pt>
                <c:pt idx="3">
                  <c:v>35.932393036822127</c:v>
                </c:pt>
                <c:pt idx="4">
                  <c:v>7141.8577163493947</c:v>
                </c:pt>
                <c:pt idx="5">
                  <c:v>1445.9403512464824</c:v>
                </c:pt>
                <c:pt idx="6">
                  <c:v>4176.6360473550621</c:v>
                </c:pt>
                <c:pt idx="7">
                  <c:v>56.45285087199133</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5231.2688213257834</c:v>
                </c:pt>
                <c:pt idx="2">
                  <c:v>1595.6877485219591</c:v>
                </c:pt>
                <c:pt idx="3">
                  <c:v>35.932393036822127</c:v>
                </c:pt>
                <c:pt idx="4">
                  <c:v>7141.8577163493947</c:v>
                </c:pt>
                <c:pt idx="5">
                  <c:v>1445.9403512464824</c:v>
                </c:pt>
                <c:pt idx="6">
                  <c:v>4176.6360473550621</c:v>
                </c:pt>
                <c:pt idx="7">
                  <c:v>56.45285087199133</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32030</v>
      </c>
      <c r="B6" s="380"/>
      <c r="C6" s="381"/>
    </row>
    <row r="7" spans="1:7" s="378" customFormat="1" ht="15.75" customHeight="1">
      <c r="A7" s="382" t="str">
        <f>txtMunicipality</f>
        <v>LO-RENINGE</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0.18176682501781696</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0.18176682501781696</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1238</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5479.9</v>
      </c>
      <c r="C14" s="322"/>
      <c r="D14" s="322"/>
      <c r="E14" s="322"/>
      <c r="F14" s="322"/>
    </row>
    <row r="15" spans="1:6">
      <c r="A15" s="1248" t="s">
        <v>177</v>
      </c>
      <c r="B15" s="1249">
        <v>92</v>
      </c>
      <c r="C15" s="322"/>
      <c r="D15" s="322"/>
      <c r="E15" s="322"/>
      <c r="F15" s="322"/>
    </row>
    <row r="16" spans="1:6">
      <c r="A16" s="1248" t="s">
        <v>6</v>
      </c>
      <c r="B16" s="1249">
        <v>3513</v>
      </c>
      <c r="C16" s="322"/>
      <c r="D16" s="322"/>
      <c r="E16" s="322"/>
      <c r="F16" s="322"/>
    </row>
    <row r="17" spans="1:6">
      <c r="A17" s="1248" t="s">
        <v>7</v>
      </c>
      <c r="B17" s="1249">
        <v>1997</v>
      </c>
      <c r="C17" s="322"/>
      <c r="D17" s="322"/>
      <c r="E17" s="322"/>
      <c r="F17" s="322"/>
    </row>
    <row r="18" spans="1:6">
      <c r="A18" s="1248" t="s">
        <v>8</v>
      </c>
      <c r="B18" s="1249">
        <v>3350</v>
      </c>
      <c r="C18" s="322"/>
      <c r="D18" s="322"/>
      <c r="E18" s="322"/>
      <c r="F18" s="322"/>
    </row>
    <row r="19" spans="1:6">
      <c r="A19" s="1248" t="s">
        <v>9</v>
      </c>
      <c r="B19" s="1249">
        <v>2803</v>
      </c>
      <c r="C19" s="322"/>
      <c r="D19" s="322"/>
      <c r="E19" s="322"/>
      <c r="F19" s="322"/>
    </row>
    <row r="20" spans="1:6">
      <c r="A20" s="1248" t="s">
        <v>10</v>
      </c>
      <c r="B20" s="1249">
        <v>1667</v>
      </c>
      <c r="C20" s="322"/>
      <c r="D20" s="322"/>
      <c r="E20" s="322"/>
      <c r="F20" s="322"/>
    </row>
    <row r="21" spans="1:6">
      <c r="A21" s="1248" t="s">
        <v>11</v>
      </c>
      <c r="B21" s="1249">
        <v>36761</v>
      </c>
      <c r="C21" s="322"/>
      <c r="D21" s="322"/>
      <c r="E21" s="322"/>
      <c r="F21" s="322"/>
    </row>
    <row r="22" spans="1:6">
      <c r="A22" s="1248" t="s">
        <v>12</v>
      </c>
      <c r="B22" s="1249">
        <v>55938</v>
      </c>
      <c r="C22" s="322"/>
      <c r="D22" s="322"/>
      <c r="E22" s="322"/>
      <c r="F22" s="322"/>
    </row>
    <row r="23" spans="1:6">
      <c r="A23" s="1248" t="s">
        <v>13</v>
      </c>
      <c r="B23" s="1249">
        <v>1813</v>
      </c>
      <c r="C23" s="322"/>
      <c r="D23" s="322"/>
      <c r="E23" s="322"/>
      <c r="F23" s="322"/>
    </row>
    <row r="24" spans="1:6">
      <c r="A24" s="1248" t="s">
        <v>14</v>
      </c>
      <c r="B24" s="1249">
        <v>62</v>
      </c>
      <c r="C24" s="322"/>
      <c r="D24" s="322"/>
      <c r="E24" s="322"/>
      <c r="F24" s="322"/>
    </row>
    <row r="25" spans="1:6">
      <c r="A25" s="1248" t="s">
        <v>15</v>
      </c>
      <c r="B25" s="1249">
        <v>8954</v>
      </c>
      <c r="C25" s="322"/>
      <c r="D25" s="322"/>
      <c r="E25" s="322"/>
      <c r="F25" s="322"/>
    </row>
    <row r="26" spans="1:6">
      <c r="A26" s="1248" t="s">
        <v>16</v>
      </c>
      <c r="B26" s="1249">
        <v>1241</v>
      </c>
      <c r="C26" s="322"/>
      <c r="D26" s="322"/>
      <c r="E26" s="322"/>
      <c r="F26" s="322"/>
    </row>
    <row r="27" spans="1:6">
      <c r="A27" s="1248" t="s">
        <v>17</v>
      </c>
      <c r="B27" s="1249">
        <v>609</v>
      </c>
      <c r="C27" s="322"/>
      <c r="D27" s="322"/>
      <c r="E27" s="322"/>
      <c r="F27" s="322"/>
    </row>
    <row r="28" spans="1:6">
      <c r="A28" s="1248" t="s">
        <v>18</v>
      </c>
      <c r="B28" s="1250">
        <v>411162</v>
      </c>
      <c r="C28" s="322"/>
      <c r="D28" s="322"/>
      <c r="E28" s="322"/>
      <c r="F28" s="322"/>
    </row>
    <row r="29" spans="1:6">
      <c r="A29" s="1248" t="s">
        <v>691</v>
      </c>
      <c r="B29" s="1250">
        <v>55</v>
      </c>
      <c r="C29" s="322"/>
      <c r="D29" s="322"/>
      <c r="E29" s="322"/>
      <c r="F29" s="322"/>
    </row>
    <row r="30" spans="1:6">
      <c r="A30" s="1243" t="s">
        <v>692</v>
      </c>
      <c r="B30" s="1251">
        <v>15</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1</v>
      </c>
      <c r="F38" s="1249">
        <v>8969</v>
      </c>
    </row>
    <row r="39" spans="1:6">
      <c r="A39" s="1248" t="s">
        <v>29</v>
      </c>
      <c r="B39" s="1248" t="s">
        <v>30</v>
      </c>
      <c r="C39" s="1249">
        <v>568</v>
      </c>
      <c r="D39" s="1249">
        <v>8741318.9930420201</v>
      </c>
      <c r="E39" s="1249">
        <v>1060</v>
      </c>
      <c r="F39" s="1249">
        <v>4095843.6687029498</v>
      </c>
    </row>
    <row r="40" spans="1:6">
      <c r="A40" s="1248" t="s">
        <v>29</v>
      </c>
      <c r="B40" s="1248" t="s">
        <v>28</v>
      </c>
      <c r="C40" s="1249">
        <v>0</v>
      </c>
      <c r="D40" s="1249">
        <v>0</v>
      </c>
      <c r="E40" s="1249">
        <v>0</v>
      </c>
      <c r="F40" s="1249">
        <v>0</v>
      </c>
    </row>
    <row r="41" spans="1:6">
      <c r="A41" s="1248" t="s">
        <v>31</v>
      </c>
      <c r="B41" s="1248" t="s">
        <v>32</v>
      </c>
      <c r="C41" s="1249">
        <v>6</v>
      </c>
      <c r="D41" s="1249">
        <v>111041.89229255699</v>
      </c>
      <c r="E41" s="1249">
        <v>32</v>
      </c>
      <c r="F41" s="1249">
        <v>683570.38909031102</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8</v>
      </c>
      <c r="F44" s="1249">
        <v>762772.95037543995</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14</v>
      </c>
      <c r="D48" s="1249">
        <v>266111.72134200402</v>
      </c>
      <c r="E48" s="1249">
        <v>27</v>
      </c>
      <c r="F48" s="1249">
        <v>4015887.0908051301</v>
      </c>
    </row>
    <row r="49" spans="1:6">
      <c r="A49" s="1248" t="s">
        <v>31</v>
      </c>
      <c r="B49" s="1248" t="s">
        <v>39</v>
      </c>
      <c r="C49" s="1249">
        <v>0</v>
      </c>
      <c r="D49" s="1249">
        <v>0</v>
      </c>
      <c r="E49" s="1249">
        <v>0</v>
      </c>
      <c r="F49" s="1249">
        <v>0</v>
      </c>
    </row>
    <row r="50" spans="1:6">
      <c r="A50" s="1248" t="s">
        <v>31</v>
      </c>
      <c r="B50" s="1248" t="s">
        <v>40</v>
      </c>
      <c r="C50" s="1249">
        <v>0</v>
      </c>
      <c r="D50" s="1249">
        <v>0</v>
      </c>
      <c r="E50" s="1249">
        <v>0</v>
      </c>
      <c r="F50" s="1249">
        <v>0</v>
      </c>
    </row>
    <row r="51" spans="1:6">
      <c r="A51" s="1248" t="s">
        <v>41</v>
      </c>
      <c r="B51" s="1248" t="s">
        <v>42</v>
      </c>
      <c r="C51" s="1249">
        <v>8</v>
      </c>
      <c r="D51" s="1249">
        <v>98612.4031701762</v>
      </c>
      <c r="E51" s="1249">
        <v>147</v>
      </c>
      <c r="F51" s="1249">
        <v>5411708.7983140396</v>
      </c>
    </row>
    <row r="52" spans="1:6">
      <c r="A52" s="1248" t="s">
        <v>41</v>
      </c>
      <c r="B52" s="1248" t="s">
        <v>28</v>
      </c>
      <c r="C52" s="1249">
        <v>5</v>
      </c>
      <c r="D52" s="1249">
        <v>289499.07333546103</v>
      </c>
      <c r="E52" s="1249">
        <v>9</v>
      </c>
      <c r="F52" s="1249">
        <v>168216.00548388</v>
      </c>
    </row>
    <row r="53" spans="1:6">
      <c r="A53" s="1248" t="s">
        <v>43</v>
      </c>
      <c r="B53" s="1248" t="s">
        <v>44</v>
      </c>
      <c r="C53" s="1249">
        <v>18</v>
      </c>
      <c r="D53" s="1249">
        <v>340236.17695938703</v>
      </c>
      <c r="E53" s="1249">
        <v>59</v>
      </c>
      <c r="F53" s="1249">
        <v>417232.41653805401</v>
      </c>
    </row>
    <row r="54" spans="1:6">
      <c r="A54" s="1248" t="s">
        <v>45</v>
      </c>
      <c r="B54" s="1248" t="s">
        <v>46</v>
      </c>
      <c r="C54" s="1249">
        <v>0</v>
      </c>
      <c r="D54" s="1249">
        <v>0</v>
      </c>
      <c r="E54" s="1249">
        <v>1</v>
      </c>
      <c r="F54" s="1249">
        <v>197684</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9</v>
      </c>
      <c r="D57" s="1249">
        <v>520809.24236750201</v>
      </c>
      <c r="E57" s="1249">
        <v>52</v>
      </c>
      <c r="F57" s="1249">
        <v>464593.30476329703</v>
      </c>
    </row>
    <row r="58" spans="1:6">
      <c r="A58" s="1248" t="s">
        <v>48</v>
      </c>
      <c r="B58" s="1248" t="s">
        <v>50</v>
      </c>
      <c r="C58" s="1249">
        <v>0</v>
      </c>
      <c r="D58" s="1249">
        <v>0</v>
      </c>
      <c r="E58" s="1249">
        <v>8</v>
      </c>
      <c r="F58" s="1249">
        <v>59402.014600746501</v>
      </c>
    </row>
    <row r="59" spans="1:6">
      <c r="A59" s="1248" t="s">
        <v>48</v>
      </c>
      <c r="B59" s="1248" t="s">
        <v>51</v>
      </c>
      <c r="C59" s="1249">
        <v>3</v>
      </c>
      <c r="D59" s="1249">
        <v>117992.78901131199</v>
      </c>
      <c r="E59" s="1249">
        <v>22</v>
      </c>
      <c r="F59" s="1249">
        <v>830669.19583104399</v>
      </c>
    </row>
    <row r="60" spans="1:6">
      <c r="A60" s="1248" t="s">
        <v>48</v>
      </c>
      <c r="B60" s="1248" t="s">
        <v>52</v>
      </c>
      <c r="C60" s="1249">
        <v>9</v>
      </c>
      <c r="D60" s="1249">
        <v>230771.56384519901</v>
      </c>
      <c r="E60" s="1249">
        <v>18</v>
      </c>
      <c r="F60" s="1249">
        <v>388977.12151396001</v>
      </c>
    </row>
    <row r="61" spans="1:6">
      <c r="A61" s="1248" t="s">
        <v>48</v>
      </c>
      <c r="B61" s="1248" t="s">
        <v>53</v>
      </c>
      <c r="C61" s="1249">
        <v>0</v>
      </c>
      <c r="D61" s="1249">
        <v>0</v>
      </c>
      <c r="E61" s="1249">
        <v>44</v>
      </c>
      <c r="F61" s="1249">
        <v>402625.14364223898</v>
      </c>
    </row>
    <row r="62" spans="1:6">
      <c r="A62" s="1248" t="s">
        <v>48</v>
      </c>
      <c r="B62" s="1248" t="s">
        <v>54</v>
      </c>
      <c r="C62" s="1249">
        <v>4</v>
      </c>
      <c r="D62" s="1249">
        <v>186681.63429952</v>
      </c>
      <c r="E62" s="1249">
        <v>4</v>
      </c>
      <c r="F62" s="1249">
        <v>27050.368967819799</v>
      </c>
    </row>
    <row r="63" spans="1:6">
      <c r="A63" s="1248" t="s">
        <v>48</v>
      </c>
      <c r="B63" s="1248" t="s">
        <v>28</v>
      </c>
      <c r="C63" s="1249">
        <v>46</v>
      </c>
      <c r="D63" s="1249">
        <v>3244398.2513742698</v>
      </c>
      <c r="E63" s="1249">
        <v>54</v>
      </c>
      <c r="F63" s="1249">
        <v>1178370.2855593499</v>
      </c>
    </row>
    <row r="64" spans="1:6">
      <c r="A64" s="1248" t="s">
        <v>55</v>
      </c>
      <c r="B64" s="1248" t="s">
        <v>56</v>
      </c>
      <c r="C64" s="1249">
        <v>0</v>
      </c>
      <c r="D64" s="1249">
        <v>0</v>
      </c>
      <c r="E64" s="1249">
        <v>0</v>
      </c>
      <c r="F64" s="1249">
        <v>0</v>
      </c>
    </row>
    <row r="65" spans="1:6">
      <c r="A65" s="1248" t="s">
        <v>55</v>
      </c>
      <c r="B65" s="1248" t="s">
        <v>28</v>
      </c>
      <c r="C65" s="1249">
        <v>0</v>
      </c>
      <c r="D65" s="1249">
        <v>0</v>
      </c>
      <c r="E65" s="1249">
        <v>0</v>
      </c>
      <c r="F65" s="1249">
        <v>0</v>
      </c>
    </row>
    <row r="66" spans="1:6">
      <c r="A66" s="1248" t="s">
        <v>55</v>
      </c>
      <c r="B66" s="1248" t="s">
        <v>57</v>
      </c>
      <c r="C66" s="1249">
        <v>0</v>
      </c>
      <c r="D66" s="1249">
        <v>0</v>
      </c>
      <c r="E66" s="1249">
        <v>3</v>
      </c>
      <c r="F66" s="1249">
        <v>18402.145087046199</v>
      </c>
    </row>
    <row r="67" spans="1:6">
      <c r="A67" s="1248" t="s">
        <v>55</v>
      </c>
      <c r="B67" s="1248" t="s">
        <v>58</v>
      </c>
      <c r="C67" s="1249">
        <v>0</v>
      </c>
      <c r="D67" s="1249">
        <v>0</v>
      </c>
      <c r="E67" s="1249">
        <v>0</v>
      </c>
      <c r="F67" s="1249">
        <v>0</v>
      </c>
    </row>
    <row r="68" spans="1:6">
      <c r="A68" s="1243" t="s">
        <v>55</v>
      </c>
      <c r="B68" s="1243" t="s">
        <v>59</v>
      </c>
      <c r="C68" s="1251">
        <v>0</v>
      </c>
      <c r="D68" s="1251">
        <v>0</v>
      </c>
      <c r="E68" s="1251">
        <v>6</v>
      </c>
      <c r="F68" s="1251">
        <v>39523.786575101403</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6360651</v>
      </c>
      <c r="E73" s="439"/>
      <c r="F73" s="322"/>
    </row>
    <row r="74" spans="1:6">
      <c r="A74" s="1248" t="s">
        <v>63</v>
      </c>
      <c r="B74" s="1248" t="s">
        <v>617</v>
      </c>
      <c r="C74" s="1261" t="s">
        <v>619</v>
      </c>
      <c r="D74" s="1249">
        <v>716564.5</v>
      </c>
      <c r="E74" s="439"/>
      <c r="F74" s="322"/>
    </row>
    <row r="75" spans="1:6">
      <c r="A75" s="1248" t="s">
        <v>64</v>
      </c>
      <c r="B75" s="1248" t="s">
        <v>616</v>
      </c>
      <c r="C75" s="1261" t="s">
        <v>620</v>
      </c>
      <c r="D75" s="1249">
        <v>10126157</v>
      </c>
      <c r="E75" s="439"/>
      <c r="F75" s="322"/>
    </row>
    <row r="76" spans="1:6">
      <c r="A76" s="1248" t="s">
        <v>64</v>
      </c>
      <c r="B76" s="1248" t="s">
        <v>617</v>
      </c>
      <c r="C76" s="1261" t="s">
        <v>621</v>
      </c>
      <c r="D76" s="1249">
        <v>377894.5</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60989</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1409.1897633792159</v>
      </c>
      <c r="C91" s="322"/>
      <c r="D91" s="322"/>
      <c r="E91" s="322"/>
      <c r="F91" s="322"/>
    </row>
    <row r="92" spans="1:6">
      <c r="A92" s="1243" t="s">
        <v>68</v>
      </c>
      <c r="B92" s="1244">
        <v>2191.006106646174</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332</v>
      </c>
      <c r="C97" s="322"/>
      <c r="D97" s="322"/>
      <c r="E97" s="322"/>
      <c r="F97" s="322"/>
    </row>
    <row r="98" spans="1:6">
      <c r="A98" s="1248" t="s">
        <v>71</v>
      </c>
      <c r="B98" s="1249">
        <v>0</v>
      </c>
      <c r="C98" s="322"/>
      <c r="D98" s="322"/>
      <c r="E98" s="322"/>
      <c r="F98" s="322"/>
    </row>
    <row r="99" spans="1:6">
      <c r="A99" s="1248" t="s">
        <v>72</v>
      </c>
      <c r="B99" s="1249">
        <v>88</v>
      </c>
      <c r="C99" s="322"/>
      <c r="D99" s="322"/>
      <c r="E99" s="322"/>
      <c r="F99" s="322"/>
    </row>
    <row r="100" spans="1:6">
      <c r="A100" s="1248" t="s">
        <v>73</v>
      </c>
      <c r="B100" s="1249">
        <v>82</v>
      </c>
      <c r="C100" s="322"/>
      <c r="D100" s="322"/>
      <c r="E100" s="322"/>
      <c r="F100" s="322"/>
    </row>
    <row r="101" spans="1:6">
      <c r="A101" s="1248" t="s">
        <v>74</v>
      </c>
      <c r="B101" s="1249">
        <v>55</v>
      </c>
      <c r="C101" s="322"/>
      <c r="D101" s="322"/>
      <c r="E101" s="322"/>
      <c r="F101" s="322"/>
    </row>
    <row r="102" spans="1:6">
      <c r="A102" s="1248" t="s">
        <v>75</v>
      </c>
      <c r="B102" s="1249">
        <v>21</v>
      </c>
      <c r="C102" s="322"/>
      <c r="D102" s="322"/>
      <c r="E102" s="322"/>
      <c r="F102" s="322"/>
    </row>
    <row r="103" spans="1:6">
      <c r="A103" s="1248" t="s">
        <v>76</v>
      </c>
      <c r="B103" s="1249">
        <v>98</v>
      </c>
      <c r="C103" s="322"/>
      <c r="D103" s="322"/>
      <c r="E103" s="322"/>
      <c r="F103" s="322"/>
    </row>
    <row r="104" spans="1:6">
      <c r="A104" s="1248" t="s">
        <v>77</v>
      </c>
      <c r="B104" s="1249">
        <v>491</v>
      </c>
      <c r="C104" s="322"/>
      <c r="D104" s="322"/>
      <c r="E104" s="322"/>
      <c r="F104" s="322"/>
    </row>
    <row r="105" spans="1:6">
      <c r="A105" s="1243" t="s">
        <v>78</v>
      </c>
      <c r="B105" s="1251">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6</v>
      </c>
      <c r="C123" s="1249">
        <v>5</v>
      </c>
      <c r="D123" s="322"/>
      <c r="E123" s="322"/>
      <c r="F123" s="322"/>
    </row>
    <row r="124" spans="1:6">
      <c r="A124" s="1248" t="s">
        <v>88</v>
      </c>
      <c r="B124" s="1249">
        <v>1</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62</v>
      </c>
      <c r="C129" s="322"/>
      <c r="D129" s="322"/>
      <c r="E129" s="322"/>
      <c r="F129" s="322"/>
    </row>
    <row r="130" spans="1:6">
      <c r="A130" s="1248" t="s">
        <v>283</v>
      </c>
      <c r="B130" s="1249">
        <v>0</v>
      </c>
      <c r="C130" s="322"/>
      <c r="D130" s="322"/>
      <c r="E130" s="322"/>
      <c r="F130" s="322"/>
    </row>
    <row r="131" spans="1:6">
      <c r="A131" s="1248" t="s">
        <v>284</v>
      </c>
      <c r="B131" s="1249">
        <v>2</v>
      </c>
      <c r="C131" s="322"/>
      <c r="D131" s="322"/>
      <c r="E131" s="322"/>
      <c r="F131" s="322"/>
    </row>
    <row r="132" spans="1:6">
      <c r="A132" s="1243" t="s">
        <v>285</v>
      </c>
      <c r="B132" s="1244">
        <v>6</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20525.739699662779</v>
      </c>
      <c r="C3" s="43" t="s">
        <v>163</v>
      </c>
      <c r="D3" s="43"/>
      <c r="E3" s="153"/>
      <c r="F3" s="43"/>
      <c r="G3" s="43"/>
      <c r="H3" s="43"/>
      <c r="I3" s="43"/>
      <c r="J3" s="43"/>
      <c r="K3" s="96"/>
    </row>
    <row r="4" spans="1:11">
      <c r="A4" s="348" t="s">
        <v>164</v>
      </c>
      <c r="B4" s="49">
        <f>IF(ISERROR('SEAP template'!B78+'SEAP template'!C78),0,'SEAP template'!B78+'SEAP template'!C78)</f>
        <v>3643.84587002539</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0.18176682501781696</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62.357142857142847</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197.684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197.684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0.18176682501781696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35.932393036822127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4095.8436687029498</v>
      </c>
      <c r="C5" s="17">
        <f>IF(ISERROR('Eigen informatie GS &amp; warmtenet'!B57),0,'Eigen informatie GS &amp; warmtenet'!B57)</f>
        <v>0</v>
      </c>
      <c r="D5" s="30">
        <f>(SUM(HH_hh_gas_kWh,HH_rest_gas_kWh)/1000)*0.902</f>
        <v>7884.6697317239014</v>
      </c>
      <c r="E5" s="17">
        <f>B32*B41</f>
        <v>408.47390801736515</v>
      </c>
      <c r="F5" s="17">
        <f>B36*B45</f>
        <v>9468.1073885245096</v>
      </c>
      <c r="G5" s="18"/>
      <c r="H5" s="17"/>
      <c r="I5" s="17"/>
      <c r="J5" s="17">
        <f>B35*B44+C35*C44</f>
        <v>48.657731906940676</v>
      </c>
      <c r="K5" s="17"/>
      <c r="L5" s="17"/>
      <c r="M5" s="17"/>
      <c r="N5" s="17">
        <f>B34*B43+C34*C43</f>
        <v>1955.1606240584717</v>
      </c>
      <c r="O5" s="17">
        <f>B52*B53*B54</f>
        <v>104.74333333333335</v>
      </c>
      <c r="P5" s="17">
        <f>B60*B61*B62/1000-B60*B61*B62/1000/B63</f>
        <v>247.86666666666667</v>
      </c>
    </row>
    <row r="6" spans="1:16">
      <c r="A6" s="16" t="s">
        <v>582</v>
      </c>
      <c r="B6" s="716">
        <f>kWh_PV_kleiner_dan_10kW</f>
        <v>1409.1897633792159</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5505.0334320821657</v>
      </c>
      <c r="C8" s="21">
        <f>C5</f>
        <v>0</v>
      </c>
      <c r="D8" s="21">
        <f>D5</f>
        <v>7884.6697317239014</v>
      </c>
      <c r="E8" s="21">
        <f>E5</f>
        <v>408.47390801736515</v>
      </c>
      <c r="F8" s="21">
        <f>F5</f>
        <v>9468.1073885245096</v>
      </c>
      <c r="G8" s="21"/>
      <c r="H8" s="21"/>
      <c r="I8" s="21"/>
      <c r="J8" s="21">
        <f>J5</f>
        <v>48.657731906940676</v>
      </c>
      <c r="K8" s="21"/>
      <c r="L8" s="21">
        <f>L5</f>
        <v>0</v>
      </c>
      <c r="M8" s="21">
        <f>M5</f>
        <v>0</v>
      </c>
      <c r="N8" s="21">
        <f>N5</f>
        <v>1955.1606240584717</v>
      </c>
      <c r="O8" s="21">
        <f>O5</f>
        <v>104.74333333333335</v>
      </c>
      <c r="P8" s="21">
        <f>P5</f>
        <v>247.86666666666667</v>
      </c>
    </row>
    <row r="9" spans="1:16">
      <c r="B9" s="19"/>
      <c r="C9" s="19"/>
      <c r="D9" s="253"/>
      <c r="E9" s="19"/>
      <c r="F9" s="19"/>
      <c r="G9" s="19"/>
      <c r="H9" s="19"/>
      <c r="I9" s="19"/>
      <c r="J9" s="19"/>
      <c r="K9" s="19"/>
      <c r="L9" s="19"/>
      <c r="M9" s="19"/>
      <c r="N9" s="19"/>
      <c r="O9" s="19"/>
      <c r="P9" s="19"/>
    </row>
    <row r="10" spans="1:16">
      <c r="A10" s="24" t="s">
        <v>207</v>
      </c>
      <c r="B10" s="25">
        <f ca="1">'EF ele_warmte'!B12</f>
        <v>0.18176682501781696</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1000.6324485665114</v>
      </c>
      <c r="C12" s="23">
        <f ca="1">C10*C8</f>
        <v>0</v>
      </c>
      <c r="D12" s="23">
        <f>D8*D10</f>
        <v>1592.7032858082282</v>
      </c>
      <c r="E12" s="23">
        <f>E10*E8</f>
        <v>92.723577119941893</v>
      </c>
      <c r="F12" s="23">
        <f>F10*F8</f>
        <v>2527.9846727360441</v>
      </c>
      <c r="G12" s="23"/>
      <c r="H12" s="23"/>
      <c r="I12" s="23"/>
      <c r="J12" s="23">
        <f>J10*J8</f>
        <v>17.224837095056998</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1238</v>
      </c>
      <c r="C26" s="36"/>
      <c r="D26" s="224"/>
    </row>
    <row r="27" spans="1:5" s="15" customFormat="1">
      <c r="A27" s="226" t="s">
        <v>736</v>
      </c>
      <c r="B27" s="37">
        <f>SUM(HH_hh_gas_aantal,HH_rest_gas_aantal)</f>
        <v>568</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539.6</v>
      </c>
      <c r="C31" s="34" t="s">
        <v>104</v>
      </c>
      <c r="D31" s="170"/>
    </row>
    <row r="32" spans="1:5">
      <c r="A32" s="167" t="s">
        <v>72</v>
      </c>
      <c r="B32" s="33">
        <f>IF((B21*($B$26-($B$27-0.05*$B$27)-$B$60))&lt;0,0,B21*($B$26-($B$27-0.05*$B$27)-$B$60))</f>
        <v>7.5481957680506415</v>
      </c>
      <c r="C32" s="34" t="s">
        <v>104</v>
      </c>
      <c r="D32" s="170"/>
    </row>
    <row r="33" spans="1:6">
      <c r="A33" s="167" t="s">
        <v>73</v>
      </c>
      <c r="B33" s="33">
        <f>IF((B22*($B$26-($B$27-0.05*$B$27)-$B$60))&lt;0,0,B22*($B$26-($B$27-0.05*$B$27)-$B$60))</f>
        <v>156.93332876072398</v>
      </c>
      <c r="C33" s="34" t="s">
        <v>104</v>
      </c>
      <c r="D33" s="170"/>
    </row>
    <row r="34" spans="1:6">
      <c r="A34" s="167" t="s">
        <v>74</v>
      </c>
      <c r="B34" s="33">
        <f>IF((B24*($B$26-($B$27-0.05*$B$27)-$B$60))&lt;0,0,B24*($B$26-($B$27-0.05*$B$27)-$B$60))</f>
        <v>61.250540209626664</v>
      </c>
      <c r="C34" s="33">
        <f>B26*C24</f>
        <v>219.28030278135776</v>
      </c>
      <c r="D34" s="229"/>
    </row>
    <row r="35" spans="1:6">
      <c r="A35" s="167" t="s">
        <v>76</v>
      </c>
      <c r="B35" s="33">
        <f>IF((B19*($B$26-($B$27-0.05*$B$27)-$B$60))&lt;0,0,B19*($B$26-($B$27-0.05*$B$27)-$B$60))</f>
        <v>5.713170269350873</v>
      </c>
      <c r="C35" s="33">
        <f>B35/2</f>
        <v>2.8565851346754365</v>
      </c>
      <c r="D35" s="229"/>
    </row>
    <row r="36" spans="1:6">
      <c r="A36" s="167" t="s">
        <v>77</v>
      </c>
      <c r="B36" s="33">
        <f>IF((B18*($B$26-($B$27-0.05*$B$27)-$B$60))&lt;0,0,B18*($B$26-($B$27-0.05*$B$27)-$B$60))</f>
        <v>453.95476499224782</v>
      </c>
      <c r="C36" s="34" t="s">
        <v>104</v>
      </c>
      <c r="D36" s="170"/>
    </row>
    <row r="37" spans="1:6">
      <c r="A37" s="167" t="s">
        <v>78</v>
      </c>
      <c r="B37" s="33">
        <f>B60</f>
        <v>13</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67</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13</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3351.6874348784559</v>
      </c>
      <c r="C5" s="17">
        <f>IF(ISERROR('Eigen informatie GS &amp; warmtenet'!B58),0,'Eigen informatie GS &amp; warmtenet'!B58)</f>
        <v>0</v>
      </c>
      <c r="D5" s="30">
        <f>SUM(D6:D12)</f>
        <v>3879.1894397698184</v>
      </c>
      <c r="E5" s="17">
        <f>SUM(E6:E12)</f>
        <v>50.519143294262363</v>
      </c>
      <c r="F5" s="17">
        <f>SUM(F6:F12)</f>
        <v>716.83669587473639</v>
      </c>
      <c r="G5" s="18"/>
      <c r="H5" s="17"/>
      <c r="I5" s="17"/>
      <c r="J5" s="17">
        <f>SUM(J6:J12)</f>
        <v>7.4996388000643935E-3</v>
      </c>
      <c r="K5" s="17"/>
      <c r="L5" s="17"/>
      <c r="M5" s="17"/>
      <c r="N5" s="17">
        <f>SUM(N6:N12)</f>
        <v>299.46338738114787</v>
      </c>
      <c r="O5" s="17">
        <f>B38*B39*B40</f>
        <v>0</v>
      </c>
      <c r="P5" s="17">
        <f>B46*B47*B48/1000-B46*B47*B48/1000/B49</f>
        <v>38.133333333333333</v>
      </c>
      <c r="R5" s="32"/>
    </row>
    <row r="6" spans="1:18">
      <c r="A6" s="32" t="s">
        <v>53</v>
      </c>
      <c r="B6" s="37">
        <f>B26</f>
        <v>402.62514364223898</v>
      </c>
      <c r="C6" s="33"/>
      <c r="D6" s="37">
        <f>IF(ISERROR(TER_kantoor_gas_kWh/1000),0,TER_kantoor_gas_kWh/1000)*0.902</f>
        <v>0</v>
      </c>
      <c r="E6" s="33">
        <f>$C$26*'E Balans VL '!I12/100/3.6*1000000</f>
        <v>-3.3060765107206302E-5</v>
      </c>
      <c r="F6" s="33">
        <f>$C$26*('E Balans VL '!L12+'E Balans VL '!N12)/100/3.6*1000000</f>
        <v>51.025240283039672</v>
      </c>
      <c r="G6" s="34"/>
      <c r="H6" s="33"/>
      <c r="I6" s="33"/>
      <c r="J6" s="33">
        <f>$C$26*('E Balans VL '!D12+'E Balans VL '!E12)/100/3.6*1000000</f>
        <v>0</v>
      </c>
      <c r="K6" s="33"/>
      <c r="L6" s="33"/>
      <c r="M6" s="33"/>
      <c r="N6" s="33">
        <f>$C$26*'E Balans VL '!Y12/100/3.6*1000000</f>
        <v>0.49384355364901872</v>
      </c>
      <c r="O6" s="33"/>
      <c r="P6" s="33"/>
      <c r="R6" s="32"/>
    </row>
    <row r="7" spans="1:18">
      <c r="A7" s="32" t="s">
        <v>52</v>
      </c>
      <c r="B7" s="37">
        <f t="shared" ref="B7:B12" si="0">B27</f>
        <v>388.97712151396001</v>
      </c>
      <c r="C7" s="33"/>
      <c r="D7" s="37">
        <f>IF(ISERROR(TER_horeca_gas_kWh/1000),0,TER_horeca_gas_kWh/1000)*0.902</f>
        <v>208.15595058836951</v>
      </c>
      <c r="E7" s="33">
        <f>$C$27*'E Balans VL '!I9/100/3.6*1000000</f>
        <v>4.477317165544239</v>
      </c>
      <c r="F7" s="33">
        <f>$C$27*('E Balans VL '!L9+'E Balans VL '!N9)/100/3.6*1000000</f>
        <v>50.152312707294428</v>
      </c>
      <c r="G7" s="34"/>
      <c r="H7" s="33"/>
      <c r="I7" s="33"/>
      <c r="J7" s="33">
        <f>$C$27*('E Balans VL '!D9+'E Balans VL '!E9)/100/3.6*1000000</f>
        <v>0</v>
      </c>
      <c r="K7" s="33"/>
      <c r="L7" s="33"/>
      <c r="M7" s="33"/>
      <c r="N7" s="33">
        <f>$C$27*'E Balans VL '!Y9/100/3.6*1000000</f>
        <v>4.1055643793818195</v>
      </c>
      <c r="O7" s="33"/>
      <c r="P7" s="33"/>
      <c r="R7" s="32"/>
    </row>
    <row r="8" spans="1:18">
      <c r="A8" s="6" t="s">
        <v>51</v>
      </c>
      <c r="B8" s="37">
        <f t="shared" si="0"/>
        <v>830.66919583104402</v>
      </c>
      <c r="C8" s="33"/>
      <c r="D8" s="37">
        <f>IF(ISERROR(TER_handel_gas_kWh/1000),0,TER_handel_gas_kWh/1000)*0.902</f>
        <v>106.42949568820343</v>
      </c>
      <c r="E8" s="33">
        <f>$C$28*'E Balans VL '!I13/100/3.6*1000000</f>
        <v>23.436837101118087</v>
      </c>
      <c r="F8" s="33">
        <f>$C$28*('E Balans VL '!L13+'E Balans VL '!N13)/100/3.6*1000000</f>
        <v>83.54751254835837</v>
      </c>
      <c r="G8" s="34"/>
      <c r="H8" s="33"/>
      <c r="I8" s="33"/>
      <c r="J8" s="33">
        <f>$C$28*('E Balans VL '!D13+'E Balans VL '!E13)/100/3.6*1000000</f>
        <v>0</v>
      </c>
      <c r="K8" s="33"/>
      <c r="L8" s="33"/>
      <c r="M8" s="33"/>
      <c r="N8" s="33">
        <f>$C$28*'E Balans VL '!Y13/100/3.6*1000000</f>
        <v>1.1466457805107722</v>
      </c>
      <c r="O8" s="33"/>
      <c r="P8" s="33"/>
      <c r="R8" s="32"/>
    </row>
    <row r="9" spans="1:18">
      <c r="A9" s="32" t="s">
        <v>50</v>
      </c>
      <c r="B9" s="37">
        <f t="shared" si="0"/>
        <v>59.402014600746504</v>
      </c>
      <c r="C9" s="33"/>
      <c r="D9" s="37">
        <f>IF(ISERROR(TER_gezond_gas_kWh/1000),0,TER_gezond_gas_kWh/1000)*0.902</f>
        <v>0</v>
      </c>
      <c r="E9" s="33">
        <f>$C$29*'E Balans VL '!I10/100/3.6*1000000</f>
        <v>0.11866693730558604</v>
      </c>
      <c r="F9" s="33">
        <f>$C$29*('E Balans VL '!L10+'E Balans VL '!N10)/100/3.6*1000000</f>
        <v>5.2048080255103768</v>
      </c>
      <c r="G9" s="34"/>
      <c r="H9" s="33"/>
      <c r="I9" s="33"/>
      <c r="J9" s="33">
        <f>$C$29*('E Balans VL '!D10+'E Balans VL '!E10)/100/3.6*1000000</f>
        <v>0</v>
      </c>
      <c r="K9" s="33"/>
      <c r="L9" s="33"/>
      <c r="M9" s="33"/>
      <c r="N9" s="33">
        <f>$C$29*'E Balans VL '!Y10/100/3.6*1000000</f>
        <v>0.89854085663012628</v>
      </c>
      <c r="O9" s="33"/>
      <c r="P9" s="33"/>
      <c r="R9" s="32"/>
    </row>
    <row r="10" spans="1:18">
      <c r="A10" s="32" t="s">
        <v>49</v>
      </c>
      <c r="B10" s="37">
        <f t="shared" si="0"/>
        <v>464.593304763297</v>
      </c>
      <c r="C10" s="33"/>
      <c r="D10" s="37">
        <f>IF(ISERROR(TER_ander_gas_kWh/1000),0,TER_ander_gas_kWh/1000)*0.902</f>
        <v>469.76993661548687</v>
      </c>
      <c r="E10" s="33">
        <f>$C$30*'E Balans VL '!I14/100/3.6*1000000</f>
        <v>6.5449985516955698</v>
      </c>
      <c r="F10" s="33">
        <f>$C$30*('E Balans VL '!L14+'E Balans VL '!N14)/100/3.6*1000000</f>
        <v>281.82825515496711</v>
      </c>
      <c r="G10" s="34"/>
      <c r="H10" s="33"/>
      <c r="I10" s="33"/>
      <c r="J10" s="33">
        <f>$C$30*('E Balans VL '!D14+'E Balans VL '!E14)/100/3.6*1000000</f>
        <v>5.1003413636964406E-3</v>
      </c>
      <c r="K10" s="33"/>
      <c r="L10" s="33"/>
      <c r="M10" s="33"/>
      <c r="N10" s="33">
        <f>$C$30*'E Balans VL '!Y14/100/3.6*1000000</f>
        <v>196.49102533667954</v>
      </c>
      <c r="O10" s="33"/>
      <c r="P10" s="33"/>
      <c r="R10" s="32"/>
    </row>
    <row r="11" spans="1:18">
      <c r="A11" s="32" t="s">
        <v>54</v>
      </c>
      <c r="B11" s="37">
        <f t="shared" si="0"/>
        <v>27.0503689678198</v>
      </c>
      <c r="C11" s="33"/>
      <c r="D11" s="37">
        <f>IF(ISERROR(TER_onderwijs_gas_kWh/1000),0,TER_onderwijs_gas_kWh/1000)*0.902</f>
        <v>168.38683413816705</v>
      </c>
      <c r="E11" s="33">
        <f>$C$31*'E Balans VL '!I11/100/3.6*1000000</f>
        <v>0.70602792621479804</v>
      </c>
      <c r="F11" s="33">
        <f>$C$31*('E Balans VL '!L11+'E Balans VL '!N11)/100/3.6*1000000</f>
        <v>3.3287752075574373</v>
      </c>
      <c r="G11" s="34"/>
      <c r="H11" s="33"/>
      <c r="I11" s="33"/>
      <c r="J11" s="33">
        <f>$C$31*('E Balans VL '!D11+'E Balans VL '!E11)/100/3.6*1000000</f>
        <v>0</v>
      </c>
      <c r="K11" s="33"/>
      <c r="L11" s="33"/>
      <c r="M11" s="33"/>
      <c r="N11" s="33">
        <f>$C$31*'E Balans VL '!Y11/100/3.6*1000000</f>
        <v>8.5660537946137635E-2</v>
      </c>
      <c r="O11" s="33"/>
      <c r="P11" s="33"/>
      <c r="R11" s="32"/>
    </row>
    <row r="12" spans="1:18">
      <c r="A12" s="32" t="s">
        <v>248</v>
      </c>
      <c r="B12" s="37">
        <f t="shared" si="0"/>
        <v>1178.3702855593499</v>
      </c>
      <c r="C12" s="33"/>
      <c r="D12" s="37">
        <f>IF(ISERROR(TER_rest_gas_kWh/1000),0,TER_rest_gas_kWh/1000)*0.902</f>
        <v>2926.4472227395913</v>
      </c>
      <c r="E12" s="33">
        <f>$C$32*'E Balans VL '!I8/100/3.6*1000000</f>
        <v>15.235328673149189</v>
      </c>
      <c r="F12" s="33">
        <f>$C$32*('E Balans VL '!L8+'E Balans VL '!N8)/100/3.6*1000000</f>
        <v>241.74979194800895</v>
      </c>
      <c r="G12" s="34"/>
      <c r="H12" s="33"/>
      <c r="I12" s="33"/>
      <c r="J12" s="33">
        <f>$C$32*('E Balans VL '!D8+'E Balans VL '!E8)/100/3.6*1000000</f>
        <v>2.3992974363679529E-3</v>
      </c>
      <c r="K12" s="33"/>
      <c r="L12" s="33"/>
      <c r="M12" s="33"/>
      <c r="N12" s="33">
        <f>$C$32*'E Balans VL '!Y8/100/3.6*1000000</f>
        <v>96.242106936350439</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3351.6874348784559</v>
      </c>
      <c r="C16" s="21">
        <f t="shared" ca="1" si="1"/>
        <v>0</v>
      </c>
      <c r="D16" s="21">
        <f t="shared" ca="1" si="1"/>
        <v>3879.1894397698184</v>
      </c>
      <c r="E16" s="21">
        <f t="shared" si="1"/>
        <v>50.519143294262363</v>
      </c>
      <c r="F16" s="21">
        <f t="shared" ca="1" si="1"/>
        <v>716.83669587473639</v>
      </c>
      <c r="G16" s="21">
        <f t="shared" si="1"/>
        <v>0</v>
      </c>
      <c r="H16" s="21">
        <f t="shared" si="1"/>
        <v>0</v>
      </c>
      <c r="I16" s="21">
        <f t="shared" si="1"/>
        <v>0</v>
      </c>
      <c r="J16" s="21">
        <f t="shared" si="1"/>
        <v>7.4996388000643935E-3</v>
      </c>
      <c r="K16" s="21">
        <f t="shared" si="1"/>
        <v>0</v>
      </c>
      <c r="L16" s="21">
        <f t="shared" ca="1" si="1"/>
        <v>0</v>
      </c>
      <c r="M16" s="21">
        <f t="shared" si="1"/>
        <v>0</v>
      </c>
      <c r="N16" s="21">
        <f t="shared" ca="1" si="1"/>
        <v>299.46338738114787</v>
      </c>
      <c r="O16" s="21">
        <f>O5</f>
        <v>0</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0.18176682501781696</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609.22558348996813</v>
      </c>
      <c r="C20" s="23">
        <f t="shared" ref="C20:P20" ca="1" si="2">C16*C18</f>
        <v>0</v>
      </c>
      <c r="D20" s="23">
        <f t="shared" ca="1" si="2"/>
        <v>783.59626683350336</v>
      </c>
      <c r="E20" s="23">
        <f t="shared" si="2"/>
        <v>11.467845527797557</v>
      </c>
      <c r="F20" s="23">
        <f t="shared" ca="1" si="2"/>
        <v>191.39539779855463</v>
      </c>
      <c r="G20" s="23">
        <f t="shared" si="2"/>
        <v>0</v>
      </c>
      <c r="H20" s="23">
        <f t="shared" si="2"/>
        <v>0</v>
      </c>
      <c r="I20" s="23">
        <f t="shared" si="2"/>
        <v>0</v>
      </c>
      <c r="J20" s="23">
        <f t="shared" si="2"/>
        <v>2.6548721352227952E-3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402.62514364223898</v>
      </c>
      <c r="C26" s="39">
        <f>IF(ISERROR(B26*3.6/1000000/'E Balans VL '!Z12*100),0,B26*3.6/1000000/'E Balans VL '!Z12*100)</f>
        <v>1.091551365945663E-2</v>
      </c>
      <c r="D26" s="232" t="s">
        <v>700</v>
      </c>
      <c r="F26" s="6"/>
    </row>
    <row r="27" spans="1:18">
      <c r="A27" s="227" t="s">
        <v>52</v>
      </c>
      <c r="B27" s="33">
        <f>IF(ISERROR(TER_horeca_ele_kWh/1000),0,TER_horeca_ele_kWh/1000)</f>
        <v>388.97712151396001</v>
      </c>
      <c r="C27" s="39">
        <f>IF(ISERROR(B27*3.6/1000000/'E Balans VL '!Z9*100),0,B27*3.6/1000000/'E Balans VL '!Z9*100)</f>
        <v>3.008778837849576E-2</v>
      </c>
      <c r="D27" s="232" t="s">
        <v>700</v>
      </c>
      <c r="F27" s="6"/>
    </row>
    <row r="28" spans="1:18">
      <c r="A28" s="167" t="s">
        <v>51</v>
      </c>
      <c r="B28" s="33">
        <f>IF(ISERROR(TER_handel_ele_kWh/1000),0,TER_handel_ele_kWh/1000)</f>
        <v>830.66919583104402</v>
      </c>
      <c r="C28" s="39">
        <f>IF(ISERROR(B28*3.6/1000000/'E Balans VL '!Z13*100),0,B28*3.6/1000000/'E Balans VL '!Z13*100)</f>
        <v>2.4025101508454435E-2</v>
      </c>
      <c r="D28" s="232" t="s">
        <v>700</v>
      </c>
      <c r="F28" s="6"/>
    </row>
    <row r="29" spans="1:18">
      <c r="A29" s="227" t="s">
        <v>50</v>
      </c>
      <c r="B29" s="33">
        <f>IF(ISERROR(TER_gezond_ele_kWh/1000),0,TER_gezond_ele_kWh/1000)</f>
        <v>59.402014600746504</v>
      </c>
      <c r="C29" s="39">
        <f>IF(ISERROR(B29*3.6/1000000/'E Balans VL '!Z10*100),0,B29*3.6/1000000/'E Balans VL '!Z10*100)</f>
        <v>6.1178249491744977E-3</v>
      </c>
      <c r="D29" s="232" t="s">
        <v>700</v>
      </c>
      <c r="F29" s="6"/>
    </row>
    <row r="30" spans="1:18">
      <c r="A30" s="227" t="s">
        <v>49</v>
      </c>
      <c r="B30" s="33">
        <f>IF(ISERROR(TER_ander_ele_kWh/1000),0,TER_ander_ele_kWh/1000)</f>
        <v>464.593304763297</v>
      </c>
      <c r="C30" s="39">
        <f>IF(ISERROR(B30*3.6/1000000/'E Balans VL '!Z14*100),0,B30*3.6/1000000/'E Balans VL '!Z14*100)</f>
        <v>2.0888770090224329E-2</v>
      </c>
      <c r="D30" s="232" t="s">
        <v>700</v>
      </c>
      <c r="F30" s="6"/>
    </row>
    <row r="31" spans="1:18">
      <c r="A31" s="227" t="s">
        <v>54</v>
      </c>
      <c r="B31" s="33">
        <f>IF(ISERROR(TER_onderwijs_ele_kWh/1000),0,TER_onderwijs_ele_kWh/1000)</f>
        <v>27.0503689678198</v>
      </c>
      <c r="C31" s="39">
        <f>IF(ISERROR(B31*3.6/1000000/'E Balans VL '!Z11*100),0,B31*3.6/1000000/'E Balans VL '!Z11*100)</f>
        <v>7.5596835248417467E-3</v>
      </c>
      <c r="D31" s="232" t="s">
        <v>700</v>
      </c>
    </row>
    <row r="32" spans="1:18">
      <c r="A32" s="227" t="s">
        <v>248</v>
      </c>
      <c r="B32" s="33">
        <f>IF(ISERROR(TER_rest_ele_kWh/1000),0,TER_rest_ele_kWh/1000)</f>
        <v>1178.3702855593499</v>
      </c>
      <c r="C32" s="39">
        <f>IF(ISERROR(B32*3.6/1000000/'E Balans VL '!Z8*100),0,B32*3.6/1000000/'E Balans VL '!Z8*100)</f>
        <v>9.8264741421213078E-3</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0</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2</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5462.2304302708808</v>
      </c>
      <c r="C5" s="17">
        <f>IF(ISERROR('Eigen informatie GS &amp; warmtenet'!B59),0,'Eigen informatie GS &amp; warmtenet'!B59)</f>
        <v>0</v>
      </c>
      <c r="D5" s="30">
        <f>SUM(D6:D15)</f>
        <v>340.19255949837407</v>
      </c>
      <c r="E5" s="17">
        <f>SUM(E6:E15)</f>
        <v>228.14875472293352</v>
      </c>
      <c r="F5" s="17">
        <f>SUM(F6:F15)</f>
        <v>1226.8652904088365</v>
      </c>
      <c r="G5" s="18"/>
      <c r="H5" s="17"/>
      <c r="I5" s="17"/>
      <c r="J5" s="17">
        <f>SUM(J6:J15)</f>
        <v>14.142292487297135</v>
      </c>
      <c r="K5" s="17"/>
      <c r="L5" s="17"/>
      <c r="M5" s="17"/>
      <c r="N5" s="17">
        <f>SUM(N6:N15)</f>
        <v>145.81077146799339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762.7729503754399</v>
      </c>
      <c r="C8" s="33"/>
      <c r="D8" s="37">
        <f>IF( ISERROR(IND_metaal_Gas_kWH/1000),0,IND_metaal_Gas_kWH/1000)*0.902</f>
        <v>0</v>
      </c>
      <c r="E8" s="33">
        <f>C30*'E Balans VL '!I18/100/3.6*1000000</f>
        <v>6.9223982256224037</v>
      </c>
      <c r="F8" s="33">
        <f>C30*'E Balans VL '!L18/100/3.6*1000000+C30*'E Balans VL '!N18/100/3.6*1000000</f>
        <v>70.207211750539543</v>
      </c>
      <c r="G8" s="34"/>
      <c r="H8" s="33"/>
      <c r="I8" s="33"/>
      <c r="J8" s="40">
        <f>C30*'E Balans VL '!D18/100/3.6*1000000+C30*'E Balans VL '!E18/100/3.6*1000000</f>
        <v>0</v>
      </c>
      <c r="K8" s="33"/>
      <c r="L8" s="33"/>
      <c r="M8" s="33"/>
      <c r="N8" s="33">
        <f>C30*'E Balans VL '!Y18/100/3.6*1000000</f>
        <v>11.135884401625551</v>
      </c>
      <c r="O8" s="33"/>
      <c r="P8" s="33"/>
      <c r="R8" s="32"/>
    </row>
    <row r="9" spans="1:18">
      <c r="A9" s="6" t="s">
        <v>32</v>
      </c>
      <c r="B9" s="37">
        <f t="shared" si="0"/>
        <v>683.57038909031098</v>
      </c>
      <c r="C9" s="33"/>
      <c r="D9" s="37">
        <f>IF( ISERROR(IND_andere_gas_kWh/1000),0,IND_andere_gas_kWh/1000)*0.902</f>
        <v>100.15978684788641</v>
      </c>
      <c r="E9" s="33">
        <f>C31*'E Balans VL '!I19/100/3.6*1000000</f>
        <v>3.9675970226469515</v>
      </c>
      <c r="F9" s="33">
        <f>C31*'E Balans VL '!L19/100/3.6*1000000+C31*'E Balans VL '!N19/100/3.6*1000000</f>
        <v>450.8069959675596</v>
      </c>
      <c r="G9" s="34"/>
      <c r="H9" s="33"/>
      <c r="I9" s="33"/>
      <c r="J9" s="40">
        <f>C31*'E Balans VL '!D19/100/3.6*1000000+C31*'E Balans VL '!E19/100/3.6*1000000</f>
        <v>0</v>
      </c>
      <c r="K9" s="33"/>
      <c r="L9" s="33"/>
      <c r="M9" s="33"/>
      <c r="N9" s="33">
        <f>C31*'E Balans VL '!Y19/100/3.6*1000000</f>
        <v>31.656738918275096</v>
      </c>
      <c r="O9" s="33"/>
      <c r="P9" s="33"/>
      <c r="R9" s="32"/>
    </row>
    <row r="10" spans="1:18">
      <c r="A10" s="6" t="s">
        <v>40</v>
      </c>
      <c r="B10" s="37">
        <f t="shared" si="0"/>
        <v>0</v>
      </c>
      <c r="C10" s="33"/>
      <c r="D10" s="37">
        <f>IF( ISERROR(IND_voed_gas_kWh/1000),0,IND_voed_gas_kWh/1000)*0.902</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4015.8870908051299</v>
      </c>
      <c r="C15" s="33"/>
      <c r="D15" s="37">
        <f>IF( ISERROR(IND_rest_gas_kWh/1000),0,IND_rest_gas_kWh/1000)*0.902</f>
        <v>240.03277265048766</v>
      </c>
      <c r="E15" s="33">
        <f>C37*'E Balans VL '!I15/100/3.6*1000000</f>
        <v>217.25875947466417</v>
      </c>
      <c r="F15" s="33">
        <f>C37*'E Balans VL '!L15/100/3.6*1000000+C37*'E Balans VL '!N15/100/3.6*1000000</f>
        <v>705.85108269073737</v>
      </c>
      <c r="G15" s="34"/>
      <c r="H15" s="33"/>
      <c r="I15" s="33"/>
      <c r="J15" s="40">
        <f>C37*'E Balans VL '!D15/100/3.6*1000000+C37*'E Balans VL '!E15/100/3.6*1000000</f>
        <v>14.142292487297135</v>
      </c>
      <c r="K15" s="33"/>
      <c r="L15" s="33"/>
      <c r="M15" s="33"/>
      <c r="N15" s="33">
        <f>C37*'E Balans VL '!Y15/100/3.6*1000000</f>
        <v>103.01814814809273</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5462.2304302708808</v>
      </c>
      <c r="C18" s="21">
        <f>C5+C16</f>
        <v>0</v>
      </c>
      <c r="D18" s="21">
        <f>MAX((D5+D16),0)</f>
        <v>340.19255949837407</v>
      </c>
      <c r="E18" s="21">
        <f>MAX((E5+E16),0)</f>
        <v>228.14875472293352</v>
      </c>
      <c r="F18" s="21">
        <f>MAX((F5+F16),0)</f>
        <v>1226.8652904088365</v>
      </c>
      <c r="G18" s="21"/>
      <c r="H18" s="21"/>
      <c r="I18" s="21"/>
      <c r="J18" s="21">
        <f>MAX((J5+J16),0)</f>
        <v>14.142292487297135</v>
      </c>
      <c r="K18" s="21"/>
      <c r="L18" s="21">
        <f>MAX((L5+L16),0)</f>
        <v>0</v>
      </c>
      <c r="M18" s="21"/>
      <c r="N18" s="21">
        <f>MAX((N5+N16),0)</f>
        <v>145.81077146799339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0.18176682501781696</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992.85228282604226</v>
      </c>
      <c r="C22" s="23">
        <f ca="1">C18*C20</f>
        <v>0</v>
      </c>
      <c r="D22" s="23">
        <f>D18*D20</f>
        <v>68.718897018671569</v>
      </c>
      <c r="E22" s="23">
        <f>E18*E20</f>
        <v>51.789767322105909</v>
      </c>
      <c r="F22" s="23">
        <f>F18*F20</f>
        <v>327.57303253915933</v>
      </c>
      <c r="G22" s="23"/>
      <c r="H22" s="23"/>
      <c r="I22" s="23"/>
      <c r="J22" s="23">
        <f>J18*J20</f>
        <v>5.0063715405031859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762.7729503754399</v>
      </c>
      <c r="C30" s="39">
        <f>IF(ISERROR(B30*3.6/1000000/'E Balans VL '!Z18*100),0,B30*3.6/1000000/'E Balans VL '!Z18*100)</f>
        <v>4.4235963568669615E-2</v>
      </c>
      <c r="D30" s="232" t="s">
        <v>700</v>
      </c>
    </row>
    <row r="31" spans="1:18">
      <c r="A31" s="6" t="s">
        <v>32</v>
      </c>
      <c r="B31" s="37">
        <f>IF( ISERROR(IND_ander_ele_kWh/1000),0,IND_ander_ele_kWh/1000)</f>
        <v>683.57038909031098</v>
      </c>
      <c r="C31" s="39">
        <f>IF(ISERROR(B31*3.6/1000000/'E Balans VL '!Z19*100),0,B31*3.6/1000000/'E Balans VL '!Z19*100)</f>
        <v>2.8548471780307848E-2</v>
      </c>
      <c r="D31" s="232" t="s">
        <v>700</v>
      </c>
    </row>
    <row r="32" spans="1:18">
      <c r="A32" s="167" t="s">
        <v>40</v>
      </c>
      <c r="B32" s="37">
        <f>IF( ISERROR(IND_voed_ele_kWh/1000),0,IND_voed_ele_kWh/1000)</f>
        <v>0</v>
      </c>
      <c r="C32" s="39">
        <f>IF(ISERROR(B32*3.6/1000000/'E Balans VL '!Z20*100),0,B32*3.6/1000000/'E Balans VL '!Z20*100)</f>
        <v>0</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4015.8870908051299</v>
      </c>
      <c r="C37" s="39">
        <f>IF(ISERROR(B37*3.6/1000000/'E Balans VL '!Z15*100),0,B37*3.6/1000000/'E Balans VL '!Z15*100)</f>
        <v>3.1311628982989628E-2</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5579.9248037979196</v>
      </c>
      <c r="C5" s="17">
        <f>'Eigen informatie GS &amp; warmtenet'!B60</f>
        <v>0</v>
      </c>
      <c r="D5" s="30">
        <f>IF(ISERROR(SUM(LB_lb_gas_kWh,LB_rest_gas_kWh)/1000),0,SUM(LB_lb_gas_kWh,LB_rest_gas_kWh)/1000)*0.902</f>
        <v>350.07655180808479</v>
      </c>
      <c r="E5" s="17">
        <f>B17*'E Balans VL '!I25/3.6*1000000/100</f>
        <v>181.08690257158406</v>
      </c>
      <c r="F5" s="17">
        <f>B17*('E Balans VL '!L25/3.6*1000000+'E Balans VL '!N25/3.6*1000000)/100</f>
        <v>20585.425368568489</v>
      </c>
      <c r="G5" s="18"/>
      <c r="H5" s="17"/>
      <c r="I5" s="17"/>
      <c r="J5" s="17">
        <f>('E Balans VL '!D25+'E Balans VL '!E25)/3.6*1000000*landbouw!B17/100</f>
        <v>1467.4625343731977</v>
      </c>
      <c r="K5" s="17"/>
      <c r="L5" s="17">
        <f>L6*(-1)</f>
        <v>0</v>
      </c>
      <c r="M5" s="17"/>
      <c r="N5" s="17">
        <f>N6*(-1)</f>
        <v>124.71428571428569</v>
      </c>
      <c r="O5" s="17"/>
      <c r="P5" s="17"/>
      <c r="R5" s="32"/>
    </row>
    <row r="6" spans="1:18">
      <c r="A6" s="16" t="s">
        <v>473</v>
      </c>
      <c r="B6" s="17" t="s">
        <v>204</v>
      </c>
      <c r="C6" s="17">
        <f>'lokale energieproductie'!O39+'lokale energieproductie'!O32</f>
        <v>62.357142857142847</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-124.71428571428569</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5579.9248037979196</v>
      </c>
      <c r="C8" s="21">
        <f>C5+C6</f>
        <v>62.357142857142847</v>
      </c>
      <c r="D8" s="21">
        <f>MAX((D5+D6),0)</f>
        <v>350.07655180808479</v>
      </c>
      <c r="E8" s="21">
        <f>MAX((E5+E6),0)</f>
        <v>181.08690257158406</v>
      </c>
      <c r="F8" s="21">
        <f>MAX((F5+F6),0)</f>
        <v>20585.425368568489</v>
      </c>
      <c r="G8" s="21"/>
      <c r="H8" s="21"/>
      <c r="I8" s="21"/>
      <c r="J8" s="21">
        <f>MAX((J5+J6),0)</f>
        <v>1467.4625343731977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0.18176682501781696</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1014.245215424513</v>
      </c>
      <c r="C12" s="23">
        <f ca="1">C8*C10</f>
        <v>0</v>
      </c>
      <c r="D12" s="23">
        <f>D8*D10</f>
        <v>70.715463465233128</v>
      </c>
      <c r="E12" s="23">
        <f>E8*E10</f>
        <v>41.10672688374958</v>
      </c>
      <c r="F12" s="23">
        <f>F8*F10</f>
        <v>5496.3085734077868</v>
      </c>
      <c r="G12" s="23"/>
      <c r="H12" s="23"/>
      <c r="I12" s="23"/>
      <c r="J12" s="23">
        <f>J8*J10</f>
        <v>519.48173716811198</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0.79180883613910336</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1069.9097601234753</v>
      </c>
      <c r="C26" s="242">
        <f>B26*'GWP N2O_CH4'!B5</f>
        <v>22468.104962592981</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601.66422357479439</v>
      </c>
      <c r="C27" s="242">
        <f>B27*'GWP N2O_CH4'!B5</f>
        <v>12634.948695070681</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15.690847824738384</v>
      </c>
      <c r="C28" s="242">
        <f>B28*'GWP N2O_CH4'!B4</f>
        <v>4864.1628256688991</v>
      </c>
      <c r="D28" s="50"/>
    </row>
    <row r="29" spans="1:4">
      <c r="A29" s="41" t="s">
        <v>265</v>
      </c>
      <c r="B29" s="242">
        <f>B34*'ha_N2O bodem landbouw'!B4</f>
        <v>35.653546685866985</v>
      </c>
      <c r="C29" s="242">
        <f>B29*'GWP N2O_CH4'!B4</f>
        <v>11052.599472618766</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8.1360164861269471E-3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3.4965518269863096E-5</v>
      </c>
      <c r="C5" s="427" t="s">
        <v>204</v>
      </c>
      <c r="D5" s="412">
        <f>SUM(D6:D11)</f>
        <v>6.9663731505655298E-5</v>
      </c>
      <c r="E5" s="412">
        <f>SUM(E6:E11)</f>
        <v>1.1709187679525949E-4</v>
      </c>
      <c r="F5" s="425" t="s">
        <v>204</v>
      </c>
      <c r="G5" s="412">
        <f>SUM(G6:G11)</f>
        <v>4.5063437425937582E-2</v>
      </c>
      <c r="H5" s="412">
        <f>SUM(H6:H11)</f>
        <v>1.1875279022952647E-2</v>
      </c>
      <c r="I5" s="427" t="s">
        <v>204</v>
      </c>
      <c r="J5" s="427" t="s">
        <v>204</v>
      </c>
      <c r="K5" s="427" t="s">
        <v>204</v>
      </c>
      <c r="L5" s="427" t="s">
        <v>204</v>
      </c>
      <c r="M5" s="412">
        <f>SUM(M6:M11)</f>
        <v>2.9824666620468258E-3</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1.1156870365075582E-5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1.885133457028029E-5</v>
      </c>
      <c r="E6" s="818">
        <f>vkm_GW_PW*SUMIFS(TableVerdeelsleutelVkm[LPG],TableVerdeelsleutelVkm[Voertuigtype],"Lichte voertuigen")*SUMIFS(TableECFTransport[EnergieConsumptieFactor (PJ per km)],TableECFTransport[Index],CONCATENATE($A6,"_LPG_LPG"))</f>
        <v>3.2769285078220867E-5</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9.9249473766690171E-3</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3.2684672490912712E-3</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6.7609603214395715E-4</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2.0958467374465391E-7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6.7319101814450229E-3</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1.3430777726912484E-7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3.9331623415954787E-4</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2.3488534596855149E-5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5.0812396935375011E-5</v>
      </c>
      <c r="E8" s="415">
        <f>vkm_NGW_PW*SUMIFS(TableVerdeelsleutelVkm[LPG],TableVerdeelsleutelVkm[Voertuigtype],"Lichte voertuigen")*SUMIFS(TableECFTransport[EnergieConsumptieFactor (PJ per km)],TableECFTransport[Index],CONCATENATE($A8,"_LPG_LPG"))</f>
        <v>8.4322591717038632E-5</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2.3851430086194302E-2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8.6065919726247327E-3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1.6469169633724935E-3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1.1052863418770971E-7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4.5551497816292428E-3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8.549345937366126E-8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2.6613743237082724E-4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9.7126439638508604</v>
      </c>
      <c r="C14" s="21"/>
      <c r="D14" s="21">
        <f t="shared" ref="D14:M14" si="0">((D5)*10^9/3600)+D12</f>
        <v>19.351036529348697</v>
      </c>
      <c r="E14" s="21">
        <f t="shared" si="0"/>
        <v>32.525521332016524</v>
      </c>
      <c r="F14" s="21"/>
      <c r="G14" s="21">
        <f t="shared" si="0"/>
        <v>12517.621507204884</v>
      </c>
      <c r="H14" s="21">
        <f t="shared" si="0"/>
        <v>3298.6886174868469</v>
      </c>
      <c r="I14" s="21"/>
      <c r="J14" s="21"/>
      <c r="K14" s="21"/>
      <c r="L14" s="21"/>
      <c r="M14" s="21">
        <f t="shared" si="0"/>
        <v>828.46296167967387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0.18176682501781696</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1.7654364558376354</v>
      </c>
      <c r="C18" s="23"/>
      <c r="D18" s="23">
        <f t="shared" ref="D18:M18" si="1">D14*D16</f>
        <v>3.908909378928437</v>
      </c>
      <c r="E18" s="23">
        <f t="shared" si="1"/>
        <v>7.3832933423677511</v>
      </c>
      <c r="F18" s="23"/>
      <c r="G18" s="23">
        <f t="shared" si="1"/>
        <v>3342.2049424237039</v>
      </c>
      <c r="H18" s="23">
        <f t="shared" si="1"/>
        <v>821.37346575422487</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8.04433727322262E-6</v>
      </c>
      <c r="C50" s="311">
        <f t="shared" ref="C50:P50" si="2">SUM(C51:C52)</f>
        <v>0</v>
      </c>
      <c r="D50" s="311">
        <f t="shared" si="2"/>
        <v>0</v>
      </c>
      <c r="E50" s="311">
        <f t="shared" si="2"/>
        <v>0</v>
      </c>
      <c r="F50" s="311">
        <f t="shared" si="2"/>
        <v>0</v>
      </c>
      <c r="G50" s="311">
        <f t="shared" si="2"/>
        <v>7.5568565353424199E-4</v>
      </c>
      <c r="H50" s="311">
        <f t="shared" si="2"/>
        <v>0</v>
      </c>
      <c r="I50" s="311">
        <f t="shared" si="2"/>
        <v>0</v>
      </c>
      <c r="J50" s="311">
        <f t="shared" si="2"/>
        <v>0</v>
      </c>
      <c r="K50" s="311">
        <f t="shared" si="2"/>
        <v>0</v>
      </c>
      <c r="L50" s="311">
        <f t="shared" si="2"/>
        <v>0</v>
      </c>
      <c r="M50" s="311">
        <f t="shared" si="2"/>
        <v>4.3517667852542925E-5</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8.04433727322262E-6</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7.5568565353424199E-4</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4.3517667852542925E-5</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2.2345381314507278</v>
      </c>
      <c r="C54" s="21">
        <f t="shared" ref="C54:P54" si="3">(C50)*10^9/3600</f>
        <v>0</v>
      </c>
      <c r="D54" s="21">
        <f t="shared" si="3"/>
        <v>0</v>
      </c>
      <c r="E54" s="21">
        <f t="shared" si="3"/>
        <v>0</v>
      </c>
      <c r="F54" s="21">
        <f t="shared" si="3"/>
        <v>0</v>
      </c>
      <c r="G54" s="21">
        <f t="shared" si="3"/>
        <v>209.91268153728944</v>
      </c>
      <c r="H54" s="21">
        <f t="shared" si="3"/>
        <v>0</v>
      </c>
      <c r="I54" s="21">
        <f t="shared" si="3"/>
        <v>0</v>
      </c>
      <c r="J54" s="21">
        <f t="shared" si="3"/>
        <v>0</v>
      </c>
      <c r="K54" s="21">
        <f t="shared" si="3"/>
        <v>0</v>
      </c>
      <c r="L54" s="21">
        <f t="shared" si="3"/>
        <v>0</v>
      </c>
      <c r="M54" s="21">
        <f t="shared" si="3"/>
        <v>12.088241070150811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0.18176682501781696</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0.40616490153504409</v>
      </c>
      <c r="C58" s="23">
        <f t="shared" ref="C58:P58" ca="1" si="4">C54*C56</f>
        <v>0</v>
      </c>
      <c r="D58" s="23">
        <f t="shared" si="4"/>
        <v>0</v>
      </c>
      <c r="E58" s="23">
        <f t="shared" si="4"/>
        <v>0</v>
      </c>
      <c r="F58" s="23">
        <f t="shared" si="4"/>
        <v>0</v>
      </c>
      <c r="G58" s="23">
        <f t="shared" si="4"/>
        <v>56.046685970456288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3600.1958700253899</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43.649999999999991</v>
      </c>
      <c r="C8" s="534">
        <f>B48</f>
        <v>0</v>
      </c>
      <c r="D8" s="962"/>
      <c r="E8" s="962">
        <f>E48</f>
        <v>0</v>
      </c>
      <c r="F8" s="963"/>
      <c r="G8" s="535"/>
      <c r="H8" s="962">
        <f>I48</f>
        <v>0</v>
      </c>
      <c r="I8" s="962">
        <f>G48+F48</f>
        <v>0</v>
      </c>
      <c r="J8" s="962">
        <f>H48+D48+C48</f>
        <v>51.35294117647058</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3643.84587002539</v>
      </c>
      <c r="C10" s="547">
        <f t="shared" ref="C10:L10" si="0">SUM(C8:C9)</f>
        <v>0</v>
      </c>
      <c r="D10" s="547">
        <f t="shared" si="0"/>
        <v>0</v>
      </c>
      <c r="E10" s="547">
        <f t="shared" si="0"/>
        <v>0</v>
      </c>
      <c r="F10" s="547">
        <f t="shared" si="0"/>
        <v>0</v>
      </c>
      <c r="G10" s="547">
        <f t="shared" si="0"/>
        <v>0</v>
      </c>
      <c r="H10" s="547">
        <f t="shared" si="0"/>
        <v>0</v>
      </c>
      <c r="I10" s="547">
        <f t="shared" si="0"/>
        <v>0</v>
      </c>
      <c r="J10" s="547">
        <f t="shared" si="0"/>
        <v>51.35294117647058</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62.357142857142847</v>
      </c>
      <c r="C17" s="559">
        <f>B49</f>
        <v>0</v>
      </c>
      <c r="D17" s="560"/>
      <c r="E17" s="560">
        <f>E49</f>
        <v>0</v>
      </c>
      <c r="F17" s="968"/>
      <c r="G17" s="561"/>
      <c r="H17" s="559">
        <f>I49</f>
        <v>0</v>
      </c>
      <c r="I17" s="560">
        <f>G49+F49</f>
        <v>0</v>
      </c>
      <c r="J17" s="560">
        <f>H49+D49+C49</f>
        <v>73.361344537815114</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62.357142857142847</v>
      </c>
      <c r="C20" s="546">
        <f>SUM(C17:C19)</f>
        <v>0</v>
      </c>
      <c r="D20" s="546">
        <f t="shared" ref="D20:L20" si="1">SUM(D17:D19)</f>
        <v>0</v>
      </c>
      <c r="E20" s="546">
        <f t="shared" si="1"/>
        <v>0</v>
      </c>
      <c r="F20" s="546">
        <f t="shared" si="1"/>
        <v>0</v>
      </c>
      <c r="G20" s="546">
        <f t="shared" si="1"/>
        <v>0</v>
      </c>
      <c r="H20" s="546">
        <f t="shared" si="1"/>
        <v>0</v>
      </c>
      <c r="I20" s="546">
        <f t="shared" si="1"/>
        <v>0</v>
      </c>
      <c r="J20" s="546">
        <f t="shared" si="1"/>
        <v>73.361344537815114</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25.5" hidden="1">
      <c r="A28" s="569"/>
      <c r="B28" s="724">
        <v>32030</v>
      </c>
      <c r="C28" s="724">
        <v>8647</v>
      </c>
      <c r="D28" s="617"/>
      <c r="E28" s="616"/>
      <c r="F28" s="616"/>
      <c r="G28" s="616" t="s">
        <v>878</v>
      </c>
      <c r="H28" s="616" t="s">
        <v>879</v>
      </c>
      <c r="I28" s="616"/>
      <c r="J28" s="723"/>
      <c r="K28" s="723"/>
      <c r="L28" s="616" t="s">
        <v>880</v>
      </c>
      <c r="M28" s="616">
        <v>9.6999999999999993</v>
      </c>
      <c r="N28" s="616">
        <v>43.649999999999991</v>
      </c>
      <c r="O28" s="616">
        <v>62.357142857142847</v>
      </c>
      <c r="P28" s="616">
        <v>0</v>
      </c>
      <c r="Q28" s="616">
        <v>124.71428571428569</v>
      </c>
      <c r="R28" s="616">
        <v>0</v>
      </c>
      <c r="S28" s="616">
        <v>0</v>
      </c>
      <c r="T28" s="616">
        <v>0</v>
      </c>
      <c r="U28" s="616">
        <v>0</v>
      </c>
      <c r="V28" s="616">
        <v>0</v>
      </c>
      <c r="W28" s="616">
        <v>0</v>
      </c>
      <c r="X28" s="616"/>
      <c r="Y28" s="616">
        <v>10</v>
      </c>
      <c r="Z28" s="616" t="s">
        <v>105</v>
      </c>
      <c r="AA28" s="618" t="s">
        <v>105</v>
      </c>
    </row>
    <row r="29" spans="1:27" s="554" customFormat="1" hidden="1">
      <c r="A29" s="572" t="s">
        <v>268</v>
      </c>
      <c r="B29" s="573"/>
      <c r="C29" s="573"/>
      <c r="D29" s="573"/>
      <c r="E29" s="573"/>
      <c r="F29" s="573"/>
      <c r="G29" s="573"/>
      <c r="H29" s="573"/>
      <c r="I29" s="573"/>
      <c r="J29" s="573"/>
      <c r="K29" s="573"/>
      <c r="L29" s="574"/>
      <c r="M29" s="574">
        <f>SUM(M28:M28)</f>
        <v>9.6999999999999993</v>
      </c>
      <c r="N29" s="574">
        <f>SUM(N28:N28)</f>
        <v>43.649999999999991</v>
      </c>
      <c r="O29" s="574">
        <f>SUM(O28:O28)</f>
        <v>62.357142857142847</v>
      </c>
      <c r="P29" s="574">
        <f>SUM(P28:P28)</f>
        <v>0</v>
      </c>
      <c r="Q29" s="574">
        <f>SUM(Q28:Q28)</f>
        <v>124.71428571428569</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9.6999999999999993</v>
      </c>
      <c r="N32" s="579">
        <f>SUMIF($AA$28:$AA$28,"landbouw",N28:N28)</f>
        <v>43.649999999999991</v>
      </c>
      <c r="O32" s="579">
        <f>SUMIF($AA$28:$AA$28,"landbouw",O28:O28)</f>
        <v>62.357142857142847</v>
      </c>
      <c r="P32" s="579">
        <f>SUMIF($AA$28:$AA$28,"landbouw",P28:P28)</f>
        <v>0</v>
      </c>
      <c r="Q32" s="579">
        <f>SUMIF($AA$28:$AA$28,"landbouw",Q28:Q28)</f>
        <v>124.71428571428569</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0.58823529411764708</v>
      </c>
      <c r="C45" s="599">
        <f>IF(ISERROR(N29/(O29+N29)),0,N29/(N29+O29))</f>
        <v>0.41176470588235292</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51.35294117647058</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73.361344537815114</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3549.3714348784561</v>
      </c>
      <c r="D10" s="931">
        <f ca="1">tertiair!C16</f>
        <v>0</v>
      </c>
      <c r="E10" s="931">
        <f ca="1">tertiair!D16</f>
        <v>3879.1894397698184</v>
      </c>
      <c r="F10" s="931">
        <f>tertiair!E16</f>
        <v>50.519143294262363</v>
      </c>
      <c r="G10" s="931">
        <f ca="1">tertiair!F16</f>
        <v>716.83669587473639</v>
      </c>
      <c r="H10" s="931">
        <f>tertiair!G16</f>
        <v>0</v>
      </c>
      <c r="I10" s="931">
        <f>tertiair!H16</f>
        <v>0</v>
      </c>
      <c r="J10" s="931">
        <f>tertiair!I16</f>
        <v>0</v>
      </c>
      <c r="K10" s="931">
        <f>tertiair!J16</f>
        <v>7.4996388000643935E-3</v>
      </c>
      <c r="L10" s="931">
        <f>tertiair!K16</f>
        <v>0</v>
      </c>
      <c r="M10" s="931">
        <f ca="1">tertiair!L16</f>
        <v>0</v>
      </c>
      <c r="N10" s="931">
        <f>tertiair!M16</f>
        <v>0</v>
      </c>
      <c r="O10" s="931">
        <f ca="1">tertiair!N16</f>
        <v>299.46338738114787</v>
      </c>
      <c r="P10" s="931">
        <f>tertiair!O16</f>
        <v>0</v>
      </c>
      <c r="Q10" s="932">
        <f>tertiair!P16</f>
        <v>38.133333333333333</v>
      </c>
      <c r="R10" s="628">
        <f ca="1">SUM(C10:Q10)</f>
        <v>8533.5209341705522</v>
      </c>
      <c r="S10" s="67"/>
    </row>
    <row r="11" spans="1:19" s="437" customFormat="1">
      <c r="A11" s="736" t="s">
        <v>213</v>
      </c>
      <c r="B11" s="741"/>
      <c r="C11" s="931">
        <f>huishoudens!B8</f>
        <v>5505.0334320821657</v>
      </c>
      <c r="D11" s="931">
        <f>huishoudens!C8</f>
        <v>0</v>
      </c>
      <c r="E11" s="931">
        <f>huishoudens!D8</f>
        <v>7884.6697317239014</v>
      </c>
      <c r="F11" s="931">
        <f>huishoudens!E8</f>
        <v>408.47390801736515</v>
      </c>
      <c r="G11" s="931">
        <f>huishoudens!F8</f>
        <v>9468.1073885245096</v>
      </c>
      <c r="H11" s="931">
        <f>huishoudens!G8</f>
        <v>0</v>
      </c>
      <c r="I11" s="931">
        <f>huishoudens!H8</f>
        <v>0</v>
      </c>
      <c r="J11" s="931">
        <f>huishoudens!I8</f>
        <v>0</v>
      </c>
      <c r="K11" s="931">
        <f>huishoudens!J8</f>
        <v>48.657731906940676</v>
      </c>
      <c r="L11" s="931">
        <f>huishoudens!K8</f>
        <v>0</v>
      </c>
      <c r="M11" s="931">
        <f>huishoudens!L8</f>
        <v>0</v>
      </c>
      <c r="N11" s="931">
        <f>huishoudens!M8</f>
        <v>0</v>
      </c>
      <c r="O11" s="931">
        <f>huishoudens!N8</f>
        <v>1955.1606240584717</v>
      </c>
      <c r="P11" s="931">
        <f>huishoudens!O8</f>
        <v>104.74333333333335</v>
      </c>
      <c r="Q11" s="932">
        <f>huishoudens!P8</f>
        <v>247.86666666666667</v>
      </c>
      <c r="R11" s="628">
        <f>SUM(C11:Q11)</f>
        <v>25622.712816313353</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5462.2304302708808</v>
      </c>
      <c r="D13" s="931">
        <f>industrie!C18</f>
        <v>0</v>
      </c>
      <c r="E13" s="931">
        <f>industrie!D18</f>
        <v>340.19255949837407</v>
      </c>
      <c r="F13" s="931">
        <f>industrie!E18</f>
        <v>228.14875472293352</v>
      </c>
      <c r="G13" s="931">
        <f>industrie!F18</f>
        <v>1226.8652904088365</v>
      </c>
      <c r="H13" s="931">
        <f>industrie!G18</f>
        <v>0</v>
      </c>
      <c r="I13" s="931">
        <f>industrie!H18</f>
        <v>0</v>
      </c>
      <c r="J13" s="931">
        <f>industrie!I18</f>
        <v>0</v>
      </c>
      <c r="K13" s="931">
        <f>industrie!J18</f>
        <v>14.142292487297135</v>
      </c>
      <c r="L13" s="931">
        <f>industrie!K18</f>
        <v>0</v>
      </c>
      <c r="M13" s="931">
        <f>industrie!L18</f>
        <v>0</v>
      </c>
      <c r="N13" s="931">
        <f>industrie!M18</f>
        <v>0</v>
      </c>
      <c r="O13" s="931">
        <f>industrie!N18</f>
        <v>145.81077146799339</v>
      </c>
      <c r="P13" s="931">
        <f>industrie!O18</f>
        <v>0</v>
      </c>
      <c r="Q13" s="932">
        <f>industrie!P18</f>
        <v>0</v>
      </c>
      <c r="R13" s="628">
        <f>SUM(C13:Q13)</f>
        <v>7417.3900988563155</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14516.635297231504</v>
      </c>
      <c r="D16" s="660">
        <f t="shared" ref="D16:R16" ca="1" si="0">SUM(D9:D15)</f>
        <v>0</v>
      </c>
      <c r="E16" s="660">
        <f t="shared" ca="1" si="0"/>
        <v>12104.051730992094</v>
      </c>
      <c r="F16" s="660">
        <f t="shared" si="0"/>
        <v>687.141806034561</v>
      </c>
      <c r="G16" s="660">
        <f t="shared" ca="1" si="0"/>
        <v>11411.809374808081</v>
      </c>
      <c r="H16" s="660">
        <f t="shared" si="0"/>
        <v>0</v>
      </c>
      <c r="I16" s="660">
        <f t="shared" si="0"/>
        <v>0</v>
      </c>
      <c r="J16" s="660">
        <f t="shared" si="0"/>
        <v>0</v>
      </c>
      <c r="K16" s="660">
        <f t="shared" si="0"/>
        <v>62.807524033037872</v>
      </c>
      <c r="L16" s="660">
        <f t="shared" si="0"/>
        <v>0</v>
      </c>
      <c r="M16" s="660">
        <f t="shared" ca="1" si="0"/>
        <v>0</v>
      </c>
      <c r="N16" s="660">
        <f t="shared" si="0"/>
        <v>0</v>
      </c>
      <c r="O16" s="660">
        <f t="shared" ca="1" si="0"/>
        <v>2400.4347829076132</v>
      </c>
      <c r="P16" s="660">
        <f t="shared" si="0"/>
        <v>104.74333333333335</v>
      </c>
      <c r="Q16" s="660">
        <f t="shared" si="0"/>
        <v>286</v>
      </c>
      <c r="R16" s="660">
        <f t="shared" ca="1" si="0"/>
        <v>41573.623849340227</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2.2345381314507278</v>
      </c>
      <c r="D19" s="931">
        <f>transport!C54</f>
        <v>0</v>
      </c>
      <c r="E19" s="931">
        <f>transport!D54</f>
        <v>0</v>
      </c>
      <c r="F19" s="931">
        <f>transport!E54</f>
        <v>0</v>
      </c>
      <c r="G19" s="931">
        <f>transport!F54</f>
        <v>0</v>
      </c>
      <c r="H19" s="931">
        <f>transport!G54</f>
        <v>209.91268153728944</v>
      </c>
      <c r="I19" s="931">
        <f>transport!H54</f>
        <v>0</v>
      </c>
      <c r="J19" s="931">
        <f>transport!I54</f>
        <v>0</v>
      </c>
      <c r="K19" s="931">
        <f>transport!J54</f>
        <v>0</v>
      </c>
      <c r="L19" s="931">
        <f>transport!K54</f>
        <v>0</v>
      </c>
      <c r="M19" s="931">
        <f>transport!L54</f>
        <v>0</v>
      </c>
      <c r="N19" s="931">
        <f>transport!M54</f>
        <v>12.088241070150811</v>
      </c>
      <c r="O19" s="931">
        <f>transport!N54</f>
        <v>0</v>
      </c>
      <c r="P19" s="931">
        <f>transport!O54</f>
        <v>0</v>
      </c>
      <c r="Q19" s="932">
        <f>transport!P54</f>
        <v>0</v>
      </c>
      <c r="R19" s="628">
        <f>SUM(C19:Q19)</f>
        <v>224.23546073889099</v>
      </c>
      <c r="S19" s="67"/>
    </row>
    <row r="20" spans="1:19" s="437" customFormat="1">
      <c r="A20" s="736" t="s">
        <v>295</v>
      </c>
      <c r="B20" s="741"/>
      <c r="C20" s="931">
        <f>transport!B14</f>
        <v>9.7126439638508604</v>
      </c>
      <c r="D20" s="931">
        <f>transport!C14</f>
        <v>0</v>
      </c>
      <c r="E20" s="931">
        <f>transport!D14</f>
        <v>19.351036529348697</v>
      </c>
      <c r="F20" s="931">
        <f>transport!E14</f>
        <v>32.525521332016524</v>
      </c>
      <c r="G20" s="931">
        <f>transport!F14</f>
        <v>0</v>
      </c>
      <c r="H20" s="931">
        <f>transport!G14</f>
        <v>12517.621507204884</v>
      </c>
      <c r="I20" s="931">
        <f>transport!H14</f>
        <v>3298.6886174868469</v>
      </c>
      <c r="J20" s="931">
        <f>transport!I14</f>
        <v>0</v>
      </c>
      <c r="K20" s="931">
        <f>transport!J14</f>
        <v>0</v>
      </c>
      <c r="L20" s="931">
        <f>transport!K14</f>
        <v>0</v>
      </c>
      <c r="M20" s="931">
        <f>transport!L14</f>
        <v>0</v>
      </c>
      <c r="N20" s="931">
        <f>transport!M14</f>
        <v>828.46296167967387</v>
      </c>
      <c r="O20" s="931">
        <f>transport!N14</f>
        <v>0</v>
      </c>
      <c r="P20" s="931">
        <f>transport!O14</f>
        <v>0</v>
      </c>
      <c r="Q20" s="932">
        <f>transport!P14</f>
        <v>0</v>
      </c>
      <c r="R20" s="628">
        <f>SUM(C20:Q20)</f>
        <v>16706.362288196622</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11.947182095301589</v>
      </c>
      <c r="D22" s="739">
        <f t="shared" ref="D22:R22" si="1">SUM(D18:D21)</f>
        <v>0</v>
      </c>
      <c r="E22" s="739">
        <f t="shared" si="1"/>
        <v>19.351036529348697</v>
      </c>
      <c r="F22" s="739">
        <f t="shared" si="1"/>
        <v>32.525521332016524</v>
      </c>
      <c r="G22" s="739">
        <f t="shared" si="1"/>
        <v>0</v>
      </c>
      <c r="H22" s="739">
        <f t="shared" si="1"/>
        <v>12727.534188742173</v>
      </c>
      <c r="I22" s="739">
        <f t="shared" si="1"/>
        <v>3298.6886174868469</v>
      </c>
      <c r="J22" s="739">
        <f t="shared" si="1"/>
        <v>0</v>
      </c>
      <c r="K22" s="739">
        <f t="shared" si="1"/>
        <v>0</v>
      </c>
      <c r="L22" s="739">
        <f t="shared" si="1"/>
        <v>0</v>
      </c>
      <c r="M22" s="739">
        <f t="shared" si="1"/>
        <v>0</v>
      </c>
      <c r="N22" s="739">
        <f t="shared" si="1"/>
        <v>840.55120274982471</v>
      </c>
      <c r="O22" s="739">
        <f t="shared" si="1"/>
        <v>0</v>
      </c>
      <c r="P22" s="739">
        <f t="shared" si="1"/>
        <v>0</v>
      </c>
      <c r="Q22" s="739">
        <f t="shared" si="1"/>
        <v>0</v>
      </c>
      <c r="R22" s="739">
        <f t="shared" si="1"/>
        <v>16930.597748935514</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5579.9248037979196</v>
      </c>
      <c r="D24" s="931">
        <f>+landbouw!C8</f>
        <v>62.357142857142847</v>
      </c>
      <c r="E24" s="931">
        <f>+landbouw!D8</f>
        <v>350.07655180808479</v>
      </c>
      <c r="F24" s="931">
        <f>+landbouw!E8</f>
        <v>181.08690257158406</v>
      </c>
      <c r="G24" s="931">
        <f>+landbouw!F8</f>
        <v>20585.425368568489</v>
      </c>
      <c r="H24" s="931">
        <f>+landbouw!G8</f>
        <v>0</v>
      </c>
      <c r="I24" s="931">
        <f>+landbouw!H8</f>
        <v>0</v>
      </c>
      <c r="J24" s="931">
        <f>+landbouw!I8</f>
        <v>0</v>
      </c>
      <c r="K24" s="931">
        <f>+landbouw!J8</f>
        <v>1467.4625343731977</v>
      </c>
      <c r="L24" s="931">
        <f>+landbouw!K8</f>
        <v>0</v>
      </c>
      <c r="M24" s="931">
        <f>+landbouw!L8</f>
        <v>0</v>
      </c>
      <c r="N24" s="931">
        <f>+landbouw!M8</f>
        <v>0</v>
      </c>
      <c r="O24" s="931">
        <f>+landbouw!N8</f>
        <v>0</v>
      </c>
      <c r="P24" s="931">
        <f>+landbouw!O8</f>
        <v>0</v>
      </c>
      <c r="Q24" s="932">
        <f>+landbouw!P8</f>
        <v>0</v>
      </c>
      <c r="R24" s="628">
        <f>SUM(C24:Q24)</f>
        <v>28226.333303976418</v>
      </c>
      <c r="S24" s="67"/>
    </row>
    <row r="25" spans="1:19" s="437" customFormat="1" ht="15" thickBot="1">
      <c r="A25" s="758" t="s">
        <v>775</v>
      </c>
      <c r="B25" s="934"/>
      <c r="C25" s="935">
        <f>IF(Onbekend_ele_kWh="---",0,Onbekend_ele_kWh)/1000+IF(REST_rest_ele_kWh="---",0,REST_rest_ele_kWh)/1000</f>
        <v>417.232416538054</v>
      </c>
      <c r="D25" s="935"/>
      <c r="E25" s="935">
        <f>IF(onbekend_gas_kWh="---",0,onbekend_gas_kWh)/1000+IF(REST_rest_gas_kWh="---",0,REST_rest_gas_kWh)/1000</f>
        <v>340.23617695938702</v>
      </c>
      <c r="F25" s="935"/>
      <c r="G25" s="935"/>
      <c r="H25" s="935"/>
      <c r="I25" s="935"/>
      <c r="J25" s="935"/>
      <c r="K25" s="935"/>
      <c r="L25" s="935"/>
      <c r="M25" s="935"/>
      <c r="N25" s="935"/>
      <c r="O25" s="935"/>
      <c r="P25" s="935"/>
      <c r="Q25" s="936"/>
      <c r="R25" s="628">
        <f>SUM(C25:Q25)</f>
        <v>757.46859349744102</v>
      </c>
      <c r="S25" s="67"/>
    </row>
    <row r="26" spans="1:19" s="437" customFormat="1" ht="15.75" thickBot="1">
      <c r="A26" s="633" t="s">
        <v>776</v>
      </c>
      <c r="B26" s="744"/>
      <c r="C26" s="739">
        <f>SUM(C24:C25)</f>
        <v>5997.1572203359738</v>
      </c>
      <c r="D26" s="739">
        <f t="shared" ref="D26:R26" si="2">SUM(D24:D25)</f>
        <v>62.357142857142847</v>
      </c>
      <c r="E26" s="739">
        <f t="shared" si="2"/>
        <v>690.31272876747175</v>
      </c>
      <c r="F26" s="739">
        <f t="shared" si="2"/>
        <v>181.08690257158406</v>
      </c>
      <c r="G26" s="739">
        <f t="shared" si="2"/>
        <v>20585.425368568489</v>
      </c>
      <c r="H26" s="739">
        <f t="shared" si="2"/>
        <v>0</v>
      </c>
      <c r="I26" s="739">
        <f t="shared" si="2"/>
        <v>0</v>
      </c>
      <c r="J26" s="739">
        <f t="shared" si="2"/>
        <v>0</v>
      </c>
      <c r="K26" s="739">
        <f t="shared" si="2"/>
        <v>1467.4625343731977</v>
      </c>
      <c r="L26" s="739">
        <f t="shared" si="2"/>
        <v>0</v>
      </c>
      <c r="M26" s="739">
        <f t="shared" si="2"/>
        <v>0</v>
      </c>
      <c r="N26" s="739">
        <f t="shared" si="2"/>
        <v>0</v>
      </c>
      <c r="O26" s="739">
        <f t="shared" si="2"/>
        <v>0</v>
      </c>
      <c r="P26" s="739">
        <f t="shared" si="2"/>
        <v>0</v>
      </c>
      <c r="Q26" s="739">
        <f t="shared" si="2"/>
        <v>0</v>
      </c>
      <c r="R26" s="739">
        <f t="shared" si="2"/>
        <v>28983.801897473859</v>
      </c>
      <c r="S26" s="67"/>
    </row>
    <row r="27" spans="1:19" s="437" customFormat="1" ht="17.25" thickTop="1" thickBot="1">
      <c r="A27" s="634" t="s">
        <v>109</v>
      </c>
      <c r="B27" s="732"/>
      <c r="C27" s="635">
        <f ca="1">C22+C16+C26</f>
        <v>20525.739699662779</v>
      </c>
      <c r="D27" s="635">
        <f t="shared" ref="D27:R27" ca="1" si="3">D22+D16+D26</f>
        <v>62.357142857142847</v>
      </c>
      <c r="E27" s="635">
        <f t="shared" ca="1" si="3"/>
        <v>12813.715496288916</v>
      </c>
      <c r="F27" s="635">
        <f t="shared" si="3"/>
        <v>900.75422993816164</v>
      </c>
      <c r="G27" s="635">
        <f t="shared" ca="1" si="3"/>
        <v>31997.234743376568</v>
      </c>
      <c r="H27" s="635">
        <f t="shared" si="3"/>
        <v>12727.534188742173</v>
      </c>
      <c r="I27" s="635">
        <f t="shared" si="3"/>
        <v>3298.6886174868469</v>
      </c>
      <c r="J27" s="635">
        <f t="shared" si="3"/>
        <v>0</v>
      </c>
      <c r="K27" s="635">
        <f t="shared" si="3"/>
        <v>1530.2700584062356</v>
      </c>
      <c r="L27" s="635">
        <f t="shared" si="3"/>
        <v>0</v>
      </c>
      <c r="M27" s="635">
        <f t="shared" ca="1" si="3"/>
        <v>0</v>
      </c>
      <c r="N27" s="635">
        <f t="shared" si="3"/>
        <v>840.55120274982471</v>
      </c>
      <c r="O27" s="635">
        <f t="shared" ca="1" si="3"/>
        <v>2400.4347829076132</v>
      </c>
      <c r="P27" s="635">
        <f t="shared" si="3"/>
        <v>104.74333333333335</v>
      </c>
      <c r="Q27" s="635">
        <f t="shared" si="3"/>
        <v>286</v>
      </c>
      <c r="R27" s="635">
        <f t="shared" ca="1" si="3"/>
        <v>87488.0234957496</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645.15797652679021</v>
      </c>
      <c r="D40" s="931">
        <f ca="1">tertiair!C20</f>
        <v>0</v>
      </c>
      <c r="E40" s="931">
        <f ca="1">tertiair!D20</f>
        <v>783.59626683350336</v>
      </c>
      <c r="F40" s="931">
        <f>tertiair!E20</f>
        <v>11.467845527797557</v>
      </c>
      <c r="G40" s="931">
        <f ca="1">tertiair!F20</f>
        <v>191.39539779855463</v>
      </c>
      <c r="H40" s="931">
        <f>tertiair!G20</f>
        <v>0</v>
      </c>
      <c r="I40" s="931">
        <f>tertiair!H20</f>
        <v>0</v>
      </c>
      <c r="J40" s="931">
        <f>tertiair!I20</f>
        <v>0</v>
      </c>
      <c r="K40" s="931">
        <f>tertiair!J20</f>
        <v>2.6548721352227952E-3</v>
      </c>
      <c r="L40" s="931">
        <f>tertiair!K20</f>
        <v>0</v>
      </c>
      <c r="M40" s="931">
        <f ca="1">tertiair!L20</f>
        <v>0</v>
      </c>
      <c r="N40" s="931">
        <f>tertiair!M20</f>
        <v>0</v>
      </c>
      <c r="O40" s="931">
        <f ca="1">tertiair!N20</f>
        <v>0</v>
      </c>
      <c r="P40" s="931">
        <f>tertiair!O20</f>
        <v>0</v>
      </c>
      <c r="Q40" s="702">
        <f>tertiair!P20</f>
        <v>0</v>
      </c>
      <c r="R40" s="777">
        <f t="shared" ca="1" si="4"/>
        <v>1631.6201415587809</v>
      </c>
    </row>
    <row r="41" spans="1:18">
      <c r="A41" s="749" t="s">
        <v>213</v>
      </c>
      <c r="B41" s="756"/>
      <c r="C41" s="931">
        <f ca="1">huishoudens!B12</f>
        <v>1000.6324485665114</v>
      </c>
      <c r="D41" s="931">
        <f ca="1">huishoudens!C12</f>
        <v>0</v>
      </c>
      <c r="E41" s="931">
        <f>huishoudens!D12</f>
        <v>1592.7032858082282</v>
      </c>
      <c r="F41" s="931">
        <f>huishoudens!E12</f>
        <v>92.723577119941893</v>
      </c>
      <c r="G41" s="931">
        <f>huishoudens!F12</f>
        <v>2527.9846727360441</v>
      </c>
      <c r="H41" s="931">
        <f>huishoudens!G12</f>
        <v>0</v>
      </c>
      <c r="I41" s="931">
        <f>huishoudens!H12</f>
        <v>0</v>
      </c>
      <c r="J41" s="931">
        <f>huishoudens!I12</f>
        <v>0</v>
      </c>
      <c r="K41" s="931">
        <f>huishoudens!J12</f>
        <v>17.224837095056998</v>
      </c>
      <c r="L41" s="931">
        <f>huishoudens!K12</f>
        <v>0</v>
      </c>
      <c r="M41" s="931">
        <f>huishoudens!L12</f>
        <v>0</v>
      </c>
      <c r="N41" s="931">
        <f>huishoudens!M12</f>
        <v>0</v>
      </c>
      <c r="O41" s="931">
        <f>huishoudens!N12</f>
        <v>0</v>
      </c>
      <c r="P41" s="931">
        <f>huishoudens!O12</f>
        <v>0</v>
      </c>
      <c r="Q41" s="702">
        <f>huishoudens!P12</f>
        <v>0</v>
      </c>
      <c r="R41" s="777">
        <f t="shared" ca="1" si="4"/>
        <v>5231.2688213257834</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992.85228282604226</v>
      </c>
      <c r="D43" s="931">
        <f ca="1">industrie!C22</f>
        <v>0</v>
      </c>
      <c r="E43" s="931">
        <f>industrie!D22</f>
        <v>68.718897018671569</v>
      </c>
      <c r="F43" s="931">
        <f>industrie!E22</f>
        <v>51.789767322105909</v>
      </c>
      <c r="G43" s="931">
        <f>industrie!F22</f>
        <v>327.57303253915933</v>
      </c>
      <c r="H43" s="931">
        <f>industrie!G22</f>
        <v>0</v>
      </c>
      <c r="I43" s="931">
        <f>industrie!H22</f>
        <v>0</v>
      </c>
      <c r="J43" s="931">
        <f>industrie!I22</f>
        <v>0</v>
      </c>
      <c r="K43" s="931">
        <f>industrie!J22</f>
        <v>5.0063715405031859</v>
      </c>
      <c r="L43" s="931">
        <f>industrie!K22</f>
        <v>0</v>
      </c>
      <c r="M43" s="931">
        <f>industrie!L22</f>
        <v>0</v>
      </c>
      <c r="N43" s="931">
        <f>industrie!M22</f>
        <v>0</v>
      </c>
      <c r="O43" s="931">
        <f>industrie!N22</f>
        <v>0</v>
      </c>
      <c r="P43" s="931">
        <f>industrie!O22</f>
        <v>0</v>
      </c>
      <c r="Q43" s="702">
        <f>industrie!P22</f>
        <v>0</v>
      </c>
      <c r="R43" s="776">
        <f t="shared" ca="1" si="4"/>
        <v>1445.9403512464824</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2638.6427079193436</v>
      </c>
      <c r="D46" s="660">
        <f t="shared" ref="D46:Q46" ca="1" si="5">SUM(D39:D45)</f>
        <v>0</v>
      </c>
      <c r="E46" s="660">
        <f t="shared" ca="1" si="5"/>
        <v>2445.0184496604033</v>
      </c>
      <c r="F46" s="660">
        <f t="shared" si="5"/>
        <v>155.98118996984536</v>
      </c>
      <c r="G46" s="660">
        <f t="shared" ca="1" si="5"/>
        <v>3046.953103073758</v>
      </c>
      <c r="H46" s="660">
        <f t="shared" si="5"/>
        <v>0</v>
      </c>
      <c r="I46" s="660">
        <f t="shared" si="5"/>
        <v>0</v>
      </c>
      <c r="J46" s="660">
        <f t="shared" si="5"/>
        <v>0</v>
      </c>
      <c r="K46" s="660">
        <f t="shared" si="5"/>
        <v>22.233863507695407</v>
      </c>
      <c r="L46" s="660">
        <f t="shared" si="5"/>
        <v>0</v>
      </c>
      <c r="M46" s="660">
        <f t="shared" ca="1" si="5"/>
        <v>0</v>
      </c>
      <c r="N46" s="660">
        <f t="shared" si="5"/>
        <v>0</v>
      </c>
      <c r="O46" s="660">
        <f t="shared" ca="1" si="5"/>
        <v>0</v>
      </c>
      <c r="P46" s="660">
        <f t="shared" si="5"/>
        <v>0</v>
      </c>
      <c r="Q46" s="660">
        <f t="shared" si="5"/>
        <v>0</v>
      </c>
      <c r="R46" s="660">
        <f ca="1">SUM(R39:R45)</f>
        <v>8308.829314131046</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0.40616490153504409</v>
      </c>
      <c r="D49" s="931">
        <f ca="1">transport!C58</f>
        <v>0</v>
      </c>
      <c r="E49" s="931">
        <f>transport!D58</f>
        <v>0</v>
      </c>
      <c r="F49" s="931">
        <f>transport!E58</f>
        <v>0</v>
      </c>
      <c r="G49" s="931">
        <f>transport!F58</f>
        <v>0</v>
      </c>
      <c r="H49" s="931">
        <f>transport!G58</f>
        <v>56.046685970456288</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56.45285087199133</v>
      </c>
    </row>
    <row r="50" spans="1:18">
      <c r="A50" s="752" t="s">
        <v>295</v>
      </c>
      <c r="B50" s="762"/>
      <c r="C50" s="631">
        <f ca="1">transport!B18</f>
        <v>1.7654364558376354</v>
      </c>
      <c r="D50" s="631">
        <f>transport!C18</f>
        <v>0</v>
      </c>
      <c r="E50" s="631">
        <f>transport!D18</f>
        <v>3.908909378928437</v>
      </c>
      <c r="F50" s="631">
        <f>transport!E18</f>
        <v>7.3832933423677511</v>
      </c>
      <c r="G50" s="631">
        <f>transport!F18</f>
        <v>0</v>
      </c>
      <c r="H50" s="631">
        <f>transport!G18</f>
        <v>3342.2049424237039</v>
      </c>
      <c r="I50" s="631">
        <f>transport!H18</f>
        <v>821.37346575422487</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4176.6360473550621</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2.1716013573726793</v>
      </c>
      <c r="D52" s="660">
        <f t="shared" ref="D52:Q52" ca="1" si="6">SUM(D48:D51)</f>
        <v>0</v>
      </c>
      <c r="E52" s="660">
        <f t="shared" si="6"/>
        <v>3.908909378928437</v>
      </c>
      <c r="F52" s="660">
        <f t="shared" si="6"/>
        <v>7.3832933423677511</v>
      </c>
      <c r="G52" s="660">
        <f t="shared" si="6"/>
        <v>0</v>
      </c>
      <c r="H52" s="660">
        <f t="shared" si="6"/>
        <v>3398.25162839416</v>
      </c>
      <c r="I52" s="660">
        <f t="shared" si="6"/>
        <v>821.37346575422487</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4233.0888982270535</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1014.245215424513</v>
      </c>
      <c r="D54" s="631">
        <f ca="1">+landbouw!C12</f>
        <v>0</v>
      </c>
      <c r="E54" s="631">
        <f>+landbouw!D12</f>
        <v>70.715463465233128</v>
      </c>
      <c r="F54" s="631">
        <f>+landbouw!E12</f>
        <v>41.10672688374958</v>
      </c>
      <c r="G54" s="631">
        <f>+landbouw!F12</f>
        <v>5496.3085734077868</v>
      </c>
      <c r="H54" s="631">
        <f>+landbouw!G12</f>
        <v>0</v>
      </c>
      <c r="I54" s="631">
        <f>+landbouw!H12</f>
        <v>0</v>
      </c>
      <c r="J54" s="631">
        <f>+landbouw!I12</f>
        <v>0</v>
      </c>
      <c r="K54" s="631">
        <f>+landbouw!J12</f>
        <v>519.48173716811198</v>
      </c>
      <c r="L54" s="631">
        <f>+landbouw!K12</f>
        <v>0</v>
      </c>
      <c r="M54" s="631">
        <f>+landbouw!L12</f>
        <v>0</v>
      </c>
      <c r="N54" s="631">
        <f>+landbouw!M12</f>
        <v>0</v>
      </c>
      <c r="O54" s="631">
        <f>+landbouw!N12</f>
        <v>0</v>
      </c>
      <c r="P54" s="631">
        <f>+landbouw!O12</f>
        <v>0</v>
      </c>
      <c r="Q54" s="632">
        <f>+landbouw!P12</f>
        <v>0</v>
      </c>
      <c r="R54" s="659">
        <f ca="1">SUM(C54:Q54)</f>
        <v>7141.8577163493947</v>
      </c>
    </row>
    <row r="55" spans="1:18" ht="15" thickBot="1">
      <c r="A55" s="752" t="s">
        <v>775</v>
      </c>
      <c r="B55" s="762"/>
      <c r="C55" s="631">
        <f ca="1">C25*'EF ele_warmte'!B12</f>
        <v>75.839011648633388</v>
      </c>
      <c r="D55" s="631"/>
      <c r="E55" s="631">
        <f>E25*EF_CO2_aardgas</f>
        <v>68.727707745796181</v>
      </c>
      <c r="F55" s="631"/>
      <c r="G55" s="631"/>
      <c r="H55" s="631"/>
      <c r="I55" s="631"/>
      <c r="J55" s="631"/>
      <c r="K55" s="631"/>
      <c r="L55" s="631"/>
      <c r="M55" s="631"/>
      <c r="N55" s="631"/>
      <c r="O55" s="631"/>
      <c r="P55" s="631"/>
      <c r="Q55" s="632"/>
      <c r="R55" s="659">
        <f ca="1">SUM(C55:Q55)</f>
        <v>144.56671939442958</v>
      </c>
    </row>
    <row r="56" spans="1:18" ht="15.75" thickBot="1">
      <c r="A56" s="750" t="s">
        <v>776</v>
      </c>
      <c r="B56" s="763"/>
      <c r="C56" s="660">
        <f ca="1">SUM(C54:C55)</f>
        <v>1090.0842270731464</v>
      </c>
      <c r="D56" s="660">
        <f t="shared" ref="D56:Q56" ca="1" si="7">SUM(D54:D55)</f>
        <v>0</v>
      </c>
      <c r="E56" s="660">
        <f t="shared" si="7"/>
        <v>139.44317121102932</v>
      </c>
      <c r="F56" s="660">
        <f t="shared" si="7"/>
        <v>41.10672688374958</v>
      </c>
      <c r="G56" s="660">
        <f t="shared" si="7"/>
        <v>5496.3085734077868</v>
      </c>
      <c r="H56" s="660">
        <f t="shared" si="7"/>
        <v>0</v>
      </c>
      <c r="I56" s="660">
        <f t="shared" si="7"/>
        <v>0</v>
      </c>
      <c r="J56" s="660">
        <f t="shared" si="7"/>
        <v>0</v>
      </c>
      <c r="K56" s="660">
        <f t="shared" si="7"/>
        <v>519.48173716811198</v>
      </c>
      <c r="L56" s="660">
        <f t="shared" si="7"/>
        <v>0</v>
      </c>
      <c r="M56" s="660">
        <f t="shared" si="7"/>
        <v>0</v>
      </c>
      <c r="N56" s="660">
        <f t="shared" si="7"/>
        <v>0</v>
      </c>
      <c r="O56" s="660">
        <f t="shared" si="7"/>
        <v>0</v>
      </c>
      <c r="P56" s="660">
        <f t="shared" si="7"/>
        <v>0</v>
      </c>
      <c r="Q56" s="661">
        <f t="shared" si="7"/>
        <v>0</v>
      </c>
      <c r="R56" s="662">
        <f ca="1">SUM(R54:R55)</f>
        <v>7286.4244357438238</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3730.8985363498628</v>
      </c>
      <c r="D61" s="668">
        <f t="shared" ref="D61:Q61" ca="1" si="8">D46+D52+D56</f>
        <v>0</v>
      </c>
      <c r="E61" s="668">
        <f t="shared" ca="1" si="8"/>
        <v>2588.3705302503613</v>
      </c>
      <c r="F61" s="668">
        <f t="shared" si="8"/>
        <v>204.4712101959627</v>
      </c>
      <c r="G61" s="668">
        <f t="shared" ca="1" si="8"/>
        <v>8543.2616764815448</v>
      </c>
      <c r="H61" s="668">
        <f t="shared" si="8"/>
        <v>3398.25162839416</v>
      </c>
      <c r="I61" s="668">
        <f t="shared" si="8"/>
        <v>821.37346575422487</v>
      </c>
      <c r="J61" s="668">
        <f t="shared" si="8"/>
        <v>0</v>
      </c>
      <c r="K61" s="668">
        <f t="shared" si="8"/>
        <v>541.71560067580742</v>
      </c>
      <c r="L61" s="668">
        <f t="shared" si="8"/>
        <v>0</v>
      </c>
      <c r="M61" s="668">
        <f t="shared" ca="1" si="8"/>
        <v>0</v>
      </c>
      <c r="N61" s="668">
        <f t="shared" si="8"/>
        <v>0</v>
      </c>
      <c r="O61" s="668">
        <f t="shared" ca="1" si="8"/>
        <v>0</v>
      </c>
      <c r="P61" s="668">
        <f t="shared" si="8"/>
        <v>0</v>
      </c>
      <c r="Q61" s="668">
        <f t="shared" si="8"/>
        <v>0</v>
      </c>
      <c r="R61" s="668">
        <f ca="1">R46+R52+R56</f>
        <v>19828.342648101923</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0.18176682501781694</v>
      </c>
      <c r="D63" s="709">
        <f t="shared" ca="1" si="9"/>
        <v>0</v>
      </c>
      <c r="E63" s="942">
        <f t="shared" ca="1" si="9"/>
        <v>0.20200000000000001</v>
      </c>
      <c r="F63" s="709">
        <f t="shared" si="9"/>
        <v>0.22700000000000001</v>
      </c>
      <c r="G63" s="709">
        <f t="shared" ca="1" si="9"/>
        <v>0.26700000000000002</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3600.1958700253899</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43.649999999999991</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51.35294117647058</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3643.84587002539</v>
      </c>
      <c r="C78" s="683">
        <f>SUM(C72:C77)</f>
        <v>0</v>
      </c>
      <c r="D78" s="684">
        <f t="shared" ref="D78:H78" si="10">SUM(D76:D77)</f>
        <v>0</v>
      </c>
      <c r="E78" s="684">
        <f t="shared" si="10"/>
        <v>0</v>
      </c>
      <c r="F78" s="684">
        <f t="shared" si="10"/>
        <v>0</v>
      </c>
      <c r="G78" s="684">
        <f t="shared" si="10"/>
        <v>0</v>
      </c>
      <c r="H78" s="684">
        <f t="shared" si="10"/>
        <v>0</v>
      </c>
      <c r="I78" s="684">
        <f>SUM(I76:I77)</f>
        <v>0</v>
      </c>
      <c r="J78" s="684">
        <f>SUM(J76:J77)</f>
        <v>51.35294117647058</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62.357142857142847</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73.361344537815114</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62.357142857142847</v>
      </c>
      <c r="C90" s="683">
        <f>SUM(C87:C89)</f>
        <v>0</v>
      </c>
      <c r="D90" s="683">
        <f t="shared" ref="D90:H90" si="12">SUM(D87:D89)</f>
        <v>0</v>
      </c>
      <c r="E90" s="683">
        <f t="shared" si="12"/>
        <v>0</v>
      </c>
      <c r="F90" s="683">
        <f t="shared" si="12"/>
        <v>0</v>
      </c>
      <c r="G90" s="683">
        <f t="shared" si="12"/>
        <v>0</v>
      </c>
      <c r="H90" s="683">
        <f t="shared" si="12"/>
        <v>0</v>
      </c>
      <c r="I90" s="683">
        <f>SUM(I87:I89)</f>
        <v>0</v>
      </c>
      <c r="J90" s="683">
        <f>SUM(J87:J89)</f>
        <v>73.361344537815114</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5505.0334320821657</v>
      </c>
      <c r="C4" s="441">
        <f>huishoudens!C8</f>
        <v>0</v>
      </c>
      <c r="D4" s="441">
        <f>huishoudens!D8</f>
        <v>7884.6697317239014</v>
      </c>
      <c r="E4" s="441">
        <f>huishoudens!E8</f>
        <v>408.47390801736515</v>
      </c>
      <c r="F4" s="441">
        <f>huishoudens!F8</f>
        <v>9468.1073885245096</v>
      </c>
      <c r="G4" s="441">
        <f>huishoudens!G8</f>
        <v>0</v>
      </c>
      <c r="H4" s="441">
        <f>huishoudens!H8</f>
        <v>0</v>
      </c>
      <c r="I4" s="441">
        <f>huishoudens!I8</f>
        <v>0</v>
      </c>
      <c r="J4" s="441">
        <f>huishoudens!J8</f>
        <v>48.657731906940676</v>
      </c>
      <c r="K4" s="441">
        <f>huishoudens!K8</f>
        <v>0</v>
      </c>
      <c r="L4" s="441">
        <f>huishoudens!L8</f>
        <v>0</v>
      </c>
      <c r="M4" s="441">
        <f>huishoudens!M8</f>
        <v>0</v>
      </c>
      <c r="N4" s="441">
        <f>huishoudens!N8</f>
        <v>1955.1606240584717</v>
      </c>
      <c r="O4" s="441">
        <f>huishoudens!O8</f>
        <v>104.74333333333335</v>
      </c>
      <c r="P4" s="442">
        <f>huishoudens!P8</f>
        <v>247.86666666666667</v>
      </c>
      <c r="Q4" s="443">
        <f>SUM(B4:P4)</f>
        <v>25622.712816313353</v>
      </c>
    </row>
    <row r="5" spans="1:17">
      <c r="A5" s="440" t="s">
        <v>149</v>
      </c>
      <c r="B5" s="441">
        <f ca="1">tertiair!B16</f>
        <v>3351.6874348784559</v>
      </c>
      <c r="C5" s="441">
        <f ca="1">tertiair!C16</f>
        <v>0</v>
      </c>
      <c r="D5" s="441">
        <f ca="1">tertiair!D16</f>
        <v>3879.1894397698184</v>
      </c>
      <c r="E5" s="441">
        <f>tertiair!E16</f>
        <v>50.519143294262363</v>
      </c>
      <c r="F5" s="441">
        <f ca="1">tertiair!F16</f>
        <v>716.83669587473639</v>
      </c>
      <c r="G5" s="441">
        <f>tertiair!G16</f>
        <v>0</v>
      </c>
      <c r="H5" s="441">
        <f>tertiair!H16</f>
        <v>0</v>
      </c>
      <c r="I5" s="441">
        <f>tertiair!I16</f>
        <v>0</v>
      </c>
      <c r="J5" s="441">
        <f>tertiair!J16</f>
        <v>7.4996388000643935E-3</v>
      </c>
      <c r="K5" s="441">
        <f>tertiair!K16</f>
        <v>0</v>
      </c>
      <c r="L5" s="441">
        <f ca="1">tertiair!L16</f>
        <v>0</v>
      </c>
      <c r="M5" s="441">
        <f>tertiair!M16</f>
        <v>0</v>
      </c>
      <c r="N5" s="441">
        <f ca="1">tertiair!N16</f>
        <v>299.46338738114787</v>
      </c>
      <c r="O5" s="441">
        <f>tertiair!O16</f>
        <v>0</v>
      </c>
      <c r="P5" s="442">
        <f>tertiair!P16</f>
        <v>38.133333333333333</v>
      </c>
      <c r="Q5" s="440">
        <f t="shared" ref="Q5:Q14" ca="1" si="0">SUM(B5:P5)</f>
        <v>8335.8369341705547</v>
      </c>
    </row>
    <row r="6" spans="1:17">
      <c r="A6" s="440" t="s">
        <v>187</v>
      </c>
      <c r="B6" s="441">
        <f>'openbare verlichting'!B8</f>
        <v>197.684</v>
      </c>
      <c r="C6" s="441"/>
      <c r="D6" s="441"/>
      <c r="E6" s="441"/>
      <c r="F6" s="441"/>
      <c r="G6" s="441"/>
      <c r="H6" s="441"/>
      <c r="I6" s="441"/>
      <c r="J6" s="441"/>
      <c r="K6" s="441"/>
      <c r="L6" s="441"/>
      <c r="M6" s="441"/>
      <c r="N6" s="441"/>
      <c r="O6" s="441"/>
      <c r="P6" s="442"/>
      <c r="Q6" s="440">
        <f t="shared" si="0"/>
        <v>197.684</v>
      </c>
    </row>
    <row r="7" spans="1:17">
      <c r="A7" s="440" t="s">
        <v>105</v>
      </c>
      <c r="B7" s="441">
        <f>landbouw!B8</f>
        <v>5579.9248037979196</v>
      </c>
      <c r="C7" s="441">
        <f>landbouw!C8</f>
        <v>62.357142857142847</v>
      </c>
      <c r="D7" s="441">
        <f>landbouw!D8</f>
        <v>350.07655180808479</v>
      </c>
      <c r="E7" s="441">
        <f>landbouw!E8</f>
        <v>181.08690257158406</v>
      </c>
      <c r="F7" s="441">
        <f>landbouw!F8</f>
        <v>20585.425368568489</v>
      </c>
      <c r="G7" s="441">
        <f>landbouw!G8</f>
        <v>0</v>
      </c>
      <c r="H7" s="441">
        <f>landbouw!H8</f>
        <v>0</v>
      </c>
      <c r="I7" s="441">
        <f>landbouw!I8</f>
        <v>0</v>
      </c>
      <c r="J7" s="441">
        <f>landbouw!J8</f>
        <v>1467.4625343731977</v>
      </c>
      <c r="K7" s="441">
        <f>landbouw!K8</f>
        <v>0</v>
      </c>
      <c r="L7" s="441">
        <f>landbouw!L8</f>
        <v>0</v>
      </c>
      <c r="M7" s="441">
        <f>landbouw!M8</f>
        <v>0</v>
      </c>
      <c r="N7" s="441">
        <f>landbouw!N8</f>
        <v>0</v>
      </c>
      <c r="O7" s="441">
        <f>landbouw!O8</f>
        <v>0</v>
      </c>
      <c r="P7" s="442">
        <f>landbouw!P8</f>
        <v>0</v>
      </c>
      <c r="Q7" s="440">
        <f t="shared" si="0"/>
        <v>28226.333303976418</v>
      </c>
    </row>
    <row r="8" spans="1:17">
      <c r="A8" s="440" t="s">
        <v>596</v>
      </c>
      <c r="B8" s="441">
        <f>industrie!B18</f>
        <v>5462.2304302708808</v>
      </c>
      <c r="C8" s="441">
        <f>industrie!C18</f>
        <v>0</v>
      </c>
      <c r="D8" s="441">
        <f>industrie!D18</f>
        <v>340.19255949837407</v>
      </c>
      <c r="E8" s="441">
        <f>industrie!E18</f>
        <v>228.14875472293352</v>
      </c>
      <c r="F8" s="441">
        <f>industrie!F18</f>
        <v>1226.8652904088365</v>
      </c>
      <c r="G8" s="441">
        <f>industrie!G18</f>
        <v>0</v>
      </c>
      <c r="H8" s="441">
        <f>industrie!H18</f>
        <v>0</v>
      </c>
      <c r="I8" s="441">
        <f>industrie!I18</f>
        <v>0</v>
      </c>
      <c r="J8" s="441">
        <f>industrie!J18</f>
        <v>14.142292487297135</v>
      </c>
      <c r="K8" s="441">
        <f>industrie!K18</f>
        <v>0</v>
      </c>
      <c r="L8" s="441">
        <f>industrie!L18</f>
        <v>0</v>
      </c>
      <c r="M8" s="441">
        <f>industrie!M18</f>
        <v>0</v>
      </c>
      <c r="N8" s="441">
        <f>industrie!N18</f>
        <v>145.81077146799339</v>
      </c>
      <c r="O8" s="441">
        <f>industrie!O18</f>
        <v>0</v>
      </c>
      <c r="P8" s="442">
        <f>industrie!P18</f>
        <v>0</v>
      </c>
      <c r="Q8" s="440">
        <f t="shared" si="0"/>
        <v>7417.3900988563155</v>
      </c>
    </row>
    <row r="9" spans="1:17" s="446" customFormat="1">
      <c r="A9" s="444" t="s">
        <v>545</v>
      </c>
      <c r="B9" s="445">
        <f>transport!B14</f>
        <v>9.7126439638508604</v>
      </c>
      <c r="C9" s="445">
        <f>transport!C14</f>
        <v>0</v>
      </c>
      <c r="D9" s="445">
        <f>transport!D14</f>
        <v>19.351036529348697</v>
      </c>
      <c r="E9" s="445">
        <f>transport!E14</f>
        <v>32.525521332016524</v>
      </c>
      <c r="F9" s="445">
        <f>transport!F14</f>
        <v>0</v>
      </c>
      <c r="G9" s="445">
        <f>transport!G14</f>
        <v>12517.621507204884</v>
      </c>
      <c r="H9" s="445">
        <f>transport!H14</f>
        <v>3298.6886174868469</v>
      </c>
      <c r="I9" s="445">
        <f>transport!I14</f>
        <v>0</v>
      </c>
      <c r="J9" s="445">
        <f>transport!J14</f>
        <v>0</v>
      </c>
      <c r="K9" s="445">
        <f>transport!K14</f>
        <v>0</v>
      </c>
      <c r="L9" s="445">
        <f>transport!L14</f>
        <v>0</v>
      </c>
      <c r="M9" s="445">
        <f>transport!M14</f>
        <v>828.46296167967387</v>
      </c>
      <c r="N9" s="445">
        <f>transport!N14</f>
        <v>0</v>
      </c>
      <c r="O9" s="445">
        <f>transport!O14</f>
        <v>0</v>
      </c>
      <c r="P9" s="445">
        <f>transport!P14</f>
        <v>0</v>
      </c>
      <c r="Q9" s="444">
        <f>SUM(B9:P9)</f>
        <v>16706.362288196622</v>
      </c>
    </row>
    <row r="10" spans="1:17">
      <c r="A10" s="440" t="s">
        <v>535</v>
      </c>
      <c r="B10" s="441">
        <f>transport!B54</f>
        <v>2.2345381314507278</v>
      </c>
      <c r="C10" s="441">
        <f>transport!C54</f>
        <v>0</v>
      </c>
      <c r="D10" s="441">
        <f>transport!D54</f>
        <v>0</v>
      </c>
      <c r="E10" s="441">
        <f>transport!E54</f>
        <v>0</v>
      </c>
      <c r="F10" s="441">
        <f>transport!F54</f>
        <v>0</v>
      </c>
      <c r="G10" s="441">
        <f>transport!G54</f>
        <v>209.91268153728944</v>
      </c>
      <c r="H10" s="441">
        <f>transport!H54</f>
        <v>0</v>
      </c>
      <c r="I10" s="441">
        <f>transport!I54</f>
        <v>0</v>
      </c>
      <c r="J10" s="441">
        <f>transport!J54</f>
        <v>0</v>
      </c>
      <c r="K10" s="441">
        <f>transport!K54</f>
        <v>0</v>
      </c>
      <c r="L10" s="441">
        <f>transport!L54</f>
        <v>0</v>
      </c>
      <c r="M10" s="441">
        <f>transport!M54</f>
        <v>12.088241070150811</v>
      </c>
      <c r="N10" s="441">
        <f>transport!N54</f>
        <v>0</v>
      </c>
      <c r="O10" s="441">
        <f>transport!O54</f>
        <v>0</v>
      </c>
      <c r="P10" s="442">
        <f>transport!P54</f>
        <v>0</v>
      </c>
      <c r="Q10" s="440">
        <f t="shared" si="0"/>
        <v>224.23546073889099</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417.232416538054</v>
      </c>
      <c r="C14" s="448"/>
      <c r="D14" s="448">
        <f>'SEAP template'!E25</f>
        <v>340.23617695938702</v>
      </c>
      <c r="E14" s="448"/>
      <c r="F14" s="448"/>
      <c r="G14" s="448"/>
      <c r="H14" s="448"/>
      <c r="I14" s="448"/>
      <c r="J14" s="448"/>
      <c r="K14" s="448"/>
      <c r="L14" s="448"/>
      <c r="M14" s="448"/>
      <c r="N14" s="448"/>
      <c r="O14" s="448"/>
      <c r="P14" s="449"/>
      <c r="Q14" s="440">
        <f t="shared" si="0"/>
        <v>757.46859349744102</v>
      </c>
    </row>
    <row r="15" spans="1:17" s="450" customFormat="1">
      <c r="A15" s="957" t="s">
        <v>539</v>
      </c>
      <c r="B15" s="905">
        <f ca="1">SUM(B4:B14)</f>
        <v>20525.739699662779</v>
      </c>
      <c r="C15" s="905">
        <f t="shared" ref="C15:Q15" ca="1" si="1">SUM(C4:C14)</f>
        <v>62.357142857142847</v>
      </c>
      <c r="D15" s="905">
        <f t="shared" ca="1" si="1"/>
        <v>12813.715496288914</v>
      </c>
      <c r="E15" s="905">
        <f t="shared" si="1"/>
        <v>900.75422993816164</v>
      </c>
      <c r="F15" s="905">
        <f t="shared" ca="1" si="1"/>
        <v>31997.234743376572</v>
      </c>
      <c r="G15" s="905">
        <f t="shared" si="1"/>
        <v>12727.534188742173</v>
      </c>
      <c r="H15" s="905">
        <f t="shared" si="1"/>
        <v>3298.6886174868469</v>
      </c>
      <c r="I15" s="905">
        <f t="shared" si="1"/>
        <v>0</v>
      </c>
      <c r="J15" s="905">
        <f t="shared" si="1"/>
        <v>1530.2700584062354</v>
      </c>
      <c r="K15" s="905">
        <f t="shared" si="1"/>
        <v>0</v>
      </c>
      <c r="L15" s="905">
        <f t="shared" ca="1" si="1"/>
        <v>0</v>
      </c>
      <c r="M15" s="905">
        <f t="shared" si="1"/>
        <v>840.55120274982471</v>
      </c>
      <c r="N15" s="905">
        <f t="shared" ca="1" si="1"/>
        <v>2400.4347829076132</v>
      </c>
      <c r="O15" s="905">
        <f t="shared" si="1"/>
        <v>104.74333333333335</v>
      </c>
      <c r="P15" s="905">
        <f t="shared" si="1"/>
        <v>286</v>
      </c>
      <c r="Q15" s="905">
        <f t="shared" ca="1" si="1"/>
        <v>87488.0234957496</v>
      </c>
    </row>
    <row r="17" spans="1:17">
      <c r="A17" s="451" t="s">
        <v>540</v>
      </c>
      <c r="B17" s="714">
        <f ca="1">huishoudens!B10</f>
        <v>0.18176682501781696</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1000.6324485665114</v>
      </c>
      <c r="C22" s="441">
        <f t="shared" ref="C22:C32" ca="1" si="3">C4*$C$17</f>
        <v>0</v>
      </c>
      <c r="D22" s="441">
        <f t="shared" ref="D22:D32" si="4">D4*$D$17</f>
        <v>1592.7032858082282</v>
      </c>
      <c r="E22" s="441">
        <f t="shared" ref="E22:E32" si="5">E4*$E$17</f>
        <v>92.723577119941893</v>
      </c>
      <c r="F22" s="441">
        <f t="shared" ref="F22:F32" si="6">F4*$F$17</f>
        <v>2527.9846727360441</v>
      </c>
      <c r="G22" s="441">
        <f t="shared" ref="G22:G32" si="7">G4*$G$17</f>
        <v>0</v>
      </c>
      <c r="H22" s="441">
        <f t="shared" ref="H22:H32" si="8">H4*$H$17</f>
        <v>0</v>
      </c>
      <c r="I22" s="441">
        <f t="shared" ref="I22:I32" si="9">I4*$I$17</f>
        <v>0</v>
      </c>
      <c r="J22" s="441">
        <f t="shared" ref="J22:J32" si="10">J4*$J$17</f>
        <v>17.224837095056998</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5231.2688213257834</v>
      </c>
    </row>
    <row r="23" spans="1:17">
      <c r="A23" s="440" t="s">
        <v>149</v>
      </c>
      <c r="B23" s="441">
        <f t="shared" ca="1" si="2"/>
        <v>609.22558348996813</v>
      </c>
      <c r="C23" s="441">
        <f t="shared" ca="1" si="3"/>
        <v>0</v>
      </c>
      <c r="D23" s="441">
        <f t="shared" ca="1" si="4"/>
        <v>783.59626683350336</v>
      </c>
      <c r="E23" s="441">
        <f t="shared" si="5"/>
        <v>11.467845527797557</v>
      </c>
      <c r="F23" s="441">
        <f t="shared" ca="1" si="6"/>
        <v>191.39539779855463</v>
      </c>
      <c r="G23" s="441">
        <f t="shared" si="7"/>
        <v>0</v>
      </c>
      <c r="H23" s="441">
        <f t="shared" si="8"/>
        <v>0</v>
      </c>
      <c r="I23" s="441">
        <f t="shared" si="9"/>
        <v>0</v>
      </c>
      <c r="J23" s="441">
        <f t="shared" si="10"/>
        <v>2.6548721352227952E-3</v>
      </c>
      <c r="K23" s="441">
        <f t="shared" si="11"/>
        <v>0</v>
      </c>
      <c r="L23" s="441">
        <f t="shared" ca="1" si="12"/>
        <v>0</v>
      </c>
      <c r="M23" s="441">
        <f t="shared" si="13"/>
        <v>0</v>
      </c>
      <c r="N23" s="441">
        <f t="shared" ca="1" si="14"/>
        <v>0</v>
      </c>
      <c r="O23" s="441">
        <f t="shared" si="15"/>
        <v>0</v>
      </c>
      <c r="P23" s="442">
        <f t="shared" si="16"/>
        <v>0</v>
      </c>
      <c r="Q23" s="440">
        <f t="shared" ref="Q23:Q32" ca="1" si="17">SUM(B23:P23)</f>
        <v>1595.6877485219591</v>
      </c>
    </row>
    <row r="24" spans="1:17">
      <c r="A24" s="440" t="s">
        <v>187</v>
      </c>
      <c r="B24" s="441">
        <f t="shared" ca="1" si="2"/>
        <v>35.932393036822127</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35.932393036822127</v>
      </c>
    </row>
    <row r="25" spans="1:17">
      <c r="A25" s="440" t="s">
        <v>105</v>
      </c>
      <c r="B25" s="441">
        <f t="shared" ca="1" si="2"/>
        <v>1014.245215424513</v>
      </c>
      <c r="C25" s="441">
        <f t="shared" ca="1" si="3"/>
        <v>0</v>
      </c>
      <c r="D25" s="441">
        <f t="shared" si="4"/>
        <v>70.715463465233128</v>
      </c>
      <c r="E25" s="441">
        <f t="shared" si="5"/>
        <v>41.10672688374958</v>
      </c>
      <c r="F25" s="441">
        <f t="shared" si="6"/>
        <v>5496.3085734077868</v>
      </c>
      <c r="G25" s="441">
        <f t="shared" si="7"/>
        <v>0</v>
      </c>
      <c r="H25" s="441">
        <f t="shared" si="8"/>
        <v>0</v>
      </c>
      <c r="I25" s="441">
        <f t="shared" si="9"/>
        <v>0</v>
      </c>
      <c r="J25" s="441">
        <f t="shared" si="10"/>
        <v>519.48173716811198</v>
      </c>
      <c r="K25" s="441">
        <f t="shared" si="11"/>
        <v>0</v>
      </c>
      <c r="L25" s="441">
        <f t="shared" si="12"/>
        <v>0</v>
      </c>
      <c r="M25" s="441">
        <f t="shared" si="13"/>
        <v>0</v>
      </c>
      <c r="N25" s="441">
        <f t="shared" si="14"/>
        <v>0</v>
      </c>
      <c r="O25" s="441">
        <f t="shared" si="15"/>
        <v>0</v>
      </c>
      <c r="P25" s="442">
        <f t="shared" si="16"/>
        <v>0</v>
      </c>
      <c r="Q25" s="440">
        <f t="shared" ca="1" si="17"/>
        <v>7141.8577163493947</v>
      </c>
    </row>
    <row r="26" spans="1:17">
      <c r="A26" s="440" t="s">
        <v>596</v>
      </c>
      <c r="B26" s="441">
        <f t="shared" ca="1" si="2"/>
        <v>992.85228282604226</v>
      </c>
      <c r="C26" s="441">
        <f t="shared" ca="1" si="3"/>
        <v>0</v>
      </c>
      <c r="D26" s="441">
        <f t="shared" si="4"/>
        <v>68.718897018671569</v>
      </c>
      <c r="E26" s="441">
        <f t="shared" si="5"/>
        <v>51.789767322105909</v>
      </c>
      <c r="F26" s="441">
        <f t="shared" si="6"/>
        <v>327.57303253915933</v>
      </c>
      <c r="G26" s="441">
        <f t="shared" si="7"/>
        <v>0</v>
      </c>
      <c r="H26" s="441">
        <f t="shared" si="8"/>
        <v>0</v>
      </c>
      <c r="I26" s="441">
        <f t="shared" si="9"/>
        <v>0</v>
      </c>
      <c r="J26" s="441">
        <f t="shared" si="10"/>
        <v>5.0063715405031859</v>
      </c>
      <c r="K26" s="441">
        <f t="shared" si="11"/>
        <v>0</v>
      </c>
      <c r="L26" s="441">
        <f t="shared" si="12"/>
        <v>0</v>
      </c>
      <c r="M26" s="441">
        <f t="shared" si="13"/>
        <v>0</v>
      </c>
      <c r="N26" s="441">
        <f t="shared" si="14"/>
        <v>0</v>
      </c>
      <c r="O26" s="441">
        <f t="shared" si="15"/>
        <v>0</v>
      </c>
      <c r="P26" s="442">
        <f t="shared" si="16"/>
        <v>0</v>
      </c>
      <c r="Q26" s="440">
        <f t="shared" ca="1" si="17"/>
        <v>1445.9403512464824</v>
      </c>
    </row>
    <row r="27" spans="1:17" s="446" customFormat="1">
      <c r="A27" s="444" t="s">
        <v>545</v>
      </c>
      <c r="B27" s="708">
        <f t="shared" ca="1" si="2"/>
        <v>1.7654364558376354</v>
      </c>
      <c r="C27" s="445">
        <f t="shared" ca="1" si="3"/>
        <v>0</v>
      </c>
      <c r="D27" s="445">
        <f t="shared" si="4"/>
        <v>3.908909378928437</v>
      </c>
      <c r="E27" s="445">
        <f t="shared" si="5"/>
        <v>7.3832933423677511</v>
      </c>
      <c r="F27" s="445">
        <f t="shared" si="6"/>
        <v>0</v>
      </c>
      <c r="G27" s="445">
        <f t="shared" si="7"/>
        <v>3342.2049424237039</v>
      </c>
      <c r="H27" s="445">
        <f t="shared" si="8"/>
        <v>821.37346575422487</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4176.6360473550621</v>
      </c>
    </row>
    <row r="28" spans="1:17">
      <c r="A28" s="440" t="s">
        <v>535</v>
      </c>
      <c r="B28" s="441">
        <f t="shared" ca="1" si="2"/>
        <v>0.40616490153504409</v>
      </c>
      <c r="C28" s="441">
        <f t="shared" ca="1" si="3"/>
        <v>0</v>
      </c>
      <c r="D28" s="441">
        <f t="shared" si="4"/>
        <v>0</v>
      </c>
      <c r="E28" s="441">
        <f t="shared" si="5"/>
        <v>0</v>
      </c>
      <c r="F28" s="441">
        <f t="shared" si="6"/>
        <v>0</v>
      </c>
      <c r="G28" s="441">
        <f t="shared" si="7"/>
        <v>56.046685970456288</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56.45285087199133</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75.839011648633388</v>
      </c>
      <c r="C32" s="441">
        <f t="shared" ca="1" si="3"/>
        <v>0</v>
      </c>
      <c r="D32" s="441">
        <f t="shared" si="4"/>
        <v>68.727707745796181</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144.56671939442958</v>
      </c>
    </row>
    <row r="33" spans="1:17" s="450" customFormat="1">
      <c r="A33" s="957" t="s">
        <v>539</v>
      </c>
      <c r="B33" s="905">
        <f ca="1">SUM(B22:B32)</f>
        <v>3730.8985363498628</v>
      </c>
      <c r="C33" s="905">
        <f t="shared" ref="C33:Q33" ca="1" si="18">SUM(C22:C32)</f>
        <v>0</v>
      </c>
      <c r="D33" s="905">
        <f t="shared" ca="1" si="18"/>
        <v>2588.3705302503608</v>
      </c>
      <c r="E33" s="905">
        <f t="shared" si="18"/>
        <v>204.4712101959627</v>
      </c>
      <c r="F33" s="905">
        <f t="shared" ca="1" si="18"/>
        <v>8543.2616764815448</v>
      </c>
      <c r="G33" s="905">
        <f t="shared" si="18"/>
        <v>3398.25162839416</v>
      </c>
      <c r="H33" s="905">
        <f t="shared" si="18"/>
        <v>821.37346575422487</v>
      </c>
      <c r="I33" s="905">
        <f t="shared" si="18"/>
        <v>0</v>
      </c>
      <c r="J33" s="905">
        <f t="shared" si="18"/>
        <v>541.71560067580742</v>
      </c>
      <c r="K33" s="905">
        <f t="shared" si="18"/>
        <v>0</v>
      </c>
      <c r="L33" s="905">
        <f t="shared" ca="1" si="18"/>
        <v>0</v>
      </c>
      <c r="M33" s="905">
        <f t="shared" si="18"/>
        <v>0</v>
      </c>
      <c r="N33" s="905">
        <f t="shared" ca="1" si="18"/>
        <v>0</v>
      </c>
      <c r="O33" s="905">
        <f t="shared" si="18"/>
        <v>0</v>
      </c>
      <c r="P33" s="905">
        <f t="shared" si="18"/>
        <v>0</v>
      </c>
      <c r="Q33" s="905">
        <f t="shared" ca="1" si="18"/>
        <v>19828.342648101923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3600.1958700253899</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43.649999999999991</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51.35294117647058</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3643.84587002539</v>
      </c>
      <c r="C10" s="978">
        <f>SUM(C4:C9)</f>
        <v>0</v>
      </c>
      <c r="D10" s="978">
        <f t="shared" ref="D10:H10" si="0">SUM(D8:D9)</f>
        <v>0</v>
      </c>
      <c r="E10" s="978">
        <f t="shared" si="0"/>
        <v>0</v>
      </c>
      <c r="F10" s="978">
        <f t="shared" si="0"/>
        <v>0</v>
      </c>
      <c r="G10" s="978">
        <f t="shared" si="0"/>
        <v>0</v>
      </c>
      <c r="H10" s="978">
        <f t="shared" si="0"/>
        <v>0</v>
      </c>
      <c r="I10" s="978">
        <f>SUM(I8:I9)</f>
        <v>0</v>
      </c>
      <c r="J10" s="978">
        <f>SUM(J8:J9)</f>
        <v>51.35294117647058</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0.18176682501781696</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62.357142857142847</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73.361344537815114</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62.357142857142847</v>
      </c>
      <c r="C20" s="978">
        <f>SUM(C17:C19)</f>
        <v>0</v>
      </c>
      <c r="D20" s="978">
        <f t="shared" ref="D20:H20" si="2">SUM(D17:D19)</f>
        <v>0</v>
      </c>
      <c r="E20" s="978">
        <f t="shared" si="2"/>
        <v>0</v>
      </c>
      <c r="F20" s="978">
        <f t="shared" si="2"/>
        <v>0</v>
      </c>
      <c r="G20" s="978">
        <f t="shared" si="2"/>
        <v>0</v>
      </c>
      <c r="H20" s="978">
        <f t="shared" si="2"/>
        <v>0</v>
      </c>
      <c r="I20" s="978">
        <f>SUM(I17:I19)</f>
        <v>0</v>
      </c>
      <c r="J20" s="978">
        <f>SUM(J17:J19)</f>
        <v>73.361344537815114</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0.18176682501781696</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2022-07-26T10:41:47Z</dcterms:modified>
</cp:coreProperties>
</file>