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1C61A9A8-3C71-444D-8270-02CA2B20749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Q38" i="18"/>
  <c r="R38" i="18"/>
  <c r="J9" i="18"/>
  <c r="J77" i="14"/>
  <c r="J9" i="61"/>
  <c r="U38" i="18"/>
  <c r="T38" i="18"/>
  <c r="I9" i="18"/>
  <c r="S38" i="18"/>
  <c r="E9" i="18"/>
  <c r="P38" i="18"/>
  <c r="C9" i="18"/>
  <c r="O38" i="18"/>
  <c r="N38" i="18"/>
  <c r="B9" i="18"/>
  <c r="M38" i="18"/>
  <c r="W34" i="18"/>
  <c r="V34" i="18"/>
  <c r="U34" i="18"/>
  <c r="T34" i="18"/>
  <c r="S34" i="18"/>
  <c r="R34" i="18"/>
  <c r="Q34" i="18"/>
  <c r="P34" i="18"/>
  <c r="O34" i="18"/>
  <c r="N34" i="18"/>
  <c r="M34" i="18"/>
  <c r="W33" i="18"/>
  <c r="V33" i="18"/>
  <c r="U33" i="18"/>
  <c r="T33" i="18"/>
  <c r="S33" i="18"/>
  <c r="F13" i="15"/>
  <c r="R33" i="18"/>
  <c r="Q33" i="18"/>
  <c r="P33" i="18"/>
  <c r="D13" i="15"/>
  <c r="O33" i="18"/>
  <c r="C13" i="15"/>
  <c r="N33" i="18"/>
  <c r="M33" i="18"/>
  <c r="W32" i="18"/>
  <c r="V32" i="18"/>
  <c r="U32" i="18"/>
  <c r="T32" i="18"/>
  <c r="S32" i="18"/>
  <c r="R32" i="18"/>
  <c r="Q32" i="18"/>
  <c r="P32" i="18"/>
  <c r="O32" i="18"/>
  <c r="N32" i="18"/>
  <c r="M32" i="18"/>
  <c r="W31" i="18"/>
  <c r="V31" i="18"/>
  <c r="U31" i="18"/>
  <c r="T31" i="18"/>
  <c r="S31" i="18"/>
  <c r="R31" i="18"/>
  <c r="Q31" i="18"/>
  <c r="P31" i="18"/>
  <c r="O31" i="18"/>
  <c r="N31" i="18"/>
  <c r="B47" i="18"/>
  <c r="M3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7"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0" i="18"/>
  <c r="H8" i="18"/>
  <c r="E50" i="18"/>
  <c r="E8" i="18"/>
  <c r="G50" i="18"/>
  <c r="F50" i="18"/>
  <c r="H50" i="18"/>
  <c r="D50" i="18"/>
  <c r="C50" i="18"/>
  <c r="B50" i="18"/>
  <c r="C8" i="18"/>
  <c r="I51" i="18"/>
  <c r="H17" i="18"/>
  <c r="E51" i="18"/>
  <c r="E17" i="18"/>
  <c r="C51" i="18"/>
  <c r="B51" i="18"/>
  <c r="C17" i="18"/>
  <c r="H51" i="18"/>
  <c r="D51" i="18"/>
  <c r="G51" i="18"/>
  <c r="F51"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<sst xmlns="http://schemas.openxmlformats.org/spreadsheetml/2006/main" count="2412" uniqueCount="881">
  <si>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</si>
  <si>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</si>
  <si>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</si>
  <si>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</si>
  <si>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</si>
  <si>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</si>
  <si>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</si>
  <si>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</si>
  <si>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</si>
  <si>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</si>
  <si>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</si>
  <si>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</si>
  <si>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</si>
  <si>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</si>
  <si>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</si>
  <si>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</si>
  <si>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</si>
  <si>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</si>
  <si>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</si>
  <si>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</si>
  <si>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</si>
  <si>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</si>
  <si>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</si>
  <si>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</si>
  <si>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</si>
  <si>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</si>
  <si>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</si>
  <si>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</si>
  <si>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</si>
  <si>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</si>
  <si>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</si>
  <si>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</si>
  <si>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</si>
  <si>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</si>
  <si>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</si>
  <si>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</si>
  <si>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</si>
  <si>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</si>
  <si>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</si>
  <si>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</si>
  <si>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</si>
  <si>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</si>
  <si>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</si>
  <si>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</si>
  <si>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</si>
  <si>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</si>
  <si>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</si>
  <si>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</si>
  <si>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</si>
  <si>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</si>
  <si>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</si>
  <si>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</si>
  <si>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</si>
  <si>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</si>
  <si>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</si>
  <si>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</si>
  <si>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</si>
  <si>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</si>
  <si>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</si>
  <si>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</si>
  <si>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</si>
  <si>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</si>
  <si>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</si>
  <si>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</si>
  <si>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</si>
  <si>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</si>
  <si>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</si>
  <si>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</si>
  <si>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</si>
  <si>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</si>
  <si>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</si>
  <si>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</si>
  <si>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</si>
  <si>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</si>
  <si>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</si>
  <si>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</si>
  <si>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</si>
  <si>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</si>
  <si>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</si>
  <si>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</si>
  <si>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</si>
  <si>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</si>
  <si>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</si>
  <si>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</si>
  <si>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</si>
  <si>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</si>
  <si>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</si>
  <si>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</si>
  <si>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</si>
  <si>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</si>
  <si>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</si>
  <si>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</si>
  <si>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</si>
  <si>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</si>
  <si>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</si>
  <si>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</si>
  <si>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</si>
  <si>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</si>
  <si>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</si>
  <si>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</si>
  <si>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</si>
  <si>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</si>
  <si>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</si>
  <si>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</si>
  <si>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</si>
  <si>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</si>
  <si>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</si>
  <si>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</si>
  <si>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</si>
  <si>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</si>
  <si>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</si>
  <si>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</si>
  <si>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</si>
  <si>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</si>
  <si>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</si>
  <si>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</si>
  <si>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</si>
  <si>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</si>
  <si>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</si>
  <si>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</si>
  <si>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</si>
  <si>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</si>
  <si>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</si>
  <si>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</si>
  <si>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</si>
  <si>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</si>
  <si>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</si>
  <si>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</si>
  <si>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</si>
  <si>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</si>
  <si>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</si>
  <si>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</si>
  <si>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</si>
  <si>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</si>
  <si>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</si>
  <si>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</si>
  <si>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</si>
  <si>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</si>
  <si>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</si>
  <si>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</si>
  <si>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</si>
  <si>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</si>
  <si>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</si>
  <si>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</si>
  <si>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</si>
  <si>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</si>
  <si>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</si>
  <si>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</si>
  <si>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</si>
  <si>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</si>
  <si>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</si>
  <si>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</si>
  <si>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</si>
  <si>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</si>
  <si>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</si>
  <si>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</si>
  <si>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</si>
  <si>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</si>
  <si>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</si>
  <si>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</si>
  <si>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</si>
  <si>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</si>
  <si>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</si>
  <si>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</si>
  <si>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</si>
  <si>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</si>
  <si>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</si>
  <si>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</si>
  <si>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</si>
  <si>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</si>
  <si>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</si>
  <si>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</si>
  <si>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</si>
  <si>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</si>
  <si>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</si>
  <si>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</si>
  <si>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</si>
  <si>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</si>
  <si>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</si>
  <si>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</si>
  <si>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</si>
  <si>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</si>
  <si>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</si>
  <si>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</si>
  <si>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</si>
  <si>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</si>
  <si>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</si>
  <si>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</si>
  <si>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</si>
  <si>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</si>
  <si>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</si>
  <si>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</si>
  <si>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</si>
  <si>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</si>
  <si>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</si>
  <si>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</si>
  <si>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</si>
  <si>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</si>
  <si>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</si>
  <si>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</si>
  <si>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</si>
  <si>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</si>
  <si>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</si>
  <si>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</si>
  <si>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</si>
  <si>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</si>
  <si>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</si>
  <si>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</si>
  <si>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</si>
  <si>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</si>
  <si>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</si>
  <si>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</si>
  <si>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</si>
  <si>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</si>
  <si>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</si>
  <si>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</si>
  <si>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</si>
  <si>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</si>
  <si>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</si>
  <si>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</si>
  <si>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</si>
  <si>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</si>
  <si>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</si>
  <si>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</si>
  <si>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</si>
  <si>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</si>
  <si>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</si>
  <si>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</si>
  <si>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</si>
  <si>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</si>
  <si>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</si>
  <si>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</si>
  <si>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</si>
  <si>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</si>
  <si>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</si>
  <si>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</si>
  <si>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</si>
  <si>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</si>
  <si>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</si>
  <si>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</si>
  <si>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</si>
  <si>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</si>
  <si>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</si>
  <si>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</si>
  <si>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</si>
  <si>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</si>
  <si>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</si>
  <si>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</si>
  <si>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</si>
  <si>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</si>
  <si>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</si>
  <si>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</si>
  <si>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</si>
  <si>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</si>
  <si>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</si>
  <si>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</si>
  <si>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</si>
  <si>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</si>
  <si>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</si>
  <si>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</si>
  <si>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</si>
  <si>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</si>
  <si>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</si>
  <si>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</si>
  <si>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</si>
  <si>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</si>
  <si>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</si>
  <si>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</si>
  <si>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</si>
  <si>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</si>
  <si>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</si>
  <si>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</si>
  <si>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</si>
  <si>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</si>
  <si>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</si>
  <si>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</si>
  <si>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</si>
  <si>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</si>
  <si>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</si>
  <si>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</si>
  <si>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</si>
  <si>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</si>
  <si>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</si>
  <si>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</si>
  <si>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</si>
  <si>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</si>
  <si>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</si>
  <si>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</si>
  <si>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</si>
  <si>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</si>
  <si>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</si>
  <si>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</si>
  <si>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</si>
  <si>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</si>
  <si>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</si>
  <si>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</si>
  <si>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</si>
  <si>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</si>
  <si>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</si>
  <si>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</si>
  <si>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</si>
  <si>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</si>
  <si>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</si>
  <si>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</si>
  <si>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</si>
  <si>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</si>
  <si>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</si>
  <si>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</si>
  <si>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</si>
  <si>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</si>
  <si>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</si>
  <si>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</si>
  <si>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</si>
  <si>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</si>
  <si>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</si>
  <si>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</si>
  <si>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</si>
  <si>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</si>
  <si>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</si>
  <si>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</si>
  <si>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</si>
  <si>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</si>
  <si>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</si>
  <si>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</si>
  <si>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</si>
  <si>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</si>
  <si>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</si>
  <si>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</si>
  <si>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</si>
  <si>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</si>
  <si>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</si>
  <si>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</si>
  <si>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</si>
  <si>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</si>
  <si>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</si>
  <si>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</si>
  <si>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</si>
  <si>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</si>
  <si>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</si>
  <si>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</si>
  <si>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</si>
  <si>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</si>
  <si>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</si>
  <si>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</si>
  <si>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</si>
  <si>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</si>
  <si>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</si>
  <si>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</si>
  <si>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</si>
  <si>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</si>
  <si>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</si>
  <si>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</si>
  <si>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</si>
  <si>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</si>
  <si>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</si>
  <si>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</si>
  <si>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</si>
  <si>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</si>
  <si>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</si>
  <si>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</si>
  <si>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</si>
  <si>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</si>
  <si>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</si>
  <si>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</si>
  <si>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</si>
  <si>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</si>
  <si>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</si>
  <si>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</si>
  <si>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</si>
  <si>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</si>
  <si>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</si>
  <si>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</si>
  <si>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</si>
  <si>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</si>
  <si>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</si>
  <si>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</si>
  <si>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</si>
  <si>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</si>
  <si>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</si>
  <si>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</si>
  <si>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</si>
  <si>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</si>
  <si>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</si>
  <si>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</si>
  <si>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</si>
  <si>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</si>
  <si>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</si>
  <si>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</si>
  <si>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</si>
  <si>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</si>
  <si>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</si>
  <si>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</si>
  <si>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</si>
  <si>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</si>
  <si>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</si>
  <si>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</si>
  <si>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</si>
  <si>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</si>
  <si>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</si>
  <si>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</si>
  <si>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</si>
  <si>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</si>
  <si>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</si>
  <si>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</si>
  <si>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</si>
  <si>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</si>
  <si>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</si>
  <si>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</si>
  <si>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</si>
  <si>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</si>
  <si>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</si>
  <si>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</si>
  <si>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</si>
  <si>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</si>
  <si>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</si>
  <si>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</si>
  <si>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</si>
  <si>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</si>
  <si>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</si>
  <si>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</si>
  <si>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</si>
  <si>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</si>
  <si>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</si>
  <si>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</si>
  <si>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</si>
  <si>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</si>
  <si>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</si>
  <si>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</si>
  <si>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</si>
  <si>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</si>
  <si>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</si>
  <si>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</si>
  <si>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</si>
  <si>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</si>
  <si>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</si>
  <si>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</si>
  <si>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</si>
  <si>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</si>
  <si>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</si>
  <si>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</si>
  <si>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</si>
  <si>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</si>
  <si>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</si>
  <si>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</si>
  <si>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</si>
  <si>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</si>
  <si>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</si>
  <si>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</si>
  <si>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</si>
  <si>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</si>
  <si>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</si>
  <si>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</si>
  <si>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</si>
  <si>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</si>
  <si>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</si>
  <si>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</si>
  <si>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</si>
  <si>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</si>
  <si>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</si>
  <si>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</si>
  <si>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</si>
  <si>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</si>
  <si>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</si>
  <si>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</si>
  <si>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</si>
  <si>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</si>
  <si>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</si>
  <si>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</si>
  <si>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</si>
  <si>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</si>
  <si>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</si>
  <si>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</si>
  <si>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</si>
  <si>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</si>
  <si>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</si>
  <si>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</si>
  <si>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</si>
  <si>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</si>
  <si>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</si>
  <si>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</si>
  <si>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</si>
  <si>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</si>
  <si>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</si>
  <si>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</si>
  <si>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</si>
  <si>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</si>
  <si>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</si>
  <si>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</si>
  <si>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</si>
  <si>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</si>
  <si>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</si>
  <si>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</si>
  <si>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</si>
  <si>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</si>
  <si>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</si>
  <si>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</si>
  <si>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</si>
  <si>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</si>
  <si>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</si>
  <si>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</si>
  <si>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</si>
  <si>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</si>
  <si>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</si>
  <si>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</si>
  <si>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</si>
  <si>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</si>
  <si>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</si>
  <si>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</si>
  <si>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</si>
  <si>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</si>
  <si>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</si>
  <si>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</si>
  <si>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</si>
  <si>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</si>
  <si>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</si>
  <si>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</si>
  <si>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</si>
  <si>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</si>
  <si>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</si>
  <si>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</si>
  <si>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</si>
  <si>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</si>
  <si>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</si>
  <si>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</si>
  <si>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</si>
  <si>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</si>
  <si>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</si>
  <si>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</si>
  <si>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</si>
  <si>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</si>
  <si>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</si>
  <si>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</si>
  <si>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</si>
  <si>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</si>
  <si>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</si>
  <si>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</si>
  <si>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</si>
  <si>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</si>
  <si>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</si>
  <si>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</si>
  <si>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</si>
  <si>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</si>
  <si>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</si>
  <si>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</si>
  <si>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</si>
  <si>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</si>
  <si>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</si>
  <si>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</si>
  <si>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</si>
  <si>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</si>
  <si>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</si>
  <si>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</si>
  <si>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</si>
  <si>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</si>
  <si>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</si>
  <si>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</si>
  <si>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</si>
  <si>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</si>
  <si>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</si>
  <si>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</si>
  <si>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</si>
  <si>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</si>
  <si>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</si>
  <si>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</si>
  <si>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</si>
  <si>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</si>
  <si>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</si>
  <si>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</si>
  <si>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</si>
  <si>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</si>
  <si>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</si>
  <si>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</si>
  <si>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</si>
  <si>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</si>
  <si>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</si>
  <si>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</si>
  <si>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</si>
  <si>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</si>
  <si>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</si>
  <si>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</si>
  <si>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</si>
  <si>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</si>
  <si>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</si>
  <si>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</si>
  <si>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</si>
  <si>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</si>
  <si>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</si>
  <si>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</si>
  <si>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</si>
  <si>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</si>
  <si>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</si>
  <si>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</si>
  <si>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</si>
  <si>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</si>
  <si>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</si>
  <si>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</si>
  <si>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</si>
  <si>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</si>
  <si>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</si>
  <si>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</si>
  <si>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</si>
  <si>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</si>
  <si>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</si>
  <si>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</si>
  <si>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</si>
  <si>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</si>
  <si>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</si>
  <si>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</si>
  <si>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</si>
  <si>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</si>
  <si>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</si>
  <si>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</si>
  <si>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</si>
  <si>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</si>
  <si>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</si>
  <si>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</si>
  <si>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</si>
  <si>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</si>
  <si>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</si>
  <si>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</si>
  <si>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</si>
  <si>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</si>
  <si>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</si>
  <si>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</si>
  <si>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</si>
  <si>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</si>
  <si>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</si>
  <si>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</si>
  <si>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</si>
  <si>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</si>
  <si>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</si>
  <si>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</si>
  <si>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</si>
  <si>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</si>
  <si>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</si>
  <si>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</si>
  <si>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</si>
  <si>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</si>
  <si>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</si>
  <si>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</si>
  <si>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</si>
  <si>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</si>
  <si>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</si>
  <si>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</si>
  <si>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</si>
  <si>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</si>
  <si>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</si>
  <si>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</si>
  <si>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</si>
  <si>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</si>
  <si>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</si>
  <si>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</si>
  <si>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</si>
  <si>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</si>
  <si>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</si>
  <si>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</si>
  <si>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</si>
  <si>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</si>
  <si>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</si>
  <si>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</si>
  <si>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</si>
  <si>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</si>
  <si>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</si>
  <si>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</si>
  <si>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</si>
  <si>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</si>
  <si>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</si>
  <si>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</si>
  <si>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</si>
  <si>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</si>
  <si>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</si>
  <si>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</si>
  <si>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</si>
  <si>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</si>
  <si>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</si>
  <si>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</si>
  <si>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</si>
  <si>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</si>
  <si>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</si>
  <si>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</si>
  <si>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</si>
  <si>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</si>
  <si>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</si>
  <si>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</si>
  <si>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</si>
  <si>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</si>
  <si>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</si>
  <si>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</si>
  <si>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</si>
  <si>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</si>
  <si>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</si>
  <si>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</si>
  <si>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</si>
  <si>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</si>
  <si>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</si>
  <si>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</si>
  <si>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</si>
  <si>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</si>
  <si>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</si>
  <si>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</si>
  <si>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</si>
  <si>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</si>
  <si>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</si>
  <si>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</si>
  <si>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</si>
  <si>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</si>
  <si>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</si>
  <si>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</si>
  <si>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</si>
  <si>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</si>
  <si>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</si>
  <si>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</si>
  <si>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</si>
  <si>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</si>
  <si>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</si>
  <si>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</si>
  <si>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</si>
  <si>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</si>
  <si>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</si>
  <si>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</si>
  <si>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</si>
  <si>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</si>
  <si>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</si>
  <si>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</si>
  <si>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</si>
  <si>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</si>
  <si>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</si>
  <si>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</si>
  <si>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</si>
  <si>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</si>
  <si>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</si>
  <si>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</si>
  <si>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</si>
  <si>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</si>
  <si>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</si>
  <si>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</si>
  <si>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</si>
  <si>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</si>
  <si>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</si>
  <si>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</si>
  <si>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</si>
  <si>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</si>
  <si>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</si>
  <si>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</si>
  <si>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</si>
  <si>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</si>
  <si>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</si>
  <si>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</si>
  <si>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</si>
  <si>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</si>
  <si>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</si>
  <si>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</si>
  <si>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</si>
  <si>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</si>
  <si>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</si>
  <si>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</si>
  <si>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</si>
  <si>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</si>
  <si>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</si>
  <si>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</si>
  <si>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</si>
  <si>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</si>
  <si>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</si>
  <si>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</si>
  <si>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</si>
  <si>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</si>
  <si>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</si>
  <si>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</si>
  <si>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</si>
  <si>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</si>
  <si>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</si>
  <si>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</si>
  <si>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</si>
  <si>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</si>
  <si>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</si>
  <si>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</si>
  <si>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</si>
  <si>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</si>
  <si>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</si>
  <si>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</si>
  <si>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</si>
  <si>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</si>
  <si>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</si>
  <si>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</si>
  <si>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</si>
  <si>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</si>
  <si>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</si>
  <si>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</si>
  <si>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</si>
  <si>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</si>
  <si>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</si>
  <si>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</si>
  <si>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</si>
  <si>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</si>
  <si>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</si>
  <si>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</si>
  <si>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</si>
  <si>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</si>
  <si>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</si>
  <si>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</si>
  <si>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</si>
  <si>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</si>
  <si>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</si>
  <si>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</si>
  <si>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</si>
  <si>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</si>
  <si>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</si>
  <si>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</si>
  <si>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</si>
  <si>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</si>
  <si>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</si>
  <si>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</si>
  <si>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</si>
  <si>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</si>
  <si>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</si>
  <si>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</si>
  <si>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</si>
  <si>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</si>
  <si>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</si>
  <si>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</si>
  <si>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</si>
  <si>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</si>
  <si>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</si>
  <si>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</si>
  <si>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</si>
  <si>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</si>
  <si>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</si>
  <si>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</si>
  <si>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</si>
  <si>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</si>
  <si>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</si>
  <si>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</si>
  <si>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</si>
  <si>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</si>
  <si>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</si>
  <si>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</si>
  <si>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</si>
  <si>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</si>
  <si>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</si>
  <si>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</si>
  <si>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</si>
  <si>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</si>
  <si>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</si>
  <si>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</si>
  <si>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</si>
  <si>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</si>
  <si>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</si>
  <si>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</si>
  <si>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</si>
  <si>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</si>
  <si>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</si>
  <si>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</si>
  <si>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</si>
  <si>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</si>
  <si>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</si>
  <si>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</si>
  <si>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</si>
  <si>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</si>
  <si>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</si>
  <si>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</si>
  <si>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</si>
  <si>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</si>
  <si>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</si>
  <si>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</si>
  <si>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</si>
  <si>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</si>
  <si>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</si>
  <si>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</si>
  <si>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</si>
  <si>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</si>
  <si>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</si>
  <si>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</si>
  <si>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</si>
  <si>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</si>
  <si>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</si>
  <si>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31003</t>
  </si>
  <si>
    <t>BEERNEM</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</si>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</sst>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426B209-2928-4AD1-9B79-5663E7EACBD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129331.23387246161</c:v>
                </c:pt>
                <c:pt idx="1">
                  <c:v>67576.380558381818</c:v>
                </c:pt>
                <c:pt idx="2">
                  <c:v>1113.2360000000001</c:v>
                </c:pt>
                <c:pt idx="3">
                  <c:v>37592.428017657483</c:v>
                </c:pt>
                <c:pt idx="4">
                  <c:v>44357.529672605386</c:v>
                </c:pt>
                <c:pt idx="5">
                  <c:v>270743.971772291</c:v>
                </c:pt>
                <c:pt idx="6">
                  <c:v>1042.7763303255506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129331.23387246161</c:v>
                </c:pt>
                <c:pt idx="1">
                  <c:v>67576.380558381818</c:v>
                </c:pt>
                <c:pt idx="2">
                  <c:v>1113.2360000000001</c:v>
                </c:pt>
                <c:pt idx="3">
                  <c:v>37592.428017657483</c:v>
                </c:pt>
                <c:pt idx="4">
                  <c:v>44357.529672605386</c:v>
                </c:pt>
                <c:pt idx="5">
                  <c:v>270743.971772291</c:v>
                </c:pt>
                <c:pt idx="6">
                  <c:v>1042.7763303255506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25381.295729127047</c:v>
                </c:pt>
                <c:pt idx="2">
                  <c:v>12841.312150991313</c:v>
                </c:pt>
                <c:pt idx="3">
                  <c:v>183.95652247345237</c:v>
                </c:pt>
                <c:pt idx="4">
                  <c:v>5424.062980794849</c:v>
                </c:pt>
                <c:pt idx="5">
                  <c:v>8545.7732407201929</c:v>
                </c:pt>
                <c:pt idx="6">
                  <c:v>67845.342848833665</c:v>
                </c:pt>
                <c:pt idx="7">
                  <c:v>262.3545724969232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25381.295729127047</c:v>
                </c:pt>
                <c:pt idx="2">
                  <c:v>12841.312150991313</c:v>
                </c:pt>
                <c:pt idx="3">
                  <c:v>183.95652247345237</c:v>
                </c:pt>
                <c:pt idx="4">
                  <c:v>5424.062980794849</c:v>
                </c:pt>
                <c:pt idx="5">
                  <c:v>8545.7732407201929</c:v>
                </c:pt>
                <c:pt idx="6">
                  <c:v>67845.342848833665</c:v>
                </c:pt>
                <c:pt idx="7">
                  <c:v>262.3545724969232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31003</v>
      </c>
      <c r="B6" s="380"/>
      <c r="C6" s="381"/>
    </row>
    <row r="7" spans="1:7" s="378" customFormat="1" ht="15.75" customHeight="1">
      <c r="A7" s="382" t="str">
        <f>txtMunicipality</f>
        <v>BEERNEM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0.16524485596356239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0.16524485596356239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6230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4671.5899999999901</v>
      </c>
      <c r="C14" s="322"/>
      <c r="D14" s="322"/>
      <c r="E14" s="322"/>
      <c r="F14" s="322"/>
    </row>
    <row r="15" spans="1:6">
      <c r="A15" s="1248" t="s">
        <v>177</v>
      </c>
      <c r="B15" s="1249">
        <v>102</v>
      </c>
      <c r="C15" s="322"/>
      <c r="D15" s="322"/>
      <c r="E15" s="322"/>
      <c r="F15" s="322"/>
    </row>
    <row r="16" spans="1:6">
      <c r="A16" s="1248" t="s">
        <v>6</v>
      </c>
      <c r="B16" s="1249">
        <v>4267</v>
      </c>
      <c r="C16" s="322"/>
      <c r="D16" s="322"/>
      <c r="E16" s="322"/>
      <c r="F16" s="322"/>
    </row>
    <row r="17" spans="1:6">
      <c r="A17" s="1248" t="s">
        <v>7</v>
      </c>
      <c r="B17" s="1249">
        <v>1314</v>
      </c>
      <c r="C17" s="322"/>
      <c r="D17" s="322"/>
      <c r="E17" s="322"/>
      <c r="F17" s="322"/>
    </row>
    <row r="18" spans="1:6">
      <c r="A18" s="1248" t="s">
        <v>8</v>
      </c>
      <c r="B18" s="1249">
        <v>3161</v>
      </c>
      <c r="C18" s="322"/>
      <c r="D18" s="322"/>
      <c r="E18" s="322"/>
      <c r="F18" s="322"/>
    </row>
    <row r="19" spans="1:6">
      <c r="A19" s="1248" t="s">
        <v>9</v>
      </c>
      <c r="B19" s="1249">
        <v>3147</v>
      </c>
      <c r="C19" s="322"/>
      <c r="D19" s="322"/>
      <c r="E19" s="322"/>
      <c r="F19" s="322"/>
    </row>
    <row r="20" spans="1:6">
      <c r="A20" s="1248" t="s">
        <v>10</v>
      </c>
      <c r="B20" s="1249">
        <v>1656</v>
      </c>
      <c r="C20" s="322"/>
      <c r="D20" s="322"/>
      <c r="E20" s="322"/>
      <c r="F20" s="322"/>
    </row>
    <row r="21" spans="1:6">
      <c r="A21" s="1248" t="s">
        <v>11</v>
      </c>
      <c r="B21" s="1249">
        <v>15169</v>
      </c>
      <c r="C21" s="322"/>
      <c r="D21" s="322"/>
      <c r="E21" s="322"/>
      <c r="F21" s="322"/>
    </row>
    <row r="22" spans="1:6">
      <c r="A22" s="1248" t="s">
        <v>12</v>
      </c>
      <c r="B22" s="1249">
        <v>40015</v>
      </c>
      <c r="C22" s="322"/>
      <c r="D22" s="322"/>
      <c r="E22" s="322"/>
      <c r="F22" s="322"/>
    </row>
    <row r="23" spans="1:6">
      <c r="A23" s="1248" t="s">
        <v>13</v>
      </c>
      <c r="B23" s="1249">
        <v>626</v>
      </c>
      <c r="C23" s="322"/>
      <c r="D23" s="322"/>
      <c r="E23" s="322"/>
      <c r="F23" s="322"/>
    </row>
    <row r="24" spans="1:6">
      <c r="A24" s="1248" t="s">
        <v>14</v>
      </c>
      <c r="B24" s="1249">
        <v>20</v>
      </c>
      <c r="C24" s="322"/>
      <c r="D24" s="322"/>
      <c r="E24" s="322"/>
      <c r="F24" s="322"/>
    </row>
    <row r="25" spans="1:6">
      <c r="A25" s="1248" t="s">
        <v>15</v>
      </c>
      <c r="B25" s="1249">
        <v>3543</v>
      </c>
      <c r="C25" s="322"/>
      <c r="D25" s="322"/>
      <c r="E25" s="322"/>
      <c r="F25" s="322"/>
    </row>
    <row r="26" spans="1:6">
      <c r="A26" s="1248" t="s">
        <v>16</v>
      </c>
      <c r="B26" s="1249">
        <v>691</v>
      </c>
      <c r="C26" s="322"/>
      <c r="D26" s="322"/>
      <c r="E26" s="322"/>
      <c r="F26" s="322"/>
    </row>
    <row r="27" spans="1:6">
      <c r="A27" s="1248" t="s">
        <v>17</v>
      </c>
      <c r="B27" s="1249">
        <v>5</v>
      </c>
      <c r="C27" s="322"/>
      <c r="D27" s="322"/>
      <c r="E27" s="322"/>
      <c r="F27" s="322"/>
    </row>
    <row r="28" spans="1:6">
      <c r="A28" s="1248" t="s">
        <v>18</v>
      </c>
      <c r="B28" s="1250">
        <v>133526</v>
      </c>
      <c r="C28" s="322"/>
      <c r="D28" s="322"/>
      <c r="E28" s="322"/>
      <c r="F28" s="322"/>
    </row>
    <row r="29" spans="1:6">
      <c r="A29" s="1248" t="s">
        <v>691</v>
      </c>
      <c r="B29" s="1250">
        <v>275</v>
      </c>
      <c r="C29" s="322"/>
      <c r="D29" s="322"/>
      <c r="E29" s="322"/>
      <c r="F29" s="322"/>
    </row>
    <row r="30" spans="1:6">
      <c r="A30" s="1243" t="s">
        <v>692</v>
      </c>
      <c r="B30" s="1251">
        <v>58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6335</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9255</v>
      </c>
    </row>
    <row r="39" spans="1:6">
      <c r="A39" s="1248" t="s">
        <v>29</v>
      </c>
      <c r="B39" s="1248" t="s">
        <v>30</v>
      </c>
      <c r="C39" s="1249">
        <v>3544</v>
      </c>
      <c r="D39" s="1249">
        <v>53940413.205776103</v>
      </c>
      <c r="E39" s="1249">
        <v>5813</v>
      </c>
      <c r="F39" s="1249">
        <v>24799342.271016002</v>
      </c>
    </row>
    <row r="40" spans="1:6">
      <c r="A40" s="1248" t="s">
        <v>29</v>
      </c>
      <c r="B40" s="1248" t="s">
        <v>28</v>
      </c>
      <c r="C40" s="1249">
        <v>0</v>
      </c>
      <c r="D40" s="1249">
        <v>0</v>
      </c>
      <c r="E40" s="1249">
        <v>0</v>
      </c>
      <c r="F40" s="1249">
        <v>0</v>
      </c>
    </row>
    <row r="41" spans="1:6">
      <c r="A41" s="1248" t="s">
        <v>31</v>
      </c>
      <c r="B41" s="1248" t="s">
        <v>32</v>
      </c>
      <c r="C41" s="1249">
        <v>99</v>
      </c>
      <c r="D41" s="1249">
        <v>1493048.02066463</v>
      </c>
      <c r="E41" s="1249">
        <v>212</v>
      </c>
      <c r="F41" s="1249">
        <v>5886840.6310660299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6</v>
      </c>
      <c r="D44" s="1249">
        <v>211573.91361929901</v>
      </c>
      <c r="E44" s="1249">
        <v>20</v>
      </c>
      <c r="F44" s="1249">
        <v>2842053.3103152802</v>
      </c>
    </row>
    <row r="45" spans="1:6">
      <c r="A45" s="1248" t="s">
        <v>31</v>
      </c>
      <c r="B45" s="1248" t="s">
        <v>36</v>
      </c>
      <c r="C45" s="1249">
        <v>0</v>
      </c>
      <c r="D45" s="1249">
        <v>0</v>
      </c>
      <c r="E45" s="1249">
        <v>3</v>
      </c>
      <c r="F45" s="1249">
        <v>62288.709104811001</v>
      </c>
    </row>
    <row r="46" spans="1:6">
      <c r="A46" s="1248" t="s">
        <v>31</v>
      </c>
      <c r="B46" s="1248" t="s">
        <v>37</v>
      </c>
      <c r="C46" s="1249">
        <v>0</v>
      </c>
      <c r="D46" s="1249">
        <v>0</v>
      </c>
      <c r="E46" s="1249">
        <v>0</v>
      </c>
      <c r="F46" s="1249">
        <v>0</v>
      </c>
    </row>
    <row r="47" spans="1:6">
      <c r="A47" s="1248" t="s">
        <v>31</v>
      </c>
      <c r="B47" s="1248" t="s">
        <v>38</v>
      </c>
      <c r="C47" s="1249">
        <v>0</v>
      </c>
      <c r="D47" s="1249">
        <v>0</v>
      </c>
      <c r="E47" s="1249">
        <v>5</v>
      </c>
      <c r="F47" s="1249">
        <v>143750.78413946001</v>
      </c>
    </row>
    <row r="48" spans="1:6">
      <c r="A48" s="1248" t="s">
        <v>31</v>
      </c>
      <c r="B48" s="1248" t="s">
        <v>28</v>
      </c>
      <c r="C48" s="1249">
        <v>43</v>
      </c>
      <c r="D48" s="1249">
        <v>19578660.366785701</v>
      </c>
      <c r="E48" s="1249">
        <v>44</v>
      </c>
      <c r="F48" s="1249">
        <v>4566359.4873049296</v>
      </c>
    </row>
    <row r="49" spans="1:6">
      <c r="A49" s="1248" t="s">
        <v>31</v>
      </c>
      <c r="B49" s="1248" t="s">
        <v>39</v>
      </c>
      <c r="C49" s="1249">
        <v>0</v>
      </c>
      <c r="D49" s="1249">
        <v>0</v>
      </c>
      <c r="E49" s="1249">
        <v>3</v>
      </c>
      <c r="F49" s="1249">
        <v>21507.770702831898</v>
      </c>
    </row>
    <row r="50" spans="1:6">
      <c r="A50" s="1248" t="s">
        <v>31</v>
      </c>
      <c r="B50" s="1248" t="s">
        <v>40</v>
      </c>
      <c r="C50" s="1249">
        <v>8</v>
      </c>
      <c r="D50" s="1249">
        <v>1428799.0197966699</v>
      </c>
      <c r="E50" s="1249">
        <v>16</v>
      </c>
      <c r="F50" s="1249">
        <v>4215470.0198975997</v>
      </c>
    </row>
    <row r="51" spans="1:6">
      <c r="A51" s="1248" t="s">
        <v>41</v>
      </c>
      <c r="B51" s="1248" t="s">
        <v>42</v>
      </c>
      <c r="C51" s="1249">
        <v>8</v>
      </c>
      <c r="D51" s="1249">
        <v>190153.40787200999</v>
      </c>
      <c r="E51" s="1249">
        <v>199</v>
      </c>
      <c r="F51" s="1249">
        <v>4259993.2544358401</v>
      </c>
    </row>
    <row r="52" spans="1:6">
      <c r="A52" s="1248" t="s">
        <v>41</v>
      </c>
      <c r="B52" s="1248" t="s">
        <v>28</v>
      </c>
      <c r="C52" s="1249">
        <v>4</v>
      </c>
      <c r="D52" s="1249">
        <v>78861.575208825205</v>
      </c>
      <c r="E52" s="1249">
        <v>5</v>
      </c>
      <c r="F52" s="1249">
        <v>37552.403059021497</v>
      </c>
    </row>
    <row r="53" spans="1:6">
      <c r="A53" s="1248" t="s">
        <v>43</v>
      </c>
      <c r="B53" s="1248" t="s">
        <v>44</v>
      </c>
      <c r="C53" s="1249">
        <v>95</v>
      </c>
      <c r="D53" s="1249">
        <v>2044221.6318828401</v>
      </c>
      <c r="E53" s="1249">
        <v>203</v>
      </c>
      <c r="F53" s="1249">
        <v>1095354.5618165301</v>
      </c>
    </row>
    <row r="54" spans="1:6">
      <c r="A54" s="1248" t="s">
        <v>45</v>
      </c>
      <c r="B54" s="1248" t="s">
        <v>46</v>
      </c>
      <c r="C54" s="1249">
        <v>0</v>
      </c>
      <c r="D54" s="1249">
        <v>0</v>
      </c>
      <c r="E54" s="1249">
        <v>1</v>
      </c>
      <c r="F54" s="1249">
        <v>1113236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48</v>
      </c>
      <c r="D57" s="1249">
        <v>19811933.969351899</v>
      </c>
      <c r="E57" s="1249">
        <v>117</v>
      </c>
      <c r="F57" s="1249">
        <v>4166010.3524086</v>
      </c>
    </row>
    <row r="58" spans="1:6">
      <c r="A58" s="1248" t="s">
        <v>48</v>
      </c>
      <c r="B58" s="1248" t="s">
        <v>50</v>
      </c>
      <c r="C58" s="1249">
        <v>36</v>
      </c>
      <c r="D58" s="1249">
        <v>2576827.4801814598</v>
      </c>
      <c r="E58" s="1249">
        <v>56</v>
      </c>
      <c r="F58" s="1249">
        <v>797424.90170934005</v>
      </c>
    </row>
    <row r="59" spans="1:6">
      <c r="A59" s="1248" t="s">
        <v>48</v>
      </c>
      <c r="B59" s="1248" t="s">
        <v>51</v>
      </c>
      <c r="C59" s="1249">
        <v>63</v>
      </c>
      <c r="D59" s="1249">
        <v>2408197.3609176599</v>
      </c>
      <c r="E59" s="1249">
        <v>138</v>
      </c>
      <c r="F59" s="1249">
        <v>4950421.9975655302</v>
      </c>
    </row>
    <row r="60" spans="1:6">
      <c r="A60" s="1248" t="s">
        <v>48</v>
      </c>
      <c r="B60" s="1248" t="s">
        <v>52</v>
      </c>
      <c r="C60" s="1249">
        <v>29</v>
      </c>
      <c r="D60" s="1249">
        <v>1163390.3061668801</v>
      </c>
      <c r="E60" s="1249">
        <v>59</v>
      </c>
      <c r="F60" s="1249">
        <v>1524440.78421701</v>
      </c>
    </row>
    <row r="61" spans="1:6">
      <c r="A61" s="1248" t="s">
        <v>48</v>
      </c>
      <c r="B61" s="1248" t="s">
        <v>53</v>
      </c>
      <c r="C61" s="1249">
        <v>82</v>
      </c>
      <c r="D61" s="1249">
        <v>3670153.7184343399</v>
      </c>
      <c r="E61" s="1249">
        <v>196</v>
      </c>
      <c r="F61" s="1249">
        <v>2282457.92785468</v>
      </c>
    </row>
    <row r="62" spans="1:6">
      <c r="A62" s="1248" t="s">
        <v>48</v>
      </c>
      <c r="B62" s="1248" t="s">
        <v>54</v>
      </c>
      <c r="C62" s="1249">
        <v>7</v>
      </c>
      <c r="D62" s="1249">
        <v>549054.92322219198</v>
      </c>
      <c r="E62" s="1249">
        <v>11</v>
      </c>
      <c r="F62" s="1249">
        <v>181646.14319617199</v>
      </c>
    </row>
    <row r="63" spans="1:6">
      <c r="A63" s="1248" t="s">
        <v>48</v>
      </c>
      <c r="B63" s="1248" t="s">
        <v>28</v>
      </c>
      <c r="C63" s="1249">
        <v>96</v>
      </c>
      <c r="D63" s="1249">
        <v>17054409.7235604</v>
      </c>
      <c r="E63" s="1249">
        <v>122</v>
      </c>
      <c r="F63" s="1249">
        <v>4150132.8903139201</v>
      </c>
    </row>
    <row r="64" spans="1:6">
      <c r="A64" s="1248" t="s">
        <v>55</v>
      </c>
      <c r="B64" s="1248" t="s">
        <v>56</v>
      </c>
      <c r="C64" s="1249">
        <v>0</v>
      </c>
      <c r="D64" s="1249">
        <v>0</v>
      </c>
      <c r="E64" s="1249">
        <v>0</v>
      </c>
      <c r="F64" s="1249">
        <v>0</v>
      </c>
    </row>
    <row r="65" spans="1:6">
      <c r="A65" s="1248" t="s">
        <v>55</v>
      </c>
      <c r="B65" s="1248" t="s">
        <v>28</v>
      </c>
      <c r="C65" s="1249">
        <v>1</v>
      </c>
      <c r="D65" s="1249">
        <v>10677.442106746499</v>
      </c>
      <c r="E65" s="1249">
        <v>1</v>
      </c>
      <c r="F65" s="1249">
        <v>6578.0885301843</v>
      </c>
    </row>
    <row r="66" spans="1:6">
      <c r="A66" s="1248" t="s">
        <v>55</v>
      </c>
      <c r="B66" s="1248" t="s">
        <v>57</v>
      </c>
      <c r="C66" s="1249">
        <v>0</v>
      </c>
      <c r="D66" s="1249">
        <v>0</v>
      </c>
      <c r="E66" s="1249">
        <v>17</v>
      </c>
      <c r="F66" s="1249">
        <v>320899.88620630797</v>
      </c>
    </row>
    <row r="67" spans="1:6">
      <c r="A67" s="1248" t="s">
        <v>55</v>
      </c>
      <c r="B67" s="1248" t="s">
        <v>58</v>
      </c>
      <c r="C67" s="1249">
        <v>0</v>
      </c>
      <c r="D67" s="1249">
        <v>0</v>
      </c>
      <c r="E67" s="1249">
        <v>0</v>
      </c>
      <c r="F67" s="1249">
        <v>0</v>
      </c>
    </row>
    <row r="68" spans="1:6">
      <c r="A68" s="1243" t="s">
        <v>55</v>
      </c>
      <c r="B68" s="1243" t="s">
        <v>59</v>
      </c>
      <c r="C68" s="1251">
        <v>7</v>
      </c>
      <c r="D68" s="1251">
        <v>205585.39470510001</v>
      </c>
      <c r="E68" s="1251">
        <v>18</v>
      </c>
      <c r="F68" s="1251">
        <v>180351.38144074299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57951100</v>
      </c>
      <c r="E73" s="439"/>
      <c r="F73" s="322"/>
    </row>
    <row r="74" spans="1:6">
      <c r="A74" s="1248" t="s">
        <v>63</v>
      </c>
      <c r="B74" s="1248" t="s">
        <v>617</v>
      </c>
      <c r="C74" s="1261" t="s">
        <v>619</v>
      </c>
      <c r="D74" s="1249">
        <v>5246423.5</v>
      </c>
      <c r="E74" s="439"/>
      <c r="F74" s="322"/>
    </row>
    <row r="75" spans="1:6">
      <c r="A75" s="1248" t="s">
        <v>64</v>
      </c>
      <c r="B75" s="1248" t="s">
        <v>616</v>
      </c>
      <c r="C75" s="1261" t="s">
        <v>620</v>
      </c>
      <c r="D75" s="1249">
        <v>25782934</v>
      </c>
      <c r="E75" s="439"/>
      <c r="F75" s="322"/>
    </row>
    <row r="76" spans="1:6">
      <c r="A76" s="1248" t="s">
        <v>64</v>
      </c>
      <c r="B76" s="1248" t="s">
        <v>617</v>
      </c>
      <c r="C76" s="1261" t="s">
        <v>621</v>
      </c>
      <c r="D76" s="1249">
        <v>2550882.5</v>
      </c>
      <c r="E76" s="439"/>
      <c r="F76" s="322"/>
    </row>
    <row r="77" spans="1:6">
      <c r="A77" s="1248" t="s">
        <v>65</v>
      </c>
      <c r="B77" s="1248" t="s">
        <v>616</v>
      </c>
      <c r="C77" s="1261" t="s">
        <v>622</v>
      </c>
      <c r="D77" s="1249">
        <v>165363399</v>
      </c>
      <c r="E77" s="439"/>
      <c r="F77" s="322"/>
    </row>
    <row r="78" spans="1:6">
      <c r="A78" s="1243" t="s">
        <v>65</v>
      </c>
      <c r="B78" s="1243" t="s">
        <v>617</v>
      </c>
      <c r="C78" s="1243" t="s">
        <v>623</v>
      </c>
      <c r="D78" s="1251">
        <v>29332210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283621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4312.0410596558886</v>
      </c>
      <c r="C91" s="322"/>
      <c r="D91" s="322"/>
      <c r="E91" s="322"/>
      <c r="F91" s="322"/>
    </row>
    <row r="92" spans="1:6">
      <c r="A92" s="1243" t="s">
        <v>68</v>
      </c>
      <c r="B92" s="1244">
        <v>2593.4133775923533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1822</v>
      </c>
      <c r="C97" s="322"/>
      <c r="D97" s="322"/>
      <c r="E97" s="322"/>
      <c r="F97" s="322"/>
    </row>
    <row r="98" spans="1:6">
      <c r="A98" s="1248" t="s">
        <v>71</v>
      </c>
      <c r="B98" s="1249">
        <v>0</v>
      </c>
      <c r="C98" s="322"/>
      <c r="D98" s="322"/>
      <c r="E98" s="322"/>
      <c r="F98" s="322"/>
    </row>
    <row r="99" spans="1:6">
      <c r="A99" s="1248" t="s">
        <v>72</v>
      </c>
      <c r="B99" s="1249">
        <v>231</v>
      </c>
      <c r="C99" s="322"/>
      <c r="D99" s="322"/>
      <c r="E99" s="322"/>
      <c r="F99" s="322"/>
    </row>
    <row r="100" spans="1:6">
      <c r="A100" s="1248" t="s">
        <v>73</v>
      </c>
      <c r="B100" s="1249">
        <v>578</v>
      </c>
      <c r="C100" s="322"/>
      <c r="D100" s="322"/>
      <c r="E100" s="322"/>
      <c r="F100" s="322"/>
    </row>
    <row r="101" spans="1:6">
      <c r="A101" s="1248" t="s">
        <v>74</v>
      </c>
      <c r="B101" s="1249">
        <v>208</v>
      </c>
      <c r="C101" s="322"/>
      <c r="D101" s="322"/>
      <c r="E101" s="322"/>
      <c r="F101" s="322"/>
    </row>
    <row r="102" spans="1:6">
      <c r="A102" s="1248" t="s">
        <v>75</v>
      </c>
      <c r="B102" s="1249">
        <v>118</v>
      </c>
      <c r="C102" s="322"/>
      <c r="D102" s="322"/>
      <c r="E102" s="322"/>
      <c r="F102" s="322"/>
    </row>
    <row r="103" spans="1:6">
      <c r="A103" s="1248" t="s">
        <v>76</v>
      </c>
      <c r="B103" s="1249">
        <v>262</v>
      </c>
      <c r="C103" s="322"/>
      <c r="D103" s="322"/>
      <c r="E103" s="322"/>
      <c r="F103" s="322"/>
    </row>
    <row r="104" spans="1:6">
      <c r="A104" s="1248" t="s">
        <v>77</v>
      </c>
      <c r="B104" s="1249">
        <v>2094</v>
      </c>
      <c r="C104" s="322"/>
      <c r="D104" s="322"/>
      <c r="E104" s="322"/>
      <c r="F104" s="322"/>
    </row>
    <row r="105" spans="1:6">
      <c r="A105" s="1243" t="s">
        <v>78</v>
      </c>
      <c r="B105" s="1251">
        <v>10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2</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33</v>
      </c>
      <c r="C123" s="1249">
        <v>30</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315</v>
      </c>
      <c r="C129" s="322"/>
      <c r="D129" s="322"/>
      <c r="E129" s="322"/>
      <c r="F129" s="322"/>
    </row>
    <row r="130" spans="1:6">
      <c r="A130" s="1248" t="s">
        <v>283</v>
      </c>
      <c r="B130" s="1249">
        <v>7</v>
      </c>
      <c r="C130" s="322"/>
      <c r="D130" s="322"/>
      <c r="E130" s="322"/>
      <c r="F130" s="322"/>
    </row>
    <row r="131" spans="1:6">
      <c r="A131" s="1248" t="s">
        <v>284</v>
      </c>
      <c r="B131" s="1249">
        <v>2</v>
      </c>
      <c r="C131" s="322"/>
      <c r="D131" s="322"/>
      <c r="E131" s="322"/>
      <c r="F131" s="322"/>
    </row>
    <row r="132" spans="1:6">
      <c r="A132" s="1243" t="s">
        <v>285</v>
      </c>
      <c r="B132" s="1244">
        <v>38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71566.097614673272</v>
      </c>
      <c r="C3" s="43" t="s">
        <v>163</v>
      </c>
      <c r="D3" s="43"/>
      <c r="E3" s="153"/>
      <c r="F3" s="43"/>
      <c r="G3" s="43"/>
      <c r="H3" s="43"/>
      <c r="I3" s="43"/>
      <c r="J3" s="43"/>
      <c r="K3" s="96"/>
    </row>
    <row r="4" spans="1:11">
      <c r="A4" s="348" t="s">
        <v>164</v>
      </c>
      <c r="B4" s="49">
        <f>IF(ISERROR('SEAP template'!B78+'SEAP template'!C78),0,'SEAP template'!B78+'SEAP template'!C78)</f>
        <v>18055.104437248243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0.16524485596356239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15928.071428571429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1113.2360000000001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1113.2360000000001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0.16524485596356239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183.95652247345237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24799.342271016001</v>
      </c>
      <c r="C5" s="17">
        <f>IF(ISERROR('Eigen informatie GS &amp; warmtenet'!B57),0,'Eigen informatie GS &amp; warmtenet'!B57)</f>
        <v>0</v>
      </c>
      <c r="D5" s="30">
        <f>(SUM(HH_hh_gas_kWh,HH_rest_gas_kWh)/1000)*0.902</f>
        <v>48654.252711610046</v>
      </c>
      <c r="E5" s="17">
        <f>B32*B41</f>
        <v>1663.4554596703672</v>
      </c>
      <c r="F5" s="17">
        <f>B36*B45</f>
        <v>38557.603359862289</v>
      </c>
      <c r="G5" s="18"/>
      <c r="H5" s="17"/>
      <c r="I5" s="17"/>
      <c r="J5" s="17">
        <f>B35*B44+C35*C44</f>
        <v>198.15211744769886</v>
      </c>
      <c r="K5" s="17"/>
      <c r="L5" s="17"/>
      <c r="M5" s="17"/>
      <c r="N5" s="17">
        <f>B34*B43+C34*C43</f>
        <v>9232.6735598660089</v>
      </c>
      <c r="O5" s="17">
        <f>B52*B53*B54</f>
        <v>540.91333333333341</v>
      </c>
      <c r="P5" s="17">
        <f>B60*B61*B62/1000-B60*B61*B62/1000/B63</f>
        <v>1372.8</v>
      </c>
    </row>
    <row r="6" spans="1:16">
      <c r="A6" s="16" t="s">
        <v>582</v>
      </c>
      <c r="B6" s="716">
        <f>kWh_PV_kleiner_dan_10kW</f>
        <v>4312.0410596558886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29111.383330671888</v>
      </c>
      <c r="C8" s="21">
        <f>C5</f>
        <v>0</v>
      </c>
      <c r="D8" s="21">
        <f>D5</f>
        <v>48654.252711610046</v>
      </c>
      <c r="E8" s="21">
        <f>E5</f>
        <v>1663.4554596703672</v>
      </c>
      <c r="F8" s="21">
        <f>F5</f>
        <v>38557.603359862289</v>
      </c>
      <c r="G8" s="21"/>
      <c r="H8" s="21"/>
      <c r="I8" s="21"/>
      <c r="J8" s="21">
        <f>J5</f>
        <v>198.15211744769886</v>
      </c>
      <c r="K8" s="21"/>
      <c r="L8" s="21">
        <f>L5</f>
        <v>0</v>
      </c>
      <c r="M8" s="21">
        <f>M5</f>
        <v>0</v>
      </c>
      <c r="N8" s="21">
        <f>N5</f>
        <v>9232.6735598660089</v>
      </c>
      <c r="O8" s="21">
        <f>O5</f>
        <v>540.91333333333341</v>
      </c>
      <c r="P8" s="21">
        <f>P5</f>
        <v>1372.8</v>
      </c>
    </row>
    <row r="9" spans="1:16">
      <c r="B9" s="19"/>
      <c r="C9" s="19"/>
      <c r="D9" s="253"/>
      <c r="E9" s="19"/>
      <c r="F9" s="19"/>
      <c r="G9" s="19"/>
      <c r="H9" s="19"/>
      <c r="I9" s="19"/>
      <c r="J9" s="19"/>
      <c r="K9" s="19"/>
      <c r="L9" s="19"/>
      <c r="M9" s="19"/>
      <c r="N9" s="19"/>
      <c r="O9" s="19"/>
      <c r="P9" s="19"/>
    </row>
    <row r="10" spans="1:16">
      <c r="A10" s="24" t="s">
        <v>207</v>
      </c>
      <c r="B10" s="25">
        <f ca="1">'EF ele_warmte'!B12</f>
        <v>0.16524485596356239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4810.5063453769271</v>
      </c>
      <c r="C12" s="23">
        <f ca="1">C10*C8</f>
        <v>0</v>
      </c>
      <c r="D12" s="23">
        <f>D8*D10</f>
        <v>9828.1590477452301</v>
      </c>
      <c r="E12" s="23">
        <f>E10*E8</f>
        <v>377.60438934517339</v>
      </c>
      <c r="F12" s="23">
        <f>F10*F8</f>
        <v>10294.880097083233</v>
      </c>
      <c r="G12" s="23"/>
      <c r="H12" s="23"/>
      <c r="I12" s="23"/>
      <c r="J12" s="23">
        <f>J10*J8</f>
        <v>70.145849576485389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6230</v>
      </c>
      <c r="C26" s="36"/>
      <c r="D26" s="224"/>
    </row>
    <row r="27" spans="1:5" s="15" customFormat="1">
      <c r="A27" s="226" t="s">
        <v>736</v>
      </c>
      <c r="B27" s="37">
        <f>SUM(HH_hh_gas_aantal,HH_rest_gas_aantal)</f>
        <v>3544</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3366.8</v>
      </c>
      <c r="C31" s="34" t="s">
        <v>104</v>
      </c>
      <c r="D31" s="170"/>
    </row>
    <row r="32" spans="1:5">
      <c r="A32" s="167" t="s">
        <v>72</v>
      </c>
      <c r="B32" s="33">
        <f>IF((B21*($B$26-($B$27-0.05*$B$27)-$B$60))&lt;0,0,B21*($B$26-($B$27-0.05*$B$27)-$B$60))</f>
        <v>30.739019591162752</v>
      </c>
      <c r="C32" s="34" t="s">
        <v>104</v>
      </c>
      <c r="D32" s="170"/>
    </row>
    <row r="33" spans="1:6">
      <c r="A33" s="167" t="s">
        <v>73</v>
      </c>
      <c r="B33" s="33">
        <f>IF((B22*($B$26-($B$27-0.05*$B$27)-$B$60))&lt;0,0,B22*($B$26-($B$27-0.05*$B$27)-$B$60))</f>
        <v>639.09003098472829</v>
      </c>
      <c r="C33" s="34" t="s">
        <v>104</v>
      </c>
      <c r="D33" s="170"/>
    </row>
    <row r="34" spans="1:6">
      <c r="A34" s="167" t="s">
        <v>74</v>
      </c>
      <c r="B34" s="33">
        <f>IF((B24*($B$26-($B$27-0.05*$B$27)-$B$60))&lt;0,0,B24*($B$26-($B$27-0.05*$B$27)-$B$60))</f>
        <v>249.43464813701479</v>
      </c>
      <c r="C34" s="33">
        <f>B26*C24</f>
        <v>1103.4864994570751</v>
      </c>
      <c r="D34" s="229"/>
    </row>
    <row r="35" spans="1:6">
      <c r="A35" s="167" t="s">
        <v>76</v>
      </c>
      <c r="B35" s="33">
        <f>IF((B19*($B$26-($B$27-0.05*$B$27)-$B$60))&lt;0,0,B19*($B$26-($B$27-0.05*$B$27)-$B$60))</f>
        <v>23.266123221202445</v>
      </c>
      <c r="C35" s="33">
        <f>B35/2</f>
        <v>11.633061610601223</v>
      </c>
      <c r="D35" s="229"/>
    </row>
    <row r="36" spans="1:6">
      <c r="A36" s="167" t="s">
        <v>77</v>
      </c>
      <c r="B36" s="33">
        <f>IF((B18*($B$26-($B$27-0.05*$B$27)-$B$60))&lt;0,0,B18*($B$26-($B$27-0.05*$B$27)-$B$60))</f>
        <v>1848.6701780658916</v>
      </c>
      <c r="C36" s="34" t="s">
        <v>104</v>
      </c>
      <c r="D36" s="170"/>
    </row>
    <row r="37" spans="1:6">
      <c r="A37" s="167" t="s">
        <v>78</v>
      </c>
      <c r="B37" s="33">
        <f>B60</f>
        <v>72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346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18052.534997265255</v>
      </c>
      <c r="C5" s="17">
        <f>IF(ISERROR('Eigen informatie GS &amp; warmtenet'!B58),0,'Eigen informatie GS &amp; warmtenet'!B58)</f>
        <v>0</v>
      </c>
      <c r="D5" s="30">
        <f>SUM(D6:D12)</f>
        <v>42605.038668615016</v>
      </c>
      <c r="E5" s="17">
        <f>SUM(E6:E12)</f>
        <v>275.90087904704205</v>
      </c>
      <c r="F5" s="17">
        <f>SUM(F6:F12)</f>
        <v>4454.5210244227437</v>
      </c>
      <c r="G5" s="18"/>
      <c r="H5" s="17"/>
      <c r="I5" s="17"/>
      <c r="J5" s="17">
        <f>SUM(J6:J12)</f>
        <v>5.4184932943648373E-2</v>
      </c>
      <c r="K5" s="17"/>
      <c r="L5" s="17"/>
      <c r="M5" s="17"/>
      <c r="N5" s="17">
        <f>SUM(N6:N12)</f>
        <v>2139.2541374321659</v>
      </c>
      <c r="O5" s="17">
        <f>B38*B39*B40</f>
        <v>10.943333333333335</v>
      </c>
      <c r="P5" s="17">
        <f>B46*B47*B48/1000-B46*B47*B48/1000/B49</f>
        <v>38.133333333333333</v>
      </c>
      <c r="R5" s="32"/>
    </row>
    <row r="6" spans="1:18">
      <c r="A6" s="32" t="s">
        <v>53</v>
      </c>
      <c r="B6" s="37">
        <f>B26</f>
        <v>2282.4579278546798</v>
      </c>
      <c r="C6" s="33"/>
      <c r="D6" s="37">
        <f>IF(ISERROR(TER_kantoor_gas_kWh/1000),0,TER_kantoor_gas_kWh/1000)*0.902</f>
        <v>3310.4786540277746</v>
      </c>
      <c r="E6" s="33">
        <f>$C$26*'E Balans VL '!I12/100/3.6*1000000</f>
        <v>-1.8741950573989937E-4</v>
      </c>
      <c r="F6" s="33">
        <f>$C$26*('E Balans VL '!L12+'E Balans VL '!N12)/100/3.6*1000000</f>
        <v>289.25904415994319</v>
      </c>
      <c r="G6" s="34"/>
      <c r="H6" s="33"/>
      <c r="I6" s="33"/>
      <c r="J6" s="33">
        <f>$C$26*('E Balans VL '!D12+'E Balans VL '!E12)/100/3.6*1000000</f>
        <v>0</v>
      </c>
      <c r="K6" s="33"/>
      <c r="L6" s="33"/>
      <c r="M6" s="33"/>
      <c r="N6" s="33">
        <f>$C$26*'E Balans VL '!Y12/100/3.6*1000000</f>
        <v>2.7995696541687112</v>
      </c>
      <c r="O6" s="33"/>
      <c r="P6" s="33"/>
      <c r="R6" s="32"/>
    </row>
    <row r="7" spans="1:18">
      <c r="A7" s="32" t="s">
        <v>52</v>
      </c>
      <c r="B7" s="37">
        <f t="shared" ref="B7:B12" si="0">B27</f>
        <v>1524.4407842170101</v>
      </c>
      <c r="C7" s="33"/>
      <c r="D7" s="37">
        <f>IF(ISERROR(TER_horeca_gas_kWh/1000),0,TER_horeca_gas_kWh/1000)*0.902</f>
        <v>1049.3780561625258</v>
      </c>
      <c r="E7" s="33">
        <f>$C$27*'E Balans VL '!I9/100/3.6*1000000</f>
        <v>17.547060003079338</v>
      </c>
      <c r="F7" s="33">
        <f>$C$27*('E Balans VL '!L9+'E Balans VL '!N9)/100/3.6*1000000</f>
        <v>196.5519992955698</v>
      </c>
      <c r="G7" s="34"/>
      <c r="H7" s="33"/>
      <c r="I7" s="33"/>
      <c r="J7" s="33">
        <f>$C$27*('E Balans VL '!D9+'E Balans VL '!E9)/100/3.6*1000000</f>
        <v>0</v>
      </c>
      <c r="K7" s="33"/>
      <c r="L7" s="33"/>
      <c r="M7" s="33"/>
      <c r="N7" s="33">
        <f>$C$27*'E Balans VL '!Y9/100/3.6*1000000</f>
        <v>16.090123135773233</v>
      </c>
      <c r="O7" s="33"/>
      <c r="P7" s="33"/>
      <c r="R7" s="32"/>
    </row>
    <row r="8" spans="1:18">
      <c r="A8" s="6" t="s">
        <v>51</v>
      </c>
      <c r="B8" s="37">
        <f t="shared" si="0"/>
        <v>4950.4219975655305</v>
      </c>
      <c r="C8" s="33"/>
      <c r="D8" s="37">
        <f>IF(ISERROR(TER_handel_gas_kWh/1000),0,TER_handel_gas_kWh/1000)*0.902</f>
        <v>2172.1940195477291</v>
      </c>
      <c r="E8" s="33">
        <f>$C$28*'E Balans VL '!I13/100/3.6*1000000</f>
        <v>139.67321109417128</v>
      </c>
      <c r="F8" s="33">
        <f>$C$28*('E Balans VL '!L13+'E Balans VL '!N13)/100/3.6*1000000</f>
        <v>497.90632183909673</v>
      </c>
      <c r="G8" s="34"/>
      <c r="H8" s="33"/>
      <c r="I8" s="33"/>
      <c r="J8" s="33">
        <f>$C$28*('E Balans VL '!D13+'E Balans VL '!E13)/100/3.6*1000000</f>
        <v>0</v>
      </c>
      <c r="K8" s="33"/>
      <c r="L8" s="33"/>
      <c r="M8" s="33"/>
      <c r="N8" s="33">
        <f>$C$28*'E Balans VL '!Y13/100/3.6*1000000</f>
        <v>6.8335030644506825</v>
      </c>
      <c r="O8" s="33"/>
      <c r="P8" s="33"/>
      <c r="R8" s="32"/>
    </row>
    <row r="9" spans="1:18">
      <c r="A9" s="32" t="s">
        <v>50</v>
      </c>
      <c r="B9" s="37">
        <f t="shared" si="0"/>
        <v>797.42490170934002</v>
      </c>
      <c r="C9" s="33"/>
      <c r="D9" s="37">
        <f>IF(ISERROR(TER_gezond_gas_kWh/1000),0,TER_gezond_gas_kWh/1000)*0.902</f>
        <v>2324.2983871236765</v>
      </c>
      <c r="E9" s="33">
        <f>$C$29*'E Balans VL '!I10/100/3.6*1000000</f>
        <v>1.5930094535188744</v>
      </c>
      <c r="F9" s="33">
        <f>$C$29*('E Balans VL '!L10+'E Balans VL '!N10)/100/3.6*1000000</f>
        <v>69.87041695563029</v>
      </c>
      <c r="G9" s="34"/>
      <c r="H9" s="33"/>
      <c r="I9" s="33"/>
      <c r="J9" s="33">
        <f>$C$29*('E Balans VL '!D10+'E Balans VL '!E10)/100/3.6*1000000</f>
        <v>0</v>
      </c>
      <c r="K9" s="33"/>
      <c r="L9" s="33"/>
      <c r="M9" s="33"/>
      <c r="N9" s="33">
        <f>$C$29*'E Balans VL '!Y10/100/3.6*1000000</f>
        <v>12.062197874869725</v>
      </c>
      <c r="O9" s="33"/>
      <c r="P9" s="33"/>
      <c r="R9" s="32"/>
    </row>
    <row r="10" spans="1:18">
      <c r="A10" s="32" t="s">
        <v>49</v>
      </c>
      <c r="B10" s="37">
        <f t="shared" si="0"/>
        <v>4166.0103524085998</v>
      </c>
      <c r="C10" s="33"/>
      <c r="D10" s="37">
        <f>IF(ISERROR(TER_ander_gas_kWh/1000),0,TER_ander_gas_kWh/1000)*0.902</f>
        <v>17870.364440355414</v>
      </c>
      <c r="E10" s="33">
        <f>$C$30*'E Balans VL '!I14/100/3.6*1000000</f>
        <v>58.689032845092136</v>
      </c>
      <c r="F10" s="33">
        <f>$C$30*('E Balans VL '!L14+'E Balans VL '!N14)/100/3.6*1000000</f>
        <v>2527.1552916050541</v>
      </c>
      <c r="G10" s="34"/>
      <c r="H10" s="33"/>
      <c r="I10" s="33"/>
      <c r="J10" s="33">
        <f>$C$30*('E Balans VL '!D14+'E Balans VL '!E14)/100/3.6*1000000</f>
        <v>4.5734785034844037E-2</v>
      </c>
      <c r="K10" s="33"/>
      <c r="L10" s="33"/>
      <c r="M10" s="33"/>
      <c r="N10" s="33">
        <f>$C$30*'E Balans VL '!Y14/100/3.6*1000000</f>
        <v>1761.9359498196882</v>
      </c>
      <c r="O10" s="33"/>
      <c r="P10" s="33"/>
      <c r="R10" s="32"/>
    </row>
    <row r="11" spans="1:18">
      <c r="A11" s="32" t="s">
        <v>54</v>
      </c>
      <c r="B11" s="37">
        <f t="shared" si="0"/>
        <v>181.64614319617201</v>
      </c>
      <c r="C11" s="33"/>
      <c r="D11" s="37">
        <f>IF(ISERROR(TER_onderwijs_gas_kWh/1000),0,TER_onderwijs_gas_kWh/1000)*0.902</f>
        <v>495.2475407464172</v>
      </c>
      <c r="E11" s="33">
        <f>$C$31*'E Balans VL '!I11/100/3.6*1000000</f>
        <v>4.7410536225320108</v>
      </c>
      <c r="F11" s="33">
        <f>$C$31*('E Balans VL '!L11+'E Balans VL '!N11)/100/3.6*1000000</f>
        <v>22.35308430503008</v>
      </c>
      <c r="G11" s="34"/>
      <c r="H11" s="33"/>
      <c r="I11" s="33"/>
      <c r="J11" s="33">
        <f>$C$31*('E Balans VL '!D11+'E Balans VL '!E11)/100/3.6*1000000</f>
        <v>0</v>
      </c>
      <c r="K11" s="33"/>
      <c r="L11" s="33"/>
      <c r="M11" s="33"/>
      <c r="N11" s="33">
        <f>$C$31*'E Balans VL '!Y11/100/3.6*1000000</f>
        <v>0.57521974508133056</v>
      </c>
      <c r="O11" s="33"/>
      <c r="P11" s="33"/>
      <c r="R11" s="32"/>
    </row>
    <row r="12" spans="1:18">
      <c r="A12" s="32" t="s">
        <v>248</v>
      </c>
      <c r="B12" s="37">
        <f t="shared" si="0"/>
        <v>4150.1328903139201</v>
      </c>
      <c r="C12" s="33"/>
      <c r="D12" s="37">
        <f>IF(ISERROR(TER_rest_gas_kWh/1000),0,TER_rest_gas_kWh/1000)*0.902</f>
        <v>15383.07757065148</v>
      </c>
      <c r="E12" s="33">
        <f>$C$32*'E Balans VL '!I8/100/3.6*1000000</f>
        <v>53.657699448154162</v>
      </c>
      <c r="F12" s="33">
        <f>$C$32*('E Balans VL '!L8+'E Balans VL '!N8)/100/3.6*1000000</f>
        <v>851.42486626241998</v>
      </c>
      <c r="G12" s="34"/>
      <c r="H12" s="33"/>
      <c r="I12" s="33"/>
      <c r="J12" s="33">
        <f>$C$32*('E Balans VL '!D8+'E Balans VL '!E8)/100/3.6*1000000</f>
        <v>8.4501479088043372E-3</v>
      </c>
      <c r="K12" s="33"/>
      <c r="L12" s="33"/>
      <c r="M12" s="33"/>
      <c r="N12" s="33">
        <f>$C$32*'E Balans VL '!Y8/100/3.6*1000000</f>
        <v>338.95757413813396</v>
      </c>
      <c r="O12" s="33"/>
      <c r="P12" s="33"/>
      <c r="R12" s="32"/>
    </row>
    <row r="13" spans="1:18">
      <c r="A13" s="16" t="s">
        <v>473</v>
      </c>
      <c r="B13" s="242">
        <f ca="1">'lokale energieproductie'!N40+'lokale energieproductie'!N33</f>
        <v>0</v>
      </c>
      <c r="C13" s="242">
        <f ca="1">'lokale energieproductie'!O40+'lokale energieproductie'!O33</f>
        <v>0</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18052.534997265255</v>
      </c>
      <c r="C16" s="21">
        <f t="shared" ca="1" si="1"/>
        <v>0</v>
      </c>
      <c r="D16" s="21">
        <f t="shared" ca="1" si="1"/>
        <v>42605.038668615016</v>
      </c>
      <c r="E16" s="21">
        <f t="shared" si="1"/>
        <v>275.90087904704205</v>
      </c>
      <c r="F16" s="21">
        <f t="shared" ca="1" si="1"/>
        <v>4454.5210244227437</v>
      </c>
      <c r="G16" s="21">
        <f t="shared" si="1"/>
        <v>0</v>
      </c>
      <c r="H16" s="21">
        <f t="shared" si="1"/>
        <v>0</v>
      </c>
      <c r="I16" s="21">
        <f t="shared" si="1"/>
        <v>0</v>
      </c>
      <c r="J16" s="21">
        <f t="shared" si="1"/>
        <v>5.4184932943648373E-2</v>
      </c>
      <c r="K16" s="21">
        <f t="shared" si="1"/>
        <v>0</v>
      </c>
      <c r="L16" s="21">
        <f t="shared" ca="1" si="1"/>
        <v>0</v>
      </c>
      <c r="M16" s="21">
        <f t="shared" si="1"/>
        <v>0</v>
      </c>
      <c r="N16" s="21">
        <f t="shared" ca="1" si="1"/>
        <v>2139.2541374321659</v>
      </c>
      <c r="O16" s="21">
        <f>O5</f>
        <v>10.943333333333335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0.16524485596356239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2983.0885454002664</v>
      </c>
      <c r="C20" s="23">
        <f t="shared" ref="C20:P20" ca="1" si="2">C16*C18</f>
        <v>0</v>
      </c>
      <c r="D20" s="23">
        <f t="shared" ca="1" si="2"/>
        <v>8606.2178110602345</v>
      </c>
      <c r="E20" s="23">
        <f t="shared" si="2"/>
        <v>62.629499543678548</v>
      </c>
      <c r="F20" s="23">
        <f t="shared" ca="1" si="2"/>
        <v>1189.3571135208726</v>
      </c>
      <c r="G20" s="23">
        <f t="shared" si="2"/>
        <v>0</v>
      </c>
      <c r="H20" s="23">
        <f t="shared" si="2"/>
        <v>0</v>
      </c>
      <c r="I20" s="23">
        <f t="shared" si="2"/>
        <v>0</v>
      </c>
      <c r="J20" s="23">
        <f t="shared" si="2"/>
        <v>1.9181466262051524E-2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2282.4579278546798</v>
      </c>
      <c r="C26" s="39">
        <f>IF(ISERROR(B26*3.6/1000000/'E Balans VL '!Z12*100),0,B26*3.6/1000000/'E Balans VL '!Z12*100)</f>
        <v>6.1879395964328725E-2</v>
      </c>
      <c r="D26" s="232" t="s">
        <v>700</v>
      </c>
      <c r="F26" s="6"/>
    </row>
    <row r="27" spans="1:18">
      <c r="A27" s="227" t="s">
        <v>52</v>
      </c>
      <c r="B27" s="33">
        <f>IF(ISERROR(TER_horeca_ele_kWh/1000),0,TER_horeca_ele_kWh/1000)</f>
        <v>1524.4407842170101</v>
      </c>
      <c r="C27" s="39">
        <f>IF(ISERROR(B27*3.6/1000000/'E Balans VL '!Z9*100),0,B27*3.6/1000000/'E Balans VL '!Z9*100)</f>
        <v>0.11791709376774591</v>
      </c>
      <c r="D27" s="232" t="s">
        <v>700</v>
      </c>
      <c r="F27" s="6"/>
    </row>
    <row r="28" spans="1:18">
      <c r="A28" s="167" t="s">
        <v>51</v>
      </c>
      <c r="B28" s="33">
        <f>IF(ISERROR(TER_handel_ele_kWh/1000),0,TER_handel_ele_kWh/1000)</f>
        <v>4950.4219975655305</v>
      </c>
      <c r="C28" s="39">
        <f>IF(ISERROR(B28*3.6/1000000/'E Balans VL '!Z13*100),0,B28*3.6/1000000/'E Balans VL '!Z13*100)</f>
        <v>0.14317900747747073</v>
      </c>
      <c r="D28" s="232" t="s">
        <v>700</v>
      </c>
      <c r="F28" s="6"/>
    </row>
    <row r="29" spans="1:18">
      <c r="A29" s="227" t="s">
        <v>50</v>
      </c>
      <c r="B29" s="33">
        <f>IF(ISERROR(TER_gezond_ele_kWh/1000),0,TER_gezond_ele_kWh/1000)</f>
        <v>797.42490170934002</v>
      </c>
      <c r="C29" s="39">
        <f>IF(ISERROR(B29*3.6/1000000/'E Balans VL '!Z10*100),0,B29*3.6/1000000/'E Balans VL '!Z10*100)</f>
        <v>8.2126944541525942E-2</v>
      </c>
      <c r="D29" s="232" t="s">
        <v>700</v>
      </c>
      <c r="F29" s="6"/>
    </row>
    <row r="30" spans="1:18">
      <c r="A30" s="227" t="s">
        <v>49</v>
      </c>
      <c r="B30" s="33">
        <f>IF(ISERROR(TER_ander_ele_kWh/1000),0,TER_ander_ele_kWh/1000)</f>
        <v>4166.0103524085998</v>
      </c>
      <c r="C30" s="39">
        <f>IF(ISERROR(B30*3.6/1000000/'E Balans VL '!Z14*100),0,B30*3.6/1000000/'E Balans VL '!Z14*100)</f>
        <v>0.18730969980140902</v>
      </c>
      <c r="D30" s="232" t="s">
        <v>700</v>
      </c>
      <c r="F30" s="6"/>
    </row>
    <row r="31" spans="1:18">
      <c r="A31" s="227" t="s">
        <v>54</v>
      </c>
      <c r="B31" s="33">
        <f>IF(ISERROR(TER_onderwijs_ele_kWh/1000),0,TER_onderwijs_ele_kWh/1000)</f>
        <v>181.64614319617201</v>
      </c>
      <c r="C31" s="39">
        <f>IF(ISERROR(B31*3.6/1000000/'E Balans VL '!Z11*100),0,B31*3.6/1000000/'E Balans VL '!Z11*100)</f>
        <v>5.076408967673398E-2</v>
      </c>
      <c r="D31" s="232" t="s">
        <v>700</v>
      </c>
    </row>
    <row r="32" spans="1:18">
      <c r="A32" s="227" t="s">
        <v>248</v>
      </c>
      <c r="B32" s="33">
        <f>IF(ISERROR(TER_rest_ele_kWh/1000),0,TER_rest_ele_kWh/1000)</f>
        <v>4150.1328903139201</v>
      </c>
      <c r="C32" s="39">
        <f>IF(ISERROR(B32*3.6/1000000/'E Balans VL '!Z8*100),0,B32*3.6/1000000/'E Balans VL '!Z8*100)</f>
        <v>3.4608114302270322E-2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7</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17738.270712530939</v>
      </c>
      <c r="C5" s="17">
        <f>IF(ISERROR('Eigen informatie GS &amp; warmtenet'!B59),0,'Eigen informatie GS &amp; warmtenet'!B59)</f>
        <v>0</v>
      </c>
      <c r="D5" s="30">
        <f>SUM(D6:D15)</f>
        <v>20486.297351421403</v>
      </c>
      <c r="E5" s="17">
        <f>SUM(E6:E15)</f>
        <v>317.73151504875972</v>
      </c>
      <c r="F5" s="17">
        <f>SUM(F6:F15)</f>
        <v>5237.9012477064289</v>
      </c>
      <c r="G5" s="18"/>
      <c r="H5" s="17"/>
      <c r="I5" s="17"/>
      <c r="J5" s="17">
        <f>SUM(J6:J15)</f>
        <v>16.210451255740338</v>
      </c>
      <c r="K5" s="17"/>
      <c r="L5" s="17"/>
      <c r="M5" s="17"/>
      <c r="N5" s="17">
        <f>SUM(N6:N15)</f>
        <v>561.11839464210743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2842.0533103152802</v>
      </c>
      <c r="C8" s="33"/>
      <c r="D8" s="37">
        <f>IF( ISERROR(IND_metaal_Gas_kWH/1000),0,IND_metaal_Gas_kWH/1000)*0.902</f>
        <v>190.83967008460772</v>
      </c>
      <c r="E8" s="33">
        <f>C30*'E Balans VL '!I18/100/3.6*1000000</f>
        <v>25.792504549049934</v>
      </c>
      <c r="F8" s="33">
        <f>C30*'E Balans VL '!L18/100/3.6*1000000+C30*'E Balans VL '!N18/100/3.6*1000000</f>
        <v>261.5885086976615</v>
      </c>
      <c r="G8" s="34"/>
      <c r="H8" s="33"/>
      <c r="I8" s="33"/>
      <c r="J8" s="40">
        <f>C30*'E Balans VL '!D18/100/3.6*1000000+C30*'E Balans VL '!E18/100/3.6*1000000</f>
        <v>0</v>
      </c>
      <c r="K8" s="33"/>
      <c r="L8" s="33"/>
      <c r="M8" s="33"/>
      <c r="N8" s="33">
        <f>C30*'E Balans VL '!Y18/100/3.6*1000000</f>
        <v>41.49174025029405</v>
      </c>
      <c r="O8" s="33"/>
      <c r="P8" s="33"/>
      <c r="R8" s="32"/>
    </row>
    <row r="9" spans="1:18">
      <c r="A9" s="6" t="s">
        <v>32</v>
      </c>
      <c r="B9" s="37">
        <f t="shared" si="0"/>
        <v>5886.8406310660303</v>
      </c>
      <c r="C9" s="33"/>
      <c r="D9" s="37">
        <f>IF( ISERROR(IND_andere_gas_kWh/1000),0,IND_andere_gas_kWh/1000)*0.902</f>
        <v>1346.7293146394964</v>
      </c>
      <c r="E9" s="33">
        <f>C31*'E Balans VL '!I19/100/3.6*1000000</f>
        <v>34.168553426805758</v>
      </c>
      <c r="F9" s="33">
        <f>C31*'E Balans VL '!L19/100/3.6*1000000+C31*'E Balans VL '!N19/100/3.6*1000000</f>
        <v>3882.305294356504</v>
      </c>
      <c r="G9" s="34"/>
      <c r="H9" s="33"/>
      <c r="I9" s="33"/>
      <c r="J9" s="40">
        <f>C31*'E Balans VL '!D19/100/3.6*1000000+C31*'E Balans VL '!E19/100/3.6*1000000</f>
        <v>0</v>
      </c>
      <c r="K9" s="33"/>
      <c r="L9" s="33"/>
      <c r="M9" s="33"/>
      <c r="N9" s="33">
        <f>C31*'E Balans VL '!Y19/100/3.6*1000000</f>
        <v>272.624706812059</v>
      </c>
      <c r="O9" s="33"/>
      <c r="P9" s="33"/>
      <c r="R9" s="32"/>
    </row>
    <row r="10" spans="1:18">
      <c r="A10" s="6" t="s">
        <v>40</v>
      </c>
      <c r="B10" s="37">
        <f t="shared" si="0"/>
        <v>4215.4700198975997</v>
      </c>
      <c r="C10" s="33"/>
      <c r="D10" s="37">
        <f>IF( ISERROR(IND_voed_gas_kWh/1000),0,IND_voed_gas_kWh/1000)*0.902</f>
        <v>1288.7767158565962</v>
      </c>
      <c r="E10" s="33">
        <f>C32*'E Balans VL '!I20/100/3.6*1000000</f>
        <v>8.9335642606726768</v>
      </c>
      <c r="F10" s="33">
        <f>C32*'E Balans VL '!L20/100/3.6*1000000+C32*'E Balans VL '!N20/100/3.6*1000000</f>
        <v>267.91053318255871</v>
      </c>
      <c r="G10" s="34"/>
      <c r="H10" s="33"/>
      <c r="I10" s="33"/>
      <c r="J10" s="40">
        <f>C32*'E Balans VL '!D20/100/3.6*1000000+C32*'E Balans VL '!E20/100/3.6*1000000</f>
        <v>0</v>
      </c>
      <c r="K10" s="33"/>
      <c r="L10" s="33"/>
      <c r="M10" s="33"/>
      <c r="N10" s="33">
        <f>C32*'E Balans VL '!Y20/100/3.6*1000000</f>
        <v>122.20180687554897</v>
      </c>
      <c r="O10" s="33"/>
      <c r="P10" s="33"/>
      <c r="R10" s="32"/>
    </row>
    <row r="11" spans="1:18">
      <c r="A11" s="6" t="s">
        <v>39</v>
      </c>
      <c r="B11" s="37">
        <f t="shared" si="0"/>
        <v>21.507770702831898</v>
      </c>
      <c r="C11" s="33"/>
      <c r="D11" s="37">
        <f>IF( ISERROR(IND_textiel_gas_kWh/1000),0,IND_textiel_gas_kWh/1000)*0.902</f>
        <v>0</v>
      </c>
      <c r="E11" s="33">
        <f>C33*'E Balans VL '!I21/100/3.6*1000000</f>
        <v>6.7328173834885791E-2</v>
      </c>
      <c r="F11" s="33">
        <f>C33*'E Balans VL '!L21/100/3.6*1000000+C33*'E Balans VL '!N21/100/3.6*1000000</f>
        <v>2.1984483693772727</v>
      </c>
      <c r="G11" s="34"/>
      <c r="H11" s="33"/>
      <c r="I11" s="33"/>
      <c r="J11" s="40">
        <f>C33*'E Balans VL '!D21/100/3.6*1000000+C33*'E Balans VL '!E21/100/3.6*1000000</f>
        <v>0</v>
      </c>
      <c r="K11" s="33"/>
      <c r="L11" s="33"/>
      <c r="M11" s="33"/>
      <c r="N11" s="33">
        <f>C33*'E Balans VL '!Y21/100/3.6*1000000</f>
        <v>2.9694024515588687E-3</v>
      </c>
      <c r="O11" s="33"/>
      <c r="P11" s="33"/>
      <c r="R11" s="32"/>
    </row>
    <row r="12" spans="1:18">
      <c r="A12" s="6" t="s">
        <v>36</v>
      </c>
      <c r="B12" s="37">
        <f t="shared" si="0"/>
        <v>62.288709104810998</v>
      </c>
      <c r="C12" s="33"/>
      <c r="D12" s="37">
        <f>IF( ISERROR(IND_min_gas_kWh/1000),0,IND_min_gas_kWh/1000)*0.902</f>
        <v>0</v>
      </c>
      <c r="E12" s="33">
        <f>C34*'E Balans VL '!I22/100/3.6*1000000</f>
        <v>1.5181634938744777</v>
      </c>
      <c r="F12" s="33">
        <f>C34*'E Balans VL '!L22/100/3.6*1000000+C34*'E Balans VL '!N22/100/3.6*1000000</f>
        <v>17.57106811539985</v>
      </c>
      <c r="G12" s="34"/>
      <c r="H12" s="33"/>
      <c r="I12" s="33"/>
      <c r="J12" s="40">
        <f>C34*'E Balans VL '!D22/100/3.6*1000000+C34*'E Balans VL '!E22/100/3.6*1000000</f>
        <v>0.10649258580329765</v>
      </c>
      <c r="K12" s="33"/>
      <c r="L12" s="33"/>
      <c r="M12" s="33"/>
      <c r="N12" s="33">
        <f>C34*'E Balans VL '!Y22/100/3.6*1000000</f>
        <v>14.186671921003768</v>
      </c>
      <c r="O12" s="33"/>
      <c r="P12" s="33"/>
      <c r="R12" s="32"/>
    </row>
    <row r="13" spans="1:18">
      <c r="A13" s="6" t="s">
        <v>38</v>
      </c>
      <c r="B13" s="37">
        <f t="shared" si="0"/>
        <v>143.75078413946002</v>
      </c>
      <c r="C13" s="33"/>
      <c r="D13" s="37">
        <f>IF( ISERROR(IND_papier_gas_kWh/1000),0,IND_papier_gas_kWh/1000)*0.902</f>
        <v>0</v>
      </c>
      <c r="E13" s="33">
        <f>C35*'E Balans VL '!I23/100/3.6*1000000</f>
        <v>0.21218537604931897</v>
      </c>
      <c r="F13" s="33">
        <f>C35*'E Balans VL '!L23/100/3.6*1000000+C35*'E Balans VL '!N23/100/3.6*1000000</f>
        <v>3.7227113400237264</v>
      </c>
      <c r="G13" s="34"/>
      <c r="H13" s="33"/>
      <c r="I13" s="33"/>
      <c r="J13" s="40">
        <f>C35*'E Balans VL '!D23/100/3.6*1000000+C35*'E Balans VL '!E23/100/3.6*1000000</f>
        <v>2.3130197574948993E-2</v>
      </c>
      <c r="K13" s="33"/>
      <c r="L13" s="33"/>
      <c r="M13" s="33"/>
      <c r="N13" s="33">
        <f>C35*'E Balans VL '!Y23/100/3.6*1000000</f>
        <v>-6.5287247866095939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4566.3594873049296</v>
      </c>
      <c r="C15" s="33"/>
      <c r="D15" s="37">
        <f>IF( ISERROR(IND_rest_gas_kWh/1000),0,IND_rest_gas_kWh/1000)*0.902</f>
        <v>17659.951650840703</v>
      </c>
      <c r="E15" s="33">
        <f>C37*'E Balans VL '!I15/100/3.6*1000000</f>
        <v>247.03921576847264</v>
      </c>
      <c r="F15" s="33">
        <f>C37*'E Balans VL '!L15/100/3.6*1000000+C37*'E Balans VL '!N15/100/3.6*1000000</f>
        <v>802.60468364490373</v>
      </c>
      <c r="G15" s="34"/>
      <c r="H15" s="33"/>
      <c r="I15" s="33"/>
      <c r="J15" s="40">
        <f>C37*'E Balans VL '!D15/100/3.6*1000000+C37*'E Balans VL '!E15/100/3.6*1000000</f>
        <v>16.080828472362093</v>
      </c>
      <c r="K15" s="33"/>
      <c r="L15" s="33"/>
      <c r="M15" s="33"/>
      <c r="N15" s="33">
        <f>C37*'E Balans VL '!Y15/100/3.6*1000000</f>
        <v>117.13922416735964</v>
      </c>
      <c r="O15" s="33"/>
      <c r="P15" s="33"/>
      <c r="R15" s="32"/>
    </row>
    <row r="16" spans="1:18">
      <c r="A16" s="16" t="s">
        <v>473</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17738.270712530939</v>
      </c>
      <c r="C18" s="21">
        <f>C5+C16</f>
        <v>0</v>
      </c>
      <c r="D18" s="21">
        <f>MAX((D5+D16),0)</f>
        <v>20486.297351421403</v>
      </c>
      <c r="E18" s="21">
        <f>MAX((E5+E16),0)</f>
        <v>317.73151504875972</v>
      </c>
      <c r="F18" s="21">
        <f>MAX((F5+F16),0)</f>
        <v>5237.9012477064289</v>
      </c>
      <c r="G18" s="21"/>
      <c r="H18" s="21"/>
      <c r="I18" s="21"/>
      <c r="J18" s="21">
        <f>MAX((J5+J16),0)</f>
        <v>16.210451255740338</v>
      </c>
      <c r="K18" s="21"/>
      <c r="L18" s="21">
        <f>MAX((L5+L16),0)</f>
        <v>0</v>
      </c>
      <c r="M18" s="21"/>
      <c r="N18" s="21">
        <f>MAX((N5+N16),0)</f>
        <v>561.11839464210743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0.16524485596356239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2931.1579889348523</v>
      </c>
      <c r="C22" s="23">
        <f ca="1">C18*C20</f>
        <v>0</v>
      </c>
      <c r="D22" s="23">
        <f>D18*D20</f>
        <v>4138.2320649871235</v>
      </c>
      <c r="E22" s="23">
        <f>E18*E20</f>
        <v>72.125053916068453</v>
      </c>
      <c r="F22" s="23">
        <f>F18*F20</f>
        <v>1398.5196331376167</v>
      </c>
      <c r="G22" s="23"/>
      <c r="H22" s="23"/>
      <c r="I22" s="23"/>
      <c r="J22" s="23">
        <f>J18*J20</f>
        <v>5.7384997445320796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2842.0533103152802</v>
      </c>
      <c r="C30" s="39">
        <f>IF(ISERROR(B30*3.6/1000000/'E Balans VL '!Z18*100),0,B30*3.6/1000000/'E Balans VL '!Z18*100)</f>
        <v>0.16482095574239128</v>
      </c>
      <c r="D30" s="232" t="s">
        <v>700</v>
      </c>
    </row>
    <row r="31" spans="1:18">
      <c r="A31" s="6" t="s">
        <v>32</v>
      </c>
      <c r="B31" s="37">
        <f>IF( ISERROR(IND_ander_ele_kWh/1000),0,IND_ander_ele_kWh/1000)</f>
        <v>5886.8406310660303</v>
      </c>
      <c r="C31" s="39">
        <f>IF(ISERROR(B31*3.6/1000000/'E Balans VL '!Z19*100),0,B31*3.6/1000000/'E Balans VL '!Z19*100)</f>
        <v>0.24585661742137671</v>
      </c>
      <c r="D31" s="232" t="s">
        <v>700</v>
      </c>
    </row>
    <row r="32" spans="1:18">
      <c r="A32" s="167" t="s">
        <v>40</v>
      </c>
      <c r="B32" s="37">
        <f>IF( ISERROR(IND_voed_ele_kWh/1000),0,IND_voed_ele_kWh/1000)</f>
        <v>4215.4700198975997</v>
      </c>
      <c r="C32" s="39">
        <f>IF(ISERROR(B32*3.6/1000000/'E Balans VL '!Z20*100),0,B32*3.6/1000000/'E Balans VL '!Z20*100)</f>
        <v>0.13074727059754265</v>
      </c>
      <c r="D32" s="232" t="s">
        <v>700</v>
      </c>
    </row>
    <row r="33" spans="1:5">
      <c r="A33" s="167" t="s">
        <v>39</v>
      </c>
      <c r="B33" s="37">
        <f>IF( ISERROR(IND_textiel_ele_kWh/1000),0,IND_textiel_ele_kWh/1000)</f>
        <v>21.507770702831898</v>
      </c>
      <c r="C33" s="39">
        <f>IF(ISERROR(B33*3.6/1000000/'E Balans VL '!Z21*100),0,B33*3.6/1000000/'E Balans VL '!Z21*100)</f>
        <v>2.9809952107116354E-3</v>
      </c>
      <c r="D33" s="232" t="s">
        <v>700</v>
      </c>
    </row>
    <row r="34" spans="1:5">
      <c r="A34" s="167" t="s">
        <v>36</v>
      </c>
      <c r="B34" s="37">
        <f>IF( ISERROR(IND_min_ele_kWh/1000),0,IND_min_ele_kWh/1000)</f>
        <v>62.288709104810998</v>
      </c>
      <c r="C34" s="39">
        <f>IF(ISERROR(B34*3.6/1000000/'E Balans VL '!Z22*100),0,B34*3.6/1000000/'E Balans VL '!Z22*100)</f>
        <v>1.1656227087013473E-2</v>
      </c>
      <c r="D34" s="232" t="s">
        <v>700</v>
      </c>
    </row>
    <row r="35" spans="1:5">
      <c r="A35" s="167" t="s">
        <v>38</v>
      </c>
      <c r="B35" s="37">
        <f>IF( ISERROR(IND_papier_ele_kWh/1000),0,IND_papier_ele_kWh/1000)</f>
        <v>143.75078413946002</v>
      </c>
      <c r="C35" s="39">
        <f>IF(ISERROR(B35*3.6/1000000/'E Balans VL '!Z22*100),0,B35*3.6/1000000/'E Balans VL '!Z22*100)</f>
        <v>2.6900409527613453E-2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4566.3594873049296</v>
      </c>
      <c r="C37" s="39">
        <f>IF(ISERROR(B37*3.6/1000000/'E Balans VL '!Z15*100),0,B37*3.6/1000000/'E Balans VL '!Z15*100)</f>
        <v>3.5603628995650158E-2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4297.5456574948612</v>
      </c>
      <c r="C5" s="17">
        <f>'Eigen informatie GS &amp; warmtenet'!B60</f>
        <v>0</v>
      </c>
      <c r="D5" s="30">
        <f>IF(ISERROR(SUM(LB_lb_gas_kWh,LB_rest_gas_kWh)/1000),0,SUM(LB_lb_gas_kWh,LB_rest_gas_kWh)/1000)*0.902</f>
        <v>242.65151473891333</v>
      </c>
      <c r="E5" s="17">
        <f>B17*'E Balans VL '!I25/3.6*1000000/100</f>
        <v>139.46948375469373</v>
      </c>
      <c r="F5" s="17">
        <f>B17*('E Balans VL '!L25/3.6*1000000+'E Balans VL '!N25/3.6*1000000)/100</f>
        <v>15854.479856101656</v>
      </c>
      <c r="G5" s="18"/>
      <c r="H5" s="17"/>
      <c r="I5" s="17"/>
      <c r="J5" s="17">
        <f>('E Balans VL '!D25+'E Balans VL '!E25)/3.6*1000000*landbouw!B17/100</f>
        <v>1130.2100769959293</v>
      </c>
      <c r="K5" s="17"/>
      <c r="L5" s="17">
        <f>L6*(-1)</f>
        <v>0</v>
      </c>
      <c r="M5" s="17"/>
      <c r="N5" s="17">
        <f>N6*(-1)</f>
        <v>31856.142857142859</v>
      </c>
      <c r="O5" s="17"/>
      <c r="P5" s="17"/>
      <c r="R5" s="32"/>
    </row>
    <row r="6" spans="1:18">
      <c r="A6" s="16" t="s">
        <v>473</v>
      </c>
      <c r="B6" s="17" t="s">
        <v>204</v>
      </c>
      <c r="C6" s="17">
        <f>'lokale energieproductie'!O41+'lokale energieproductie'!O34</f>
        <v>15928.071428571429</v>
      </c>
      <c r="D6" s="300">
        <f>('lokale energieproductie'!P34+'lokale energieproductie'!P41)*(-1)</f>
        <v>0</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-31856.142857142859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4297.5456574948612</v>
      </c>
      <c r="C8" s="21">
        <f>C5+C6</f>
        <v>15928.071428571429</v>
      </c>
      <c r="D8" s="21">
        <f>MAX((D5+D6),0)</f>
        <v>242.65151473891333</v>
      </c>
      <c r="E8" s="21">
        <f>MAX((E5+E6),0)</f>
        <v>139.46948375469373</v>
      </c>
      <c r="F8" s="21">
        <f>MAX((F5+F6),0)</f>
        <v>15854.479856101656</v>
      </c>
      <c r="G8" s="21"/>
      <c r="H8" s="21"/>
      <c r="I8" s="21"/>
      <c r="J8" s="21">
        <f>MAX((J5+J6),0)</f>
        <v>1130.2100769959293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0.16524485596356239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710.14731316957136</v>
      </c>
      <c r="C12" s="23">
        <f ca="1">C8*C10</f>
        <v>0</v>
      </c>
      <c r="D12" s="23">
        <f>D8*D10</f>
        <v>49.015605977260499</v>
      </c>
      <c r="E12" s="23">
        <f>E8*E10</f>
        <v>31.659572812315478</v>
      </c>
      <c r="F12" s="23">
        <f>F8*F10</f>
        <v>4233.1461215791423</v>
      </c>
      <c r="G12" s="23"/>
      <c r="H12" s="23"/>
      <c r="I12" s="23"/>
      <c r="J12" s="23">
        <f>J8*J10</f>
        <v>400.09436725655894</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0.60983521193682755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1060.5000021883293</v>
      </c>
      <c r="C26" s="242">
        <f>B26*'GWP N2O_CH4'!B5</f>
        <v>22270.500045954916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433.63981146913102</v>
      </c>
      <c r="C27" s="242">
        <f>B27*'GWP N2O_CH4'!B5</f>
        <v>9106.4360408517514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14.26851647766409</v>
      </c>
      <c r="C28" s="242">
        <f>B28*'GWP N2O_CH4'!B4</f>
        <v>4423.2401080758682</v>
      </c>
      <c r="D28" s="50"/>
    </row>
    <row r="29" spans="1:4">
      <c r="A29" s="41" t="s">
        <v>265</v>
      </c>
      <c r="B29" s="242">
        <f>B34*'ha_N2O bodem landbouw'!B4</f>
        <v>30.394487520252017</v>
      </c>
      <c r="C29" s="242">
        <f>B29*'GWP N2O_CH4'!B4</f>
        <v>9422.2911312781252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6.9359173080577579E-3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5.305713877528592E-4</v>
      </c>
      <c r="C5" s="427" t="s">
        <v>204</v>
      </c>
      <c r="D5" s="412">
        <f>SUM(D6:D11)</f>
        <v>7.9156703346976219E-4</v>
      </c>
      <c r="E5" s="412">
        <f>SUM(E6:E11)</f>
        <v>1.5633172387620356E-3</v>
      </c>
      <c r="F5" s="425" t="s">
        <v>204</v>
      </c>
      <c r="G5" s="412">
        <f>SUM(G6:G11)</f>
        <v>0.78118191661721925</v>
      </c>
      <c r="H5" s="412">
        <f>SUM(H6:H11)</f>
        <v>0.14082417177709303</v>
      </c>
      <c r="I5" s="427" t="s">
        <v>204</v>
      </c>
      <c r="J5" s="427" t="s">
        <v>204</v>
      </c>
      <c r="K5" s="427" t="s">
        <v>204</v>
      </c>
      <c r="L5" s="427" t="s">
        <v>204</v>
      </c>
      <c r="M5" s="412">
        <f>SUM(M6:M11)</f>
        <v>4.9786754325950699E-2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1.0164885798851903E-4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1.7175216417561191E-4</v>
      </c>
      <c r="E6" s="818">
        <f>vkm_GW_PW*SUMIFS(TableVerdeelsleutelVkm[LPG],TableVerdeelsleutelVkm[Voertuigtype],"Lichte voertuigen")*SUMIFS(TableECFTransport[EnergieConsumptieFactor (PJ per km)],TableECFTransport[Index],CONCATENATE($A6,"_LPG_LPG"))</f>
        <v>2.9855687986913372E-4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9.0424960891594894E-2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2.9778598511192196E-2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6.1598268429407113E-3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1.5345024175406195E-6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4.928858710670489E-2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9.8335248103625351E-7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2.879717783711243E-3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5.9805841176216499E-5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1.2937708516336219E-4</v>
      </c>
      <c r="E8" s="415">
        <f>vkm_NGW_PW*SUMIFS(TableVerdeelsleutelVkm[LPG],TableVerdeelsleutelVkm[Voertuigtype],"Lichte voertuigen")*SUMIFS(TableECFTransport[EnergieConsumptieFactor (PJ per km)],TableECFTransport[Index],CONCATENATE($A8,"_LPG_LPG"))</f>
        <v>2.1469979350995186E-4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6.0729835387498134E-2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2.1913860588485178E-2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4.1933333020723867E-3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7.4609595720056892E-7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3.0748401638120842E-2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5.7710225838357917E-7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1.7964943094691157E-3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3.5825684624712451E-4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4.9043778413078811E-4</v>
      </c>
      <c r="E10" s="415">
        <f>vkm_SW_PW*SUMIFS(TableVerdeelsleutelVkm[LPG],TableVerdeelsleutelVkm[Voertuigtype],"Lichte voertuigen")*SUMIFS(TableECFTransport[EnergieConsumptieFactor (PJ per km)],TableECFTransport[Index],CONCATENATE($A10,"_LPG_LPG"))</f>
        <v>1.0500605653829501E-3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0.28751674621321782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8.9124493464979776E-2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1.9422191273037234E-2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8.5792439662579914E-6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0.26247338538008269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5.6587576964503621E-6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1.533519081472001E-2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147.38094104246088</v>
      </c>
      <c r="C14" s="21"/>
      <c r="D14" s="21">
        <f t="shared" ref="D14:M14" si="0">((D5)*10^9/3600)+D12</f>
        <v>219.8797315193784</v>
      </c>
      <c r="E14" s="21">
        <f t="shared" si="0"/>
        <v>434.25478854500989</v>
      </c>
      <c r="F14" s="21"/>
      <c r="G14" s="21">
        <f t="shared" si="0"/>
        <v>216994.97683811645</v>
      </c>
      <c r="H14" s="21">
        <f t="shared" si="0"/>
        <v>39117.825493636949</v>
      </c>
      <c r="I14" s="21"/>
      <c r="J14" s="21"/>
      <c r="K14" s="21"/>
      <c r="L14" s="21"/>
      <c r="M14" s="21">
        <f t="shared" si="0"/>
        <v>13829.65397943075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0.16524485596356239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24.353942374335727</v>
      </c>
      <c r="C18" s="23"/>
      <c r="D18" s="23">
        <f t="shared" ref="D18:M18" si="1">D14*D16</f>
        <v>44.415705766914442</v>
      </c>
      <c r="E18" s="23">
        <f t="shared" si="1"/>
        <v>98.575836999717254</v>
      </c>
      <c r="F18" s="23"/>
      <c r="G18" s="23">
        <f t="shared" si="1"/>
        <v>57937.658815777097</v>
      </c>
      <c r="H18" s="23">
        <f t="shared" si="1"/>
        <v>9740.3385479156004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3.7409089864871906E-5</v>
      </c>
      <c r="C50" s="311">
        <f t="shared" ref="C50:P50" si="2">SUM(C51:C52)</f>
        <v>0</v>
      </c>
      <c r="D50" s="311">
        <f t="shared" si="2"/>
        <v>0</v>
      </c>
      <c r="E50" s="311">
        <f t="shared" si="2"/>
        <v>0</v>
      </c>
      <c r="F50" s="311">
        <f t="shared" si="2"/>
        <v>0</v>
      </c>
      <c r="G50" s="311">
        <f t="shared" si="2"/>
        <v>3.5142127390354861E-3</v>
      </c>
      <c r="H50" s="311">
        <f t="shared" si="2"/>
        <v>0</v>
      </c>
      <c r="I50" s="311">
        <f t="shared" si="2"/>
        <v>0</v>
      </c>
      <c r="J50" s="311">
        <f t="shared" si="2"/>
        <v>0</v>
      </c>
      <c r="K50" s="311">
        <f t="shared" si="2"/>
        <v>0</v>
      </c>
      <c r="L50" s="311">
        <f t="shared" si="2"/>
        <v>0</v>
      </c>
      <c r="M50" s="311">
        <f t="shared" si="2"/>
        <v>2.02372960271624E-4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3.7409089864871906E-5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3.5142127390354861E-3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2.02372960271624E-4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10.391413851353308</v>
      </c>
      <c r="C54" s="21">
        <f t="shared" ref="C54:P54" si="3">(C50)*10^9/3600</f>
        <v>0</v>
      </c>
      <c r="D54" s="21">
        <f t="shared" si="3"/>
        <v>0</v>
      </c>
      <c r="E54" s="21">
        <f t="shared" si="3"/>
        <v>0</v>
      </c>
      <c r="F54" s="21">
        <f t="shared" si="3"/>
        <v>0</v>
      </c>
      <c r="G54" s="21">
        <f t="shared" si="3"/>
        <v>976.1702052876351</v>
      </c>
      <c r="H54" s="21">
        <f t="shared" si="3"/>
        <v>0</v>
      </c>
      <c r="I54" s="21">
        <f t="shared" si="3"/>
        <v>0</v>
      </c>
      <c r="J54" s="21">
        <f t="shared" si="3"/>
        <v>0</v>
      </c>
      <c r="K54" s="21">
        <f t="shared" si="3"/>
        <v>0</v>
      </c>
      <c r="L54" s="21">
        <f t="shared" si="3"/>
        <v>0</v>
      </c>
      <c r="M54" s="21">
        <f t="shared" si="3"/>
        <v>56.214711186562226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0.16524485596356239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1.7171276851246444</v>
      </c>
      <c r="C58" s="23">
        <f t="shared" ref="C58:P58" ca="1" si="4">C54*C56</f>
        <v>0</v>
      </c>
      <c r="D58" s="23">
        <f t="shared" si="4"/>
        <v>0</v>
      </c>
      <c r="E58" s="23">
        <f t="shared" si="4"/>
        <v>0</v>
      </c>
      <c r="F58" s="23">
        <f t="shared" si="4"/>
        <v>0</v>
      </c>
      <c r="G58" s="23">
        <f t="shared" si="4"/>
        <v>260.63744481179856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70" zoomScaleNormal="70"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6905.4544372482414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N31</f>
        <v>11149.65</v>
      </c>
      <c r="C8" s="534">
        <f>B50</f>
        <v>0</v>
      </c>
      <c r="D8" s="962"/>
      <c r="E8" s="962">
        <f>E50</f>
        <v>0</v>
      </c>
      <c r="F8" s="963"/>
      <c r="G8" s="535"/>
      <c r="H8" s="962">
        <f>I50</f>
        <v>0</v>
      </c>
      <c r="I8" s="962">
        <f>G50+F50</f>
        <v>0</v>
      </c>
      <c r="J8" s="962">
        <f>H50+D50+C50</f>
        <v>13117.235294117647</v>
      </c>
      <c r="K8" s="962"/>
      <c r="L8" s="962"/>
      <c r="M8" s="962"/>
      <c r="N8" s="536"/>
      <c r="O8" s="537">
        <f>C8*$C$12+D8*$D$12+E8*$E$12+F8*$F$12+G8*$G$12+H8*$H$12+I8*$I$12+J8*$J$12</f>
        <v>0</v>
      </c>
      <c r="P8" s="1180"/>
      <c r="Q8" s="1181"/>
      <c r="S8" s="925"/>
      <c r="T8" s="1217"/>
      <c r="U8" s="1217"/>
    </row>
    <row r="9" spans="1:21" s="523" customFormat="1" ht="17.45" customHeight="1" thickBot="1">
      <c r="A9" s="538" t="s">
        <v>236</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18055.104437248243</v>
      </c>
      <c r="C10" s="547">
        <f t="shared" ref="C10:L10" si="0">SUM(C8:C9)</f>
        <v>0</v>
      </c>
      <c r="D10" s="547">
        <f t="shared" si="0"/>
        <v>0</v>
      </c>
      <c r="E10" s="547">
        <f t="shared" si="0"/>
        <v>0</v>
      </c>
      <c r="F10" s="547">
        <f t="shared" si="0"/>
        <v>0</v>
      </c>
      <c r="G10" s="547">
        <f t="shared" si="0"/>
        <v>0</v>
      </c>
      <c r="H10" s="547">
        <f t="shared" si="0"/>
        <v>0</v>
      </c>
      <c r="I10" s="547">
        <f t="shared" si="0"/>
        <v>0</v>
      </c>
      <c r="J10" s="547">
        <f t="shared" si="0"/>
        <v>13117.235294117647</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O31</f>
        <v>15928.071428571429</v>
      </c>
      <c r="C17" s="559">
        <f>B51</f>
        <v>0</v>
      </c>
      <c r="D17" s="560"/>
      <c r="E17" s="560">
        <f>E51</f>
        <v>0</v>
      </c>
      <c r="F17" s="968"/>
      <c r="G17" s="561"/>
      <c r="H17" s="559">
        <f>I51</f>
        <v>0</v>
      </c>
      <c r="I17" s="560">
        <f>G51+F51</f>
        <v>0</v>
      </c>
      <c r="J17" s="560">
        <f>H51+D51+C51</f>
        <v>18738.907563025212</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15928.071428571429</v>
      </c>
      <c r="C20" s="546">
        <f>SUM(C17:C19)</f>
        <v>0</v>
      </c>
      <c r="D20" s="546">
        <f t="shared" ref="D20:L20" si="1">SUM(D17:D19)</f>
        <v>0</v>
      </c>
      <c r="E20" s="546">
        <f t="shared" si="1"/>
        <v>0</v>
      </c>
      <c r="F20" s="546">
        <f t="shared" si="1"/>
        <v>0</v>
      </c>
      <c r="G20" s="546">
        <f t="shared" si="1"/>
        <v>0</v>
      </c>
      <c r="H20" s="546">
        <f t="shared" si="1"/>
        <v>0</v>
      </c>
      <c r="I20" s="546">
        <f t="shared" si="1"/>
        <v>0</v>
      </c>
      <c r="J20" s="546">
        <f t="shared" si="1"/>
        <v>18738.907563025212</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31003</v>
      </c>
      <c r="C28" s="724">
        <v>8730</v>
      </c>
      <c r="D28" s="617"/>
      <c r="E28" s="616"/>
      <c r="F28" s="616"/>
      <c r="G28" s="616" t="s">
        <v>878</v>
      </c>
      <c r="H28" s="616" t="s">
        <v>879</v>
      </c>
      <c r="I28" s="616"/>
      <c r="J28" s="723"/>
      <c r="K28" s="723"/>
      <c r="L28" s="616" t="s">
        <v>880</v>
      </c>
      <c r="M28" s="616">
        <v>2461</v>
      </c>
      <c r="N28" s="616">
        <v>11074.5</v>
      </c>
      <c r="O28" s="616">
        <v>15820.714285714286</v>
      </c>
      <c r="P28" s="616">
        <v>0</v>
      </c>
      <c r="Q28" s="616">
        <v>31641.428571428572</v>
      </c>
      <c r="R28" s="616">
        <v>0</v>
      </c>
      <c r="S28" s="616">
        <v>0</v>
      </c>
      <c r="T28" s="616">
        <v>0</v>
      </c>
      <c r="U28" s="616">
        <v>0</v>
      </c>
      <c r="V28" s="616">
        <v>0</v>
      </c>
      <c r="W28" s="616">
        <v>0</v>
      </c>
      <c r="X28" s="616"/>
      <c r="Y28" s="616">
        <v>10</v>
      </c>
      <c r="Z28" s="616" t="s">
        <v>105</v>
      </c>
      <c r="AA28" s="618" t="s">
        <v>105</v>
      </c>
    </row>
    <row r="29" spans="1:27" s="570" customFormat="1" ht="25.5" hidden="1">
      <c r="A29" s="569"/>
      <c r="B29" s="724">
        <v>31003</v>
      </c>
      <c r="C29" s="724">
        <v>8730</v>
      </c>
      <c r="D29" s="617"/>
      <c r="E29" s="616"/>
      <c r="F29" s="616"/>
      <c r="G29" s="616" t="s">
        <v>878</v>
      </c>
      <c r="H29" s="616" t="s">
        <v>879</v>
      </c>
      <c r="I29" s="616"/>
      <c r="J29" s="723"/>
      <c r="K29" s="723"/>
      <c r="L29" s="616" t="s">
        <v>880</v>
      </c>
      <c r="M29" s="616">
        <v>7</v>
      </c>
      <c r="N29" s="616">
        <v>31.5</v>
      </c>
      <c r="O29" s="616">
        <v>45</v>
      </c>
      <c r="P29" s="616">
        <v>0</v>
      </c>
      <c r="Q29" s="616">
        <v>90</v>
      </c>
      <c r="R29" s="616">
        <v>0</v>
      </c>
      <c r="S29" s="616">
        <v>0</v>
      </c>
      <c r="T29" s="616">
        <v>0</v>
      </c>
      <c r="U29" s="616">
        <v>0</v>
      </c>
      <c r="V29" s="616">
        <v>0</v>
      </c>
      <c r="W29" s="616">
        <v>0</v>
      </c>
      <c r="X29" s="616"/>
      <c r="Y29" s="616">
        <v>10</v>
      </c>
      <c r="Z29" s="616" t="s">
        <v>105</v>
      </c>
      <c r="AA29" s="618" t="s">
        <v>105</v>
      </c>
    </row>
    <row r="30" spans="1:27" s="570" customFormat="1" ht="25.5" hidden="1">
      <c r="A30" s="569"/>
      <c r="B30" s="724">
        <v>31003</v>
      </c>
      <c r="C30" s="724">
        <v>8730</v>
      </c>
      <c r="D30" s="617"/>
      <c r="E30" s="616"/>
      <c r="F30" s="616"/>
      <c r="G30" s="616" t="s">
        <v>878</v>
      </c>
      <c r="H30" s="616" t="s">
        <v>879</v>
      </c>
      <c r="I30" s="616"/>
      <c r="J30" s="723"/>
      <c r="K30" s="723"/>
      <c r="L30" s="616" t="s">
        <v>880</v>
      </c>
      <c r="M30" s="616">
        <v>9.6999999999999993</v>
      </c>
      <c r="N30" s="616">
        <v>43.649999999999991</v>
      </c>
      <c r="O30" s="616">
        <v>62.357142857142847</v>
      </c>
      <c r="P30" s="616">
        <v>0</v>
      </c>
      <c r="Q30" s="616">
        <v>124.71428571428569</v>
      </c>
      <c r="R30" s="616">
        <v>0</v>
      </c>
      <c r="S30" s="616">
        <v>0</v>
      </c>
      <c r="T30" s="616">
        <v>0</v>
      </c>
      <c r="U30" s="616">
        <v>0</v>
      </c>
      <c r="V30" s="616">
        <v>0</v>
      </c>
      <c r="W30" s="616">
        <v>0</v>
      </c>
      <c r="X30" s="616"/>
      <c r="Y30" s="616">
        <v>10</v>
      </c>
      <c r="Z30" s="616" t="s">
        <v>105</v>
      </c>
      <c r="AA30" s="618" t="s">
        <v>105</v>
      </c>
    </row>
    <row r="31" spans="1:27" s="554" customFormat="1" hidden="1">
      <c r="A31" s="572" t="s">
        <v>268</v>
      </c>
      <c r="B31" s="573"/>
      <c r="C31" s="573"/>
      <c r="D31" s="573"/>
      <c r="E31" s="573"/>
      <c r="F31" s="573"/>
      <c r="G31" s="573"/>
      <c r="H31" s="573"/>
      <c r="I31" s="573"/>
      <c r="J31" s="573"/>
      <c r="K31" s="573"/>
      <c r="L31" s="574"/>
      <c r="M31" s="574">
        <f>SUM(M28:M30)</f>
        <v>2477.6999999999998</v>
      </c>
      <c r="N31" s="574">
        <f>SUM(N28:N30)</f>
        <v>11149.65</v>
      </c>
      <c r="O31" s="574">
        <f>SUM(O28:O30)</f>
        <v>15928.071428571429</v>
      </c>
      <c r="P31" s="574">
        <f>SUM(P28:P30)</f>
        <v>0</v>
      </c>
      <c r="Q31" s="574">
        <f>SUM(Q28:Q30)</f>
        <v>31856.142857142859</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275</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276</v>
      </c>
      <c r="B33" s="573"/>
      <c r="C33" s="573"/>
      <c r="D33" s="573"/>
      <c r="E33" s="573"/>
      <c r="F33" s="573"/>
      <c r="G33" s="573"/>
      <c r="H33" s="573"/>
      <c r="I33" s="573"/>
      <c r="J33" s="573"/>
      <c r="K33" s="573"/>
      <c r="L33" s="574"/>
      <c r="M33" s="574">
        <f ca="1">SUMIF($AA$28:AD30,"tertiair",M28:M30)</f>
        <v>0</v>
      </c>
      <c r="N33" s="574">
        <f ca="1">SUMIF($AA$28:AE30,"tertiair",N28:N30)</f>
        <v>0</v>
      </c>
      <c r="O33" s="574">
        <f ca="1">SUMIF($AA$28:AF30,"tertiair",O28:O30)</f>
        <v>0</v>
      </c>
      <c r="P33" s="574">
        <f ca="1">SUMIF($AA$28:AG30,"tertiair",P28:P30)</f>
        <v>0</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277</v>
      </c>
      <c r="B34" s="578"/>
      <c r="C34" s="578"/>
      <c r="D34" s="578"/>
      <c r="E34" s="578"/>
      <c r="F34" s="578"/>
      <c r="G34" s="578"/>
      <c r="H34" s="578"/>
      <c r="I34" s="578"/>
      <c r="J34" s="578"/>
      <c r="K34" s="578"/>
      <c r="L34" s="579"/>
      <c r="M34" s="579">
        <f>SUMIF($AA$28:$AA$30,"landbouw",M28:M30)</f>
        <v>2477.6999999999998</v>
      </c>
      <c r="N34" s="579">
        <f>SUMIF($AA$28:$AA$30,"landbouw",N28:N30)</f>
        <v>11149.65</v>
      </c>
      <c r="O34" s="579">
        <f>SUMIF($AA$28:$AA$30,"landbouw",O28:O30)</f>
        <v>15928.071428571429</v>
      </c>
      <c r="P34" s="579">
        <f>SUMIF($AA$28:$AA$30,"landbouw",P28:P30)</f>
        <v>0</v>
      </c>
      <c r="Q34" s="579">
        <f>SUMIF($AA$28:$AA$30,"landbouw",Q28:Q30)</f>
        <v>31856.142857142859</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269</v>
      </c>
      <c r="B36" s="613" t="s">
        <v>89</v>
      </c>
      <c r="C36" s="613" t="s">
        <v>90</v>
      </c>
      <c r="D36" s="613"/>
      <c r="E36" s="613"/>
      <c r="F36" s="613"/>
      <c r="G36" s="613" t="s">
        <v>91</v>
      </c>
      <c r="H36" s="613" t="s">
        <v>92</v>
      </c>
      <c r="I36" s="613"/>
      <c r="J36" s="613"/>
      <c r="K36" s="613"/>
      <c r="L36" s="613" t="s">
        <v>93</v>
      </c>
      <c r="M36" s="614" t="s">
        <v>286</v>
      </c>
      <c r="N36" s="614" t="s">
        <v>94</v>
      </c>
      <c r="O36" s="614" t="s">
        <v>95</v>
      </c>
      <c r="P36" s="614" t="s">
        <v>518</v>
      </c>
      <c r="Q36" s="614" t="s">
        <v>96</v>
      </c>
      <c r="R36" s="614" t="s">
        <v>97</v>
      </c>
      <c r="S36" s="614" t="s">
        <v>98</v>
      </c>
      <c r="T36" s="614" t="s">
        <v>99</v>
      </c>
      <c r="U36" s="614" t="s">
        <v>100</v>
      </c>
      <c r="V36" s="614" t="s">
        <v>101</v>
      </c>
      <c r="W36" s="613" t="s">
        <v>102</v>
      </c>
      <c r="X36" s="613" t="s">
        <v>877</v>
      </c>
      <c r="Y36" s="613" t="s">
        <v>287</v>
      </c>
      <c r="Z36" s="613" t="s">
        <v>103</v>
      </c>
      <c r="AA36" s="615" t="s">
        <v>288</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268</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275</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276</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277</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270</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271</v>
      </c>
      <c r="C46" s="596" t="s">
        <v>272</v>
      </c>
      <c r="D46" s="596"/>
      <c r="E46" s="596"/>
      <c r="F46" s="596"/>
      <c r="G46" s="596"/>
      <c r="H46" s="596"/>
      <c r="I46" s="597"/>
      <c r="J46" s="596"/>
      <c r="K46" s="596"/>
      <c r="L46" s="596"/>
      <c r="M46" s="596"/>
      <c r="N46" s="596"/>
      <c r="O46" s="596"/>
      <c r="P46" s="591"/>
    </row>
    <row r="47" spans="1:28">
      <c r="A47" s="593" t="s">
        <v>268</v>
      </c>
      <c r="B47" s="598">
        <f>IF(ISERROR(O31/(O31+N31)),0,O31/(O31+N31))</f>
        <v>0.58823529411764708</v>
      </c>
      <c r="C47" s="599">
        <f>IF(ISERROR(N31/(O31+N31)),0,N31/(N31+O31))</f>
        <v>0.41176470588235292</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518</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273</v>
      </c>
      <c r="B50" s="608">
        <f t="shared" ref="B50:I50" si="2">$C$47*P31</f>
        <v>0</v>
      </c>
      <c r="C50" s="608">
        <f t="shared" si="2"/>
        <v>13117.235294117647</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274</v>
      </c>
      <c r="B51" s="611">
        <f t="shared" ref="B51:I51" si="3">$B$47*P31</f>
        <v>0</v>
      </c>
      <c r="C51" s="611">
        <f t="shared" si="3"/>
        <v>18738.907563025212</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19165.770997265256</v>
      </c>
      <c r="D10" s="931">
        <f ca="1">tertiair!C16</f>
        <v>0</v>
      </c>
      <c r="E10" s="931">
        <f ca="1">tertiair!D16</f>
        <v>42605.038668615016</v>
      </c>
      <c r="F10" s="931">
        <f>tertiair!E16</f>
        <v>275.90087904704205</v>
      </c>
      <c r="G10" s="931">
        <f ca="1">tertiair!F16</f>
        <v>4454.5210244227437</v>
      </c>
      <c r="H10" s="931">
        <f>tertiair!G16</f>
        <v>0</v>
      </c>
      <c r="I10" s="931">
        <f>tertiair!H16</f>
        <v>0</v>
      </c>
      <c r="J10" s="931">
        <f>tertiair!I16</f>
        <v>0</v>
      </c>
      <c r="K10" s="931">
        <f>tertiair!J16</f>
        <v>5.4184932943648373E-2</v>
      </c>
      <c r="L10" s="931">
        <f>tertiair!K16</f>
        <v>0</v>
      </c>
      <c r="M10" s="931">
        <f ca="1">tertiair!L16</f>
        <v>0</v>
      </c>
      <c r="N10" s="931">
        <f>tertiair!M16</f>
        <v>0</v>
      </c>
      <c r="O10" s="931">
        <f ca="1">tertiair!N16</f>
        <v>2139.2541374321659</v>
      </c>
      <c r="P10" s="931">
        <f>tertiair!O16</f>
        <v>10.943333333333335</v>
      </c>
      <c r="Q10" s="932">
        <f>tertiair!P16</f>
        <v>38.133333333333333</v>
      </c>
      <c r="R10" s="628">
        <f ca="1">SUM(C10:Q10)</f>
        <v>68689.616558381822</v>
      </c>
      <c r="S10" s="67"/>
    </row>
    <row r="11" spans="1:19" s="437" customFormat="1">
      <c r="A11" s="736" t="s">
        <v>213</v>
      </c>
      <c r="B11" s="741"/>
      <c r="C11" s="931">
        <f>huishoudens!B8</f>
        <v>29111.383330671888</v>
      </c>
      <c r="D11" s="931">
        <f>huishoudens!C8</f>
        <v>0</v>
      </c>
      <c r="E11" s="931">
        <f>huishoudens!D8</f>
        <v>48654.252711610046</v>
      </c>
      <c r="F11" s="931">
        <f>huishoudens!E8</f>
        <v>1663.4554596703672</v>
      </c>
      <c r="G11" s="931">
        <f>huishoudens!F8</f>
        <v>38557.603359862289</v>
      </c>
      <c r="H11" s="931">
        <f>huishoudens!G8</f>
        <v>0</v>
      </c>
      <c r="I11" s="931">
        <f>huishoudens!H8</f>
        <v>0</v>
      </c>
      <c r="J11" s="931">
        <f>huishoudens!I8</f>
        <v>0</v>
      </c>
      <c r="K11" s="931">
        <f>huishoudens!J8</f>
        <v>198.15211744769886</v>
      </c>
      <c r="L11" s="931">
        <f>huishoudens!K8</f>
        <v>0</v>
      </c>
      <c r="M11" s="931">
        <f>huishoudens!L8</f>
        <v>0</v>
      </c>
      <c r="N11" s="931">
        <f>huishoudens!M8</f>
        <v>0</v>
      </c>
      <c r="O11" s="931">
        <f>huishoudens!N8</f>
        <v>9232.6735598660089</v>
      </c>
      <c r="P11" s="931">
        <f>huishoudens!O8</f>
        <v>540.91333333333341</v>
      </c>
      <c r="Q11" s="932">
        <f>huishoudens!P8</f>
        <v>1372.8</v>
      </c>
      <c r="R11" s="628">
        <f>SUM(C11:Q11)</f>
        <v>129331.23387246161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17738.270712530939</v>
      </c>
      <c r="D13" s="931">
        <f>industrie!C18</f>
        <v>0</v>
      </c>
      <c r="E13" s="931">
        <f>industrie!D18</f>
        <v>20486.297351421403</v>
      </c>
      <c r="F13" s="931">
        <f>industrie!E18</f>
        <v>317.73151504875972</v>
      </c>
      <c r="G13" s="931">
        <f>industrie!F18</f>
        <v>5237.9012477064289</v>
      </c>
      <c r="H13" s="931">
        <f>industrie!G18</f>
        <v>0</v>
      </c>
      <c r="I13" s="931">
        <f>industrie!H18</f>
        <v>0</v>
      </c>
      <c r="J13" s="931">
        <f>industrie!I18</f>
        <v>0</v>
      </c>
      <c r="K13" s="931">
        <f>industrie!J18</f>
        <v>16.210451255740338</v>
      </c>
      <c r="L13" s="931">
        <f>industrie!K18</f>
        <v>0</v>
      </c>
      <c r="M13" s="931">
        <f>industrie!L18</f>
        <v>0</v>
      </c>
      <c r="N13" s="931">
        <f>industrie!M18</f>
        <v>0</v>
      </c>
      <c r="O13" s="931">
        <f>industrie!N18</f>
        <v>561.11839464210743</v>
      </c>
      <c r="P13" s="931">
        <f>industrie!O18</f>
        <v>0</v>
      </c>
      <c r="Q13" s="932">
        <f>industrie!P18</f>
        <v>0</v>
      </c>
      <c r="R13" s="628">
        <f>SUM(C13:Q13)</f>
        <v>44357.529672605386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66015.425040468079</v>
      </c>
      <c r="D16" s="660">
        <f t="shared" ref="D16:R16" ca="1" si="0">SUM(D9:D15)</f>
        <v>0</v>
      </c>
      <c r="E16" s="660">
        <f t="shared" ca="1" si="0"/>
        <v>111745.58873164648</v>
      </c>
      <c r="F16" s="660">
        <f t="shared" si="0"/>
        <v>2257.0878537661688</v>
      </c>
      <c r="G16" s="660">
        <f t="shared" ca="1" si="0"/>
        <v>48250.025631991462</v>
      </c>
      <c r="H16" s="660">
        <f t="shared" si="0"/>
        <v>0</v>
      </c>
      <c r="I16" s="660">
        <f t="shared" si="0"/>
        <v>0</v>
      </c>
      <c r="J16" s="660">
        <f t="shared" si="0"/>
        <v>0</v>
      </c>
      <c r="K16" s="660">
        <f t="shared" si="0"/>
        <v>214.41675363638285</v>
      </c>
      <c r="L16" s="660">
        <f t="shared" si="0"/>
        <v>0</v>
      </c>
      <c r="M16" s="660">
        <f t="shared" ca="1" si="0"/>
        <v>0</v>
      </c>
      <c r="N16" s="660">
        <f t="shared" si="0"/>
        <v>0</v>
      </c>
      <c r="O16" s="660">
        <f t="shared" ca="1" si="0"/>
        <v>11933.046091940283</v>
      </c>
      <c r="P16" s="660">
        <f t="shared" si="0"/>
        <v>551.8566666666668</v>
      </c>
      <c r="Q16" s="660">
        <f t="shared" si="0"/>
        <v>1410.9333333333334</v>
      </c>
      <c r="R16" s="660">
        <f t="shared" ca="1" si="0"/>
        <v>242378.38010344881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10.391413851353308</v>
      </c>
      <c r="D19" s="931">
        <f>transport!C54</f>
        <v>0</v>
      </c>
      <c r="E19" s="931">
        <f>transport!D54</f>
        <v>0</v>
      </c>
      <c r="F19" s="931">
        <f>transport!E54</f>
        <v>0</v>
      </c>
      <c r="G19" s="931">
        <f>transport!F54</f>
        <v>0</v>
      </c>
      <c r="H19" s="931">
        <f>transport!G54</f>
        <v>976.1702052876351</v>
      </c>
      <c r="I19" s="931">
        <f>transport!H54</f>
        <v>0</v>
      </c>
      <c r="J19" s="931">
        <f>transport!I54</f>
        <v>0</v>
      </c>
      <c r="K19" s="931">
        <f>transport!J54</f>
        <v>0</v>
      </c>
      <c r="L19" s="931">
        <f>transport!K54</f>
        <v>0</v>
      </c>
      <c r="M19" s="931">
        <f>transport!L54</f>
        <v>0</v>
      </c>
      <c r="N19" s="931">
        <f>transport!M54</f>
        <v>56.214711186562226</v>
      </c>
      <c r="O19" s="931">
        <f>transport!N54</f>
        <v>0</v>
      </c>
      <c r="P19" s="931">
        <f>transport!O54</f>
        <v>0</v>
      </c>
      <c r="Q19" s="932">
        <f>transport!P54</f>
        <v>0</v>
      </c>
      <c r="R19" s="628">
        <f>SUM(C19:Q19)</f>
        <v>1042.7763303255506</v>
      </c>
      <c r="S19" s="67"/>
    </row>
    <row r="20" spans="1:19" s="437" customFormat="1">
      <c r="A20" s="736" t="s">
        <v>295</v>
      </c>
      <c r="B20" s="741"/>
      <c r="C20" s="931">
        <f>transport!B14</f>
        <v>147.38094104246088</v>
      </c>
      <c r="D20" s="931">
        <f>transport!C14</f>
        <v>0</v>
      </c>
      <c r="E20" s="931">
        <f>transport!D14</f>
        <v>219.8797315193784</v>
      </c>
      <c r="F20" s="931">
        <f>transport!E14</f>
        <v>434.25478854500989</v>
      </c>
      <c r="G20" s="931">
        <f>transport!F14</f>
        <v>0</v>
      </c>
      <c r="H20" s="931">
        <f>transport!G14</f>
        <v>216994.97683811645</v>
      </c>
      <c r="I20" s="931">
        <f>transport!H14</f>
        <v>39117.825493636949</v>
      </c>
      <c r="J20" s="931">
        <f>transport!I14</f>
        <v>0</v>
      </c>
      <c r="K20" s="931">
        <f>transport!J14</f>
        <v>0</v>
      </c>
      <c r="L20" s="931">
        <f>transport!K14</f>
        <v>0</v>
      </c>
      <c r="M20" s="931">
        <f>transport!L14</f>
        <v>0</v>
      </c>
      <c r="N20" s="931">
        <f>transport!M14</f>
        <v>13829.65397943075</v>
      </c>
      <c r="O20" s="931">
        <f>transport!N14</f>
        <v>0</v>
      </c>
      <c r="P20" s="931">
        <f>transport!O14</f>
        <v>0</v>
      </c>
      <c r="Q20" s="932">
        <f>transport!P14</f>
        <v>0</v>
      </c>
      <c r="R20" s="628">
        <f>SUM(C20:Q20)</f>
        <v>270743.971772291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157.7723548938142</v>
      </c>
      <c r="D22" s="739">
        <f t="shared" ref="D22:R22" si="1">SUM(D18:D21)</f>
        <v>0</v>
      </c>
      <c r="E22" s="739">
        <f t="shared" si="1"/>
        <v>219.8797315193784</v>
      </c>
      <c r="F22" s="739">
        <f t="shared" si="1"/>
        <v>434.25478854500989</v>
      </c>
      <c r="G22" s="739">
        <f t="shared" si="1"/>
        <v>0</v>
      </c>
      <c r="H22" s="739">
        <f t="shared" si="1"/>
        <v>217971.14704340408</v>
      </c>
      <c r="I22" s="739">
        <f t="shared" si="1"/>
        <v>39117.825493636949</v>
      </c>
      <c r="J22" s="739">
        <f t="shared" si="1"/>
        <v>0</v>
      </c>
      <c r="K22" s="739">
        <f t="shared" si="1"/>
        <v>0</v>
      </c>
      <c r="L22" s="739">
        <f t="shared" si="1"/>
        <v>0</v>
      </c>
      <c r="M22" s="739">
        <f t="shared" si="1"/>
        <v>0</v>
      </c>
      <c r="N22" s="739">
        <f t="shared" si="1"/>
        <v>13885.868690617312</v>
      </c>
      <c r="O22" s="739">
        <f t="shared" si="1"/>
        <v>0</v>
      </c>
      <c r="P22" s="739">
        <f t="shared" si="1"/>
        <v>0</v>
      </c>
      <c r="Q22" s="739">
        <f t="shared" si="1"/>
        <v>0</v>
      </c>
      <c r="R22" s="739">
        <f t="shared" si="1"/>
        <v>271786.74810261658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4297.5456574948612</v>
      </c>
      <c r="D24" s="931">
        <f>+landbouw!C8</f>
        <v>15928.071428571429</v>
      </c>
      <c r="E24" s="931">
        <f>+landbouw!D8</f>
        <v>242.65151473891333</v>
      </c>
      <c r="F24" s="931">
        <f>+landbouw!E8</f>
        <v>139.46948375469373</v>
      </c>
      <c r="G24" s="931">
        <f>+landbouw!F8</f>
        <v>15854.479856101656</v>
      </c>
      <c r="H24" s="931">
        <f>+landbouw!G8</f>
        <v>0</v>
      </c>
      <c r="I24" s="931">
        <f>+landbouw!H8</f>
        <v>0</v>
      </c>
      <c r="J24" s="931">
        <f>+landbouw!I8</f>
        <v>0</v>
      </c>
      <c r="K24" s="931">
        <f>+landbouw!J8</f>
        <v>1130.2100769959293</v>
      </c>
      <c r="L24" s="931">
        <f>+landbouw!K8</f>
        <v>0</v>
      </c>
      <c r="M24" s="931">
        <f>+landbouw!L8</f>
        <v>0</v>
      </c>
      <c r="N24" s="931">
        <f>+landbouw!M8</f>
        <v>0</v>
      </c>
      <c r="O24" s="931">
        <f>+landbouw!N8</f>
        <v>0</v>
      </c>
      <c r="P24" s="931">
        <f>+landbouw!O8</f>
        <v>0</v>
      </c>
      <c r="Q24" s="932">
        <f>+landbouw!P8</f>
        <v>0</v>
      </c>
      <c r="R24" s="628">
        <f>SUM(C24:Q24)</f>
        <v>37592.428017657483</v>
      </c>
      <c r="S24" s="67"/>
    </row>
    <row r="25" spans="1:19" s="437" customFormat="1" ht="15" thickBot="1">
      <c r="A25" s="758" t="s">
        <v>775</v>
      </c>
      <c r="B25" s="934"/>
      <c r="C25" s="935">
        <f>IF(Onbekend_ele_kWh="---",0,Onbekend_ele_kWh)/1000+IF(REST_rest_ele_kWh="---",0,REST_rest_ele_kWh)/1000</f>
        <v>1095.3545618165301</v>
      </c>
      <c r="D25" s="935"/>
      <c r="E25" s="935">
        <f>IF(onbekend_gas_kWh="---",0,onbekend_gas_kWh)/1000+IF(REST_rest_gas_kWh="---",0,REST_rest_gas_kWh)/1000</f>
        <v>2044.22163188284</v>
      </c>
      <c r="F25" s="935"/>
      <c r="G25" s="935"/>
      <c r="H25" s="935"/>
      <c r="I25" s="935"/>
      <c r="J25" s="935"/>
      <c r="K25" s="935"/>
      <c r="L25" s="935"/>
      <c r="M25" s="935"/>
      <c r="N25" s="935"/>
      <c r="O25" s="935"/>
      <c r="P25" s="935"/>
      <c r="Q25" s="936"/>
      <c r="R25" s="628">
        <f>SUM(C25:Q25)</f>
        <v>3139.5761936993704</v>
      </c>
      <c r="S25" s="67"/>
    </row>
    <row r="26" spans="1:19" s="437" customFormat="1" ht="15.75" thickBot="1">
      <c r="A26" s="633" t="s">
        <v>776</v>
      </c>
      <c r="B26" s="744"/>
      <c r="C26" s="739">
        <f>SUM(C24:C25)</f>
        <v>5392.9002193113911</v>
      </c>
      <c r="D26" s="739">
        <f t="shared" ref="D26:R26" si="2">SUM(D24:D25)</f>
        <v>15928.071428571429</v>
      </c>
      <c r="E26" s="739">
        <f t="shared" si="2"/>
        <v>2286.8731466217532</v>
      </c>
      <c r="F26" s="739">
        <f t="shared" si="2"/>
        <v>139.46948375469373</v>
      </c>
      <c r="G26" s="739">
        <f t="shared" si="2"/>
        <v>15854.479856101656</v>
      </c>
      <c r="H26" s="739">
        <f t="shared" si="2"/>
        <v>0</v>
      </c>
      <c r="I26" s="739">
        <f t="shared" si="2"/>
        <v>0</v>
      </c>
      <c r="J26" s="739">
        <f t="shared" si="2"/>
        <v>0</v>
      </c>
      <c r="K26" s="739">
        <f t="shared" si="2"/>
        <v>1130.2100769959293</v>
      </c>
      <c r="L26" s="739">
        <f t="shared" si="2"/>
        <v>0</v>
      </c>
      <c r="M26" s="739">
        <f t="shared" si="2"/>
        <v>0</v>
      </c>
      <c r="N26" s="739">
        <f t="shared" si="2"/>
        <v>0</v>
      </c>
      <c r="O26" s="739">
        <f t="shared" si="2"/>
        <v>0</v>
      </c>
      <c r="P26" s="739">
        <f t="shared" si="2"/>
        <v>0</v>
      </c>
      <c r="Q26" s="739">
        <f t="shared" si="2"/>
        <v>0</v>
      </c>
      <c r="R26" s="739">
        <f t="shared" si="2"/>
        <v>40732.004211356856</v>
      </c>
      <c r="S26" s="67"/>
    </row>
    <row r="27" spans="1:19" s="437" customFormat="1" ht="17.25" thickTop="1" thickBot="1">
      <c r="A27" s="634" t="s">
        <v>109</v>
      </c>
      <c r="B27" s="732"/>
      <c r="C27" s="635">
        <f ca="1">C22+C16+C26</f>
        <v>71566.097614673272</v>
      </c>
      <c r="D27" s="635">
        <f t="shared" ref="D27:R27" ca="1" si="3">D22+D16+D26</f>
        <v>15928.071428571429</v>
      </c>
      <c r="E27" s="635">
        <f t="shared" ca="1" si="3"/>
        <v>114252.34160978762</v>
      </c>
      <c r="F27" s="635">
        <f t="shared" si="3"/>
        <v>2830.8121260658722</v>
      </c>
      <c r="G27" s="635">
        <f t="shared" ca="1" si="3"/>
        <v>64104.50548809312</v>
      </c>
      <c r="H27" s="635">
        <f t="shared" si="3"/>
        <v>217971.14704340408</v>
      </c>
      <c r="I27" s="635">
        <f t="shared" si="3"/>
        <v>39117.825493636949</v>
      </c>
      <c r="J27" s="635">
        <f t="shared" si="3"/>
        <v>0</v>
      </c>
      <c r="K27" s="635">
        <f t="shared" si="3"/>
        <v>1344.6268306323122</v>
      </c>
      <c r="L27" s="635">
        <f t="shared" si="3"/>
        <v>0</v>
      </c>
      <c r="M27" s="635">
        <f t="shared" ca="1" si="3"/>
        <v>0</v>
      </c>
      <c r="N27" s="635">
        <f t="shared" si="3"/>
        <v>13885.868690617312</v>
      </c>
      <c r="O27" s="635">
        <f t="shared" ca="1" si="3"/>
        <v>11933.046091940283</v>
      </c>
      <c r="P27" s="635">
        <f t="shared" si="3"/>
        <v>551.8566666666668</v>
      </c>
      <c r="Q27" s="635">
        <f t="shared" si="3"/>
        <v>1410.9333333333334</v>
      </c>
      <c r="R27" s="635">
        <f t="shared" ca="1" si="3"/>
        <v>554897.13241742225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3167.0450678737188</v>
      </c>
      <c r="D40" s="931">
        <f ca="1">tertiair!C20</f>
        <v>0</v>
      </c>
      <c r="E40" s="931">
        <f ca="1">tertiair!D20</f>
        <v>8606.2178110602345</v>
      </c>
      <c r="F40" s="931">
        <f>tertiair!E20</f>
        <v>62.629499543678548</v>
      </c>
      <c r="G40" s="931">
        <f ca="1">tertiair!F20</f>
        <v>1189.3571135208726</v>
      </c>
      <c r="H40" s="931">
        <f>tertiair!G20</f>
        <v>0</v>
      </c>
      <c r="I40" s="931">
        <f>tertiair!H20</f>
        <v>0</v>
      </c>
      <c r="J40" s="931">
        <f>tertiair!I20</f>
        <v>0</v>
      </c>
      <c r="K40" s="931">
        <f>tertiair!J20</f>
        <v>1.9181466262051524E-2</v>
      </c>
      <c r="L40" s="931">
        <f>tertiair!K20</f>
        <v>0</v>
      </c>
      <c r="M40" s="931">
        <f ca="1">tertiair!L20</f>
        <v>0</v>
      </c>
      <c r="N40" s="931">
        <f>tertiair!M20</f>
        <v>0</v>
      </c>
      <c r="O40" s="931">
        <f ca="1">tertiair!N20</f>
        <v>0</v>
      </c>
      <c r="P40" s="931">
        <f>tertiair!O20</f>
        <v>0</v>
      </c>
      <c r="Q40" s="702">
        <f>tertiair!P20</f>
        <v>0</v>
      </c>
      <c r="R40" s="777">
        <f t="shared" ca="1" si="4"/>
        <v>13025.268673464767</v>
      </c>
    </row>
    <row r="41" spans="1:18">
      <c r="A41" s="749" t="s">
        <v>213</v>
      </c>
      <c r="B41" s="756"/>
      <c r="C41" s="931">
        <f ca="1">huishoudens!B12</f>
        <v>4810.5063453769271</v>
      </c>
      <c r="D41" s="931">
        <f ca="1">huishoudens!C12</f>
        <v>0</v>
      </c>
      <c r="E41" s="931">
        <f>huishoudens!D12</f>
        <v>9828.1590477452301</v>
      </c>
      <c r="F41" s="931">
        <f>huishoudens!E12</f>
        <v>377.60438934517339</v>
      </c>
      <c r="G41" s="931">
        <f>huishoudens!F12</f>
        <v>10294.880097083233</v>
      </c>
      <c r="H41" s="931">
        <f>huishoudens!G12</f>
        <v>0</v>
      </c>
      <c r="I41" s="931">
        <f>huishoudens!H12</f>
        <v>0</v>
      </c>
      <c r="J41" s="931">
        <f>huishoudens!I12</f>
        <v>0</v>
      </c>
      <c r="K41" s="931">
        <f>huishoudens!J12</f>
        <v>70.145849576485389</v>
      </c>
      <c r="L41" s="931">
        <f>huishoudens!K12</f>
        <v>0</v>
      </c>
      <c r="M41" s="931">
        <f>huishoudens!L12</f>
        <v>0</v>
      </c>
      <c r="N41" s="931">
        <f>huishoudens!M12</f>
        <v>0</v>
      </c>
      <c r="O41" s="931">
        <f>huishoudens!N12</f>
        <v>0</v>
      </c>
      <c r="P41" s="931">
        <f>huishoudens!O12</f>
        <v>0</v>
      </c>
      <c r="Q41" s="702">
        <f>huishoudens!P12</f>
        <v>0</v>
      </c>
      <c r="R41" s="777">
        <f t="shared" ca="1" si="4"/>
        <v>25381.295729127047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2931.1579889348523</v>
      </c>
      <c r="D43" s="931">
        <f ca="1">industrie!C22</f>
        <v>0</v>
      </c>
      <c r="E43" s="931">
        <f>industrie!D22</f>
        <v>4138.2320649871235</v>
      </c>
      <c r="F43" s="931">
        <f>industrie!E22</f>
        <v>72.125053916068453</v>
      </c>
      <c r="G43" s="931">
        <f>industrie!F22</f>
        <v>1398.5196331376167</v>
      </c>
      <c r="H43" s="931">
        <f>industrie!G22</f>
        <v>0</v>
      </c>
      <c r="I43" s="931">
        <f>industrie!H22</f>
        <v>0</v>
      </c>
      <c r="J43" s="931">
        <f>industrie!I22</f>
        <v>0</v>
      </c>
      <c r="K43" s="931">
        <f>industrie!J22</f>
        <v>5.7384997445320796</v>
      </c>
      <c r="L43" s="931">
        <f>industrie!K22</f>
        <v>0</v>
      </c>
      <c r="M43" s="931">
        <f>industrie!L22</f>
        <v>0</v>
      </c>
      <c r="N43" s="931">
        <f>industrie!M22</f>
        <v>0</v>
      </c>
      <c r="O43" s="931">
        <f>industrie!N22</f>
        <v>0</v>
      </c>
      <c r="P43" s="931">
        <f>industrie!O22</f>
        <v>0</v>
      </c>
      <c r="Q43" s="702">
        <f>industrie!P22</f>
        <v>0</v>
      </c>
      <c r="R43" s="776">
        <f t="shared" ca="1" si="4"/>
        <v>8545.7732407201929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10908.709402185497</v>
      </c>
      <c r="D46" s="660">
        <f t="shared" ref="D46:Q46" ca="1" si="5">SUM(D39:D45)</f>
        <v>0</v>
      </c>
      <c r="E46" s="660">
        <f t="shared" ca="1" si="5"/>
        <v>22572.608923792592</v>
      </c>
      <c r="F46" s="660">
        <f t="shared" si="5"/>
        <v>512.35894280492039</v>
      </c>
      <c r="G46" s="660">
        <f t="shared" ca="1" si="5"/>
        <v>12882.756843741723</v>
      </c>
      <c r="H46" s="660">
        <f t="shared" si="5"/>
        <v>0</v>
      </c>
      <c r="I46" s="660">
        <f t="shared" si="5"/>
        <v>0</v>
      </c>
      <c r="J46" s="660">
        <f t="shared" si="5"/>
        <v>0</v>
      </c>
      <c r="K46" s="660">
        <f t="shared" si="5"/>
        <v>75.903530787279522</v>
      </c>
      <c r="L46" s="660">
        <f t="shared" si="5"/>
        <v>0</v>
      </c>
      <c r="M46" s="660">
        <f t="shared" ca="1" si="5"/>
        <v>0</v>
      </c>
      <c r="N46" s="660">
        <f t="shared" si="5"/>
        <v>0</v>
      </c>
      <c r="O46" s="660">
        <f t="shared" ca="1" si="5"/>
        <v>0</v>
      </c>
      <c r="P46" s="660">
        <f t="shared" si="5"/>
        <v>0</v>
      </c>
      <c r="Q46" s="660">
        <f t="shared" si="5"/>
        <v>0</v>
      </c>
      <c r="R46" s="660">
        <f ca="1">SUM(R39:R45)</f>
        <v>46952.337643312007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1.7171276851246444</v>
      </c>
      <c r="D49" s="931">
        <f ca="1">transport!C58</f>
        <v>0</v>
      </c>
      <c r="E49" s="931">
        <f>transport!D58</f>
        <v>0</v>
      </c>
      <c r="F49" s="931">
        <f>transport!E58</f>
        <v>0</v>
      </c>
      <c r="G49" s="931">
        <f>transport!F58</f>
        <v>0</v>
      </c>
      <c r="H49" s="931">
        <f>transport!G58</f>
        <v>260.63744481179856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262.3545724969232</v>
      </c>
    </row>
    <row r="50" spans="1:18">
      <c r="A50" s="752" t="s">
        <v>295</v>
      </c>
      <c r="B50" s="762"/>
      <c r="C50" s="631">
        <f ca="1">transport!B18</f>
        <v>24.353942374335727</v>
      </c>
      <c r="D50" s="631">
        <f>transport!C18</f>
        <v>0</v>
      </c>
      <c r="E50" s="631">
        <f>transport!D18</f>
        <v>44.415705766914442</v>
      </c>
      <c r="F50" s="631">
        <f>transport!E18</f>
        <v>98.575836999717254</v>
      </c>
      <c r="G50" s="631">
        <f>transport!F18</f>
        <v>0</v>
      </c>
      <c r="H50" s="631">
        <f>transport!G18</f>
        <v>57937.658815777097</v>
      </c>
      <c r="I50" s="631">
        <f>transport!H18</f>
        <v>9740.3385479156004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67845.342848833665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26.071070059460371</v>
      </c>
      <c r="D52" s="660">
        <f t="shared" ref="D52:Q52" ca="1" si="6">SUM(D48:D51)</f>
        <v>0</v>
      </c>
      <c r="E52" s="660">
        <f t="shared" si="6"/>
        <v>44.415705766914442</v>
      </c>
      <c r="F52" s="660">
        <f t="shared" si="6"/>
        <v>98.575836999717254</v>
      </c>
      <c r="G52" s="660">
        <f t="shared" si="6"/>
        <v>0</v>
      </c>
      <c r="H52" s="660">
        <f t="shared" si="6"/>
        <v>58198.296260588897</v>
      </c>
      <c r="I52" s="660">
        <f t="shared" si="6"/>
        <v>9740.3385479156004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68107.697421330595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710.14731316957136</v>
      </c>
      <c r="D54" s="631">
        <f ca="1">+landbouw!C12</f>
        <v>0</v>
      </c>
      <c r="E54" s="631">
        <f>+landbouw!D12</f>
        <v>49.015605977260499</v>
      </c>
      <c r="F54" s="631">
        <f>+landbouw!E12</f>
        <v>31.659572812315478</v>
      </c>
      <c r="G54" s="631">
        <f>+landbouw!F12</f>
        <v>4233.1461215791423</v>
      </c>
      <c r="H54" s="631">
        <f>+landbouw!G12</f>
        <v>0</v>
      </c>
      <c r="I54" s="631">
        <f>+landbouw!H12</f>
        <v>0</v>
      </c>
      <c r="J54" s="631">
        <f>+landbouw!I12</f>
        <v>0</v>
      </c>
      <c r="K54" s="631">
        <f>+landbouw!J12</f>
        <v>400.09436725655894</v>
      </c>
      <c r="L54" s="631">
        <f>+landbouw!K12</f>
        <v>0</v>
      </c>
      <c r="M54" s="631">
        <f>+landbouw!L12</f>
        <v>0</v>
      </c>
      <c r="N54" s="631">
        <f>+landbouw!M12</f>
        <v>0</v>
      </c>
      <c r="O54" s="631">
        <f>+landbouw!N12</f>
        <v>0</v>
      </c>
      <c r="P54" s="631">
        <f>+landbouw!O12</f>
        <v>0</v>
      </c>
      <c r="Q54" s="632">
        <f>+landbouw!P12</f>
        <v>0</v>
      </c>
      <c r="R54" s="659">
        <f ca="1">SUM(C54:Q54)</f>
        <v>5424.062980794849</v>
      </c>
    </row>
    <row r="55" spans="1:18" ht="15" thickBot="1">
      <c r="A55" s="752" t="s">
        <v>775</v>
      </c>
      <c r="B55" s="762"/>
      <c r="C55" s="631">
        <f ca="1">C25*'EF ele_warmte'!B12</f>
        <v>181.00170679640351</v>
      </c>
      <c r="D55" s="631"/>
      <c r="E55" s="631">
        <f>E25*EF_CO2_aardgas</f>
        <v>412.93276964033373</v>
      </c>
      <c r="F55" s="631"/>
      <c r="G55" s="631"/>
      <c r="H55" s="631"/>
      <c r="I55" s="631"/>
      <c r="J55" s="631"/>
      <c r="K55" s="631"/>
      <c r="L55" s="631"/>
      <c r="M55" s="631"/>
      <c r="N55" s="631"/>
      <c r="O55" s="631"/>
      <c r="P55" s="631"/>
      <c r="Q55" s="632"/>
      <c r="R55" s="659">
        <f ca="1">SUM(C55:Q55)</f>
        <v>593.93447643673721</v>
      </c>
    </row>
    <row r="56" spans="1:18" ht="15.75" thickBot="1">
      <c r="A56" s="750" t="s">
        <v>776</v>
      </c>
      <c r="B56" s="763"/>
      <c r="C56" s="660">
        <f ca="1">SUM(C54:C55)</f>
        <v>891.14901996597484</v>
      </c>
      <c r="D56" s="660">
        <f t="shared" ref="D56:Q56" ca="1" si="7">SUM(D54:D55)</f>
        <v>0</v>
      </c>
      <c r="E56" s="660">
        <f t="shared" si="7"/>
        <v>461.94837561759425</v>
      </c>
      <c r="F56" s="660">
        <f t="shared" si="7"/>
        <v>31.659572812315478</v>
      </c>
      <c r="G56" s="660">
        <f t="shared" si="7"/>
        <v>4233.1461215791423</v>
      </c>
      <c r="H56" s="660">
        <f t="shared" si="7"/>
        <v>0</v>
      </c>
      <c r="I56" s="660">
        <f t="shared" si="7"/>
        <v>0</v>
      </c>
      <c r="J56" s="660">
        <f t="shared" si="7"/>
        <v>0</v>
      </c>
      <c r="K56" s="660">
        <f t="shared" si="7"/>
        <v>400.09436725655894</v>
      </c>
      <c r="L56" s="660">
        <f t="shared" si="7"/>
        <v>0</v>
      </c>
      <c r="M56" s="660">
        <f t="shared" si="7"/>
        <v>0</v>
      </c>
      <c r="N56" s="660">
        <f t="shared" si="7"/>
        <v>0</v>
      </c>
      <c r="O56" s="660">
        <f t="shared" si="7"/>
        <v>0</v>
      </c>
      <c r="P56" s="660">
        <f t="shared" si="7"/>
        <v>0</v>
      </c>
      <c r="Q56" s="661">
        <f t="shared" si="7"/>
        <v>0</v>
      </c>
      <c r="R56" s="662">
        <f ca="1">SUM(R54:R55)</f>
        <v>6017.9974572315859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11825.929492210933</v>
      </c>
      <c r="D61" s="668">
        <f t="shared" ref="D61:Q61" ca="1" si="8">D46+D52+D56</f>
        <v>0</v>
      </c>
      <c r="E61" s="668">
        <f t="shared" ca="1" si="8"/>
        <v>23078.9730051771</v>
      </c>
      <c r="F61" s="668">
        <f t="shared" si="8"/>
        <v>642.59435261695307</v>
      </c>
      <c r="G61" s="668">
        <f t="shared" ca="1" si="8"/>
        <v>17115.902965320864</v>
      </c>
      <c r="H61" s="668">
        <f t="shared" si="8"/>
        <v>58198.296260588897</v>
      </c>
      <c r="I61" s="668">
        <f t="shared" si="8"/>
        <v>9740.3385479156004</v>
      </c>
      <c r="J61" s="668">
        <f t="shared" si="8"/>
        <v>0</v>
      </c>
      <c r="K61" s="668">
        <f t="shared" si="8"/>
        <v>475.99789804383846</v>
      </c>
      <c r="L61" s="668">
        <f t="shared" si="8"/>
        <v>0</v>
      </c>
      <c r="M61" s="668">
        <f t="shared" ca="1" si="8"/>
        <v>0</v>
      </c>
      <c r="N61" s="668">
        <f t="shared" si="8"/>
        <v>0</v>
      </c>
      <c r="O61" s="668">
        <f t="shared" ca="1" si="8"/>
        <v>0</v>
      </c>
      <c r="P61" s="668">
        <f t="shared" si="8"/>
        <v>0</v>
      </c>
      <c r="Q61" s="668">
        <f t="shared" si="8"/>
        <v>0</v>
      </c>
      <c r="R61" s="668">
        <f ca="1">R46+R52+R56</f>
        <v>121078.03252187419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0.16524485596356242</v>
      </c>
      <c r="D63" s="709">
        <f t="shared" ca="1" si="9"/>
        <v>0</v>
      </c>
      <c r="E63" s="942">
        <f t="shared" ca="1" si="9"/>
        <v>0.20200000000000001</v>
      </c>
      <c r="F63" s="709">
        <f t="shared" si="9"/>
        <v>0.22700000000000004</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6905.4544372482414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11149.65</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13117.235294117647</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18055.104437248243</v>
      </c>
      <c r="C78" s="683">
        <f>SUM(C72:C77)</f>
        <v>0</v>
      </c>
      <c r="D78" s="684">
        <f t="shared" ref="D78:H78" si="10">SUM(D76:D77)</f>
        <v>0</v>
      </c>
      <c r="E78" s="684">
        <f t="shared" si="10"/>
        <v>0</v>
      </c>
      <c r="F78" s="684">
        <f t="shared" si="10"/>
        <v>0</v>
      </c>
      <c r="G78" s="684">
        <f t="shared" si="10"/>
        <v>0</v>
      </c>
      <c r="H78" s="684">
        <f t="shared" si="10"/>
        <v>0</v>
      </c>
      <c r="I78" s="684">
        <f>SUM(I76:I77)</f>
        <v>0</v>
      </c>
      <c r="J78" s="684">
        <f>SUM(J76:J77)</f>
        <v>13117.235294117647</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15928.071428571429</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18738.907563025212</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15928.071428571429</v>
      </c>
      <c r="C90" s="683">
        <f>SUM(C87:C89)</f>
        <v>0</v>
      </c>
      <c r="D90" s="683">
        <f t="shared" ref="D90:H90" si="12">SUM(D87:D89)</f>
        <v>0</v>
      </c>
      <c r="E90" s="683">
        <f t="shared" si="12"/>
        <v>0</v>
      </c>
      <c r="F90" s="683">
        <f t="shared" si="12"/>
        <v>0</v>
      </c>
      <c r="G90" s="683">
        <f t="shared" si="12"/>
        <v>0</v>
      </c>
      <c r="H90" s="683">
        <f t="shared" si="12"/>
        <v>0</v>
      </c>
      <c r="I90" s="683">
        <f>SUM(I87:I89)</f>
        <v>0</v>
      </c>
      <c r="J90" s="683">
        <f>SUM(J87:J89)</f>
        <v>18738.907563025212</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29111.383330671888</v>
      </c>
      <c r="C4" s="441">
        <f>huishoudens!C8</f>
        <v>0</v>
      </c>
      <c r="D4" s="441">
        <f>huishoudens!D8</f>
        <v>48654.252711610046</v>
      </c>
      <c r="E4" s="441">
        <f>huishoudens!E8</f>
        <v>1663.4554596703672</v>
      </c>
      <c r="F4" s="441">
        <f>huishoudens!F8</f>
        <v>38557.603359862289</v>
      </c>
      <c r="G4" s="441">
        <f>huishoudens!G8</f>
        <v>0</v>
      </c>
      <c r="H4" s="441">
        <f>huishoudens!H8</f>
        <v>0</v>
      </c>
      <c r="I4" s="441">
        <f>huishoudens!I8</f>
        <v>0</v>
      </c>
      <c r="J4" s="441">
        <f>huishoudens!J8</f>
        <v>198.15211744769886</v>
      </c>
      <c r="K4" s="441">
        <f>huishoudens!K8</f>
        <v>0</v>
      </c>
      <c r="L4" s="441">
        <f>huishoudens!L8</f>
        <v>0</v>
      </c>
      <c r="M4" s="441">
        <f>huishoudens!M8</f>
        <v>0</v>
      </c>
      <c r="N4" s="441">
        <f>huishoudens!N8</f>
        <v>9232.6735598660089</v>
      </c>
      <c r="O4" s="441">
        <f>huishoudens!O8</f>
        <v>540.91333333333341</v>
      </c>
      <c r="P4" s="442">
        <f>huishoudens!P8</f>
        <v>1372.8</v>
      </c>
      <c r="Q4" s="443">
        <f>SUM(B4:P4)</f>
        <v>129331.23387246161</v>
      </c>
    </row>
    <row r="5" spans="1:17">
      <c r="A5" s="440" t="s">
        <v>149</v>
      </c>
      <c r="B5" s="441">
        <f ca="1">tertiair!B16</f>
        <v>18052.534997265255</v>
      </c>
      <c r="C5" s="441">
        <f ca="1">tertiair!C16</f>
        <v>0</v>
      </c>
      <c r="D5" s="441">
        <f ca="1">tertiair!D16</f>
        <v>42605.038668615016</v>
      </c>
      <c r="E5" s="441">
        <f>tertiair!E16</f>
        <v>275.90087904704205</v>
      </c>
      <c r="F5" s="441">
        <f ca="1">tertiair!F16</f>
        <v>4454.5210244227437</v>
      </c>
      <c r="G5" s="441">
        <f>tertiair!G16</f>
        <v>0</v>
      </c>
      <c r="H5" s="441">
        <f>tertiair!H16</f>
        <v>0</v>
      </c>
      <c r="I5" s="441">
        <f>tertiair!I16</f>
        <v>0</v>
      </c>
      <c r="J5" s="441">
        <f>tertiair!J16</f>
        <v>5.4184932943648373E-2</v>
      </c>
      <c r="K5" s="441">
        <f>tertiair!K16</f>
        <v>0</v>
      </c>
      <c r="L5" s="441">
        <f ca="1">tertiair!L16</f>
        <v>0</v>
      </c>
      <c r="M5" s="441">
        <f>tertiair!M16</f>
        <v>0</v>
      </c>
      <c r="N5" s="441">
        <f ca="1">tertiair!N16</f>
        <v>2139.2541374321659</v>
      </c>
      <c r="O5" s="441">
        <f>tertiair!O16</f>
        <v>10.943333333333335</v>
      </c>
      <c r="P5" s="442">
        <f>tertiair!P16</f>
        <v>38.133333333333333</v>
      </c>
      <c r="Q5" s="440">
        <f t="shared" ref="Q5:Q14" ca="1" si="0">SUM(B5:P5)</f>
        <v>67576.380558381818</v>
      </c>
    </row>
    <row r="6" spans="1:17">
      <c r="A6" s="440" t="s">
        <v>187</v>
      </c>
      <c r="B6" s="441">
        <f>'openbare verlichting'!B8</f>
        <v>1113.2360000000001</v>
      </c>
      <c r="C6" s="441"/>
      <c r="D6" s="441"/>
      <c r="E6" s="441"/>
      <c r="F6" s="441"/>
      <c r="G6" s="441"/>
      <c r="H6" s="441"/>
      <c r="I6" s="441"/>
      <c r="J6" s="441"/>
      <c r="K6" s="441"/>
      <c r="L6" s="441"/>
      <c r="M6" s="441"/>
      <c r="N6" s="441"/>
      <c r="O6" s="441"/>
      <c r="P6" s="442"/>
      <c r="Q6" s="440">
        <f t="shared" si="0"/>
        <v>1113.2360000000001</v>
      </c>
    </row>
    <row r="7" spans="1:17">
      <c r="A7" s="440" t="s">
        <v>105</v>
      </c>
      <c r="B7" s="441">
        <f>landbouw!B8</f>
        <v>4297.5456574948612</v>
      </c>
      <c r="C7" s="441">
        <f>landbouw!C8</f>
        <v>15928.071428571429</v>
      </c>
      <c r="D7" s="441">
        <f>landbouw!D8</f>
        <v>242.65151473891333</v>
      </c>
      <c r="E7" s="441">
        <f>landbouw!E8</f>
        <v>139.46948375469373</v>
      </c>
      <c r="F7" s="441">
        <f>landbouw!F8</f>
        <v>15854.479856101656</v>
      </c>
      <c r="G7" s="441">
        <f>landbouw!G8</f>
        <v>0</v>
      </c>
      <c r="H7" s="441">
        <f>landbouw!H8</f>
        <v>0</v>
      </c>
      <c r="I7" s="441">
        <f>landbouw!I8</f>
        <v>0</v>
      </c>
      <c r="J7" s="441">
        <f>landbouw!J8</f>
        <v>1130.2100769959293</v>
      </c>
      <c r="K7" s="441">
        <f>landbouw!K8</f>
        <v>0</v>
      </c>
      <c r="L7" s="441">
        <f>landbouw!L8</f>
        <v>0</v>
      </c>
      <c r="M7" s="441">
        <f>landbouw!M8</f>
        <v>0</v>
      </c>
      <c r="N7" s="441">
        <f>landbouw!N8</f>
        <v>0</v>
      </c>
      <c r="O7" s="441">
        <f>landbouw!O8</f>
        <v>0</v>
      </c>
      <c r="P7" s="442">
        <f>landbouw!P8</f>
        <v>0</v>
      </c>
      <c r="Q7" s="440">
        <f t="shared" si="0"/>
        <v>37592.428017657483</v>
      </c>
    </row>
    <row r="8" spans="1:17">
      <c r="A8" s="440" t="s">
        <v>596</v>
      </c>
      <c r="B8" s="441">
        <f>industrie!B18</f>
        <v>17738.270712530939</v>
      </c>
      <c r="C8" s="441">
        <f>industrie!C18</f>
        <v>0</v>
      </c>
      <c r="D8" s="441">
        <f>industrie!D18</f>
        <v>20486.297351421403</v>
      </c>
      <c r="E8" s="441">
        <f>industrie!E18</f>
        <v>317.73151504875972</v>
      </c>
      <c r="F8" s="441">
        <f>industrie!F18</f>
        <v>5237.9012477064289</v>
      </c>
      <c r="G8" s="441">
        <f>industrie!G18</f>
        <v>0</v>
      </c>
      <c r="H8" s="441">
        <f>industrie!H18</f>
        <v>0</v>
      </c>
      <c r="I8" s="441">
        <f>industrie!I18</f>
        <v>0</v>
      </c>
      <c r="J8" s="441">
        <f>industrie!J18</f>
        <v>16.210451255740338</v>
      </c>
      <c r="K8" s="441">
        <f>industrie!K18</f>
        <v>0</v>
      </c>
      <c r="L8" s="441">
        <f>industrie!L18</f>
        <v>0</v>
      </c>
      <c r="M8" s="441">
        <f>industrie!M18</f>
        <v>0</v>
      </c>
      <c r="N8" s="441">
        <f>industrie!N18</f>
        <v>561.11839464210743</v>
      </c>
      <c r="O8" s="441">
        <f>industrie!O18</f>
        <v>0</v>
      </c>
      <c r="P8" s="442">
        <f>industrie!P18</f>
        <v>0</v>
      </c>
      <c r="Q8" s="440">
        <f t="shared" si="0"/>
        <v>44357.529672605386</v>
      </c>
    </row>
    <row r="9" spans="1:17" s="446" customFormat="1">
      <c r="A9" s="444" t="s">
        <v>545</v>
      </c>
      <c r="B9" s="445">
        <f>transport!B14</f>
        <v>147.38094104246088</v>
      </c>
      <c r="C9" s="445">
        <f>transport!C14</f>
        <v>0</v>
      </c>
      <c r="D9" s="445">
        <f>transport!D14</f>
        <v>219.8797315193784</v>
      </c>
      <c r="E9" s="445">
        <f>transport!E14</f>
        <v>434.25478854500989</v>
      </c>
      <c r="F9" s="445">
        <f>transport!F14</f>
        <v>0</v>
      </c>
      <c r="G9" s="445">
        <f>transport!G14</f>
        <v>216994.97683811645</v>
      </c>
      <c r="H9" s="445">
        <f>transport!H14</f>
        <v>39117.825493636949</v>
      </c>
      <c r="I9" s="445">
        <f>transport!I14</f>
        <v>0</v>
      </c>
      <c r="J9" s="445">
        <f>transport!J14</f>
        <v>0</v>
      </c>
      <c r="K9" s="445">
        <f>transport!K14</f>
        <v>0</v>
      </c>
      <c r="L9" s="445">
        <f>transport!L14</f>
        <v>0</v>
      </c>
      <c r="M9" s="445">
        <f>transport!M14</f>
        <v>13829.65397943075</v>
      </c>
      <c r="N9" s="445">
        <f>transport!N14</f>
        <v>0</v>
      </c>
      <c r="O9" s="445">
        <f>transport!O14</f>
        <v>0</v>
      </c>
      <c r="P9" s="445">
        <f>transport!P14</f>
        <v>0</v>
      </c>
      <c r="Q9" s="444">
        <f>SUM(B9:P9)</f>
        <v>270743.971772291</v>
      </c>
    </row>
    <row r="10" spans="1:17">
      <c r="A10" s="440" t="s">
        <v>535</v>
      </c>
      <c r="B10" s="441">
        <f>transport!B54</f>
        <v>10.391413851353308</v>
      </c>
      <c r="C10" s="441">
        <f>transport!C54</f>
        <v>0</v>
      </c>
      <c r="D10" s="441">
        <f>transport!D54</f>
        <v>0</v>
      </c>
      <c r="E10" s="441">
        <f>transport!E54</f>
        <v>0</v>
      </c>
      <c r="F10" s="441">
        <f>transport!F54</f>
        <v>0</v>
      </c>
      <c r="G10" s="441">
        <f>transport!G54</f>
        <v>976.1702052876351</v>
      </c>
      <c r="H10" s="441">
        <f>transport!H54</f>
        <v>0</v>
      </c>
      <c r="I10" s="441">
        <f>transport!I54</f>
        <v>0</v>
      </c>
      <c r="J10" s="441">
        <f>transport!J54</f>
        <v>0</v>
      </c>
      <c r="K10" s="441">
        <f>transport!K54</f>
        <v>0</v>
      </c>
      <c r="L10" s="441">
        <f>transport!L54</f>
        <v>0</v>
      </c>
      <c r="M10" s="441">
        <f>transport!M54</f>
        <v>56.214711186562226</v>
      </c>
      <c r="N10" s="441">
        <f>transport!N54</f>
        <v>0</v>
      </c>
      <c r="O10" s="441">
        <f>transport!O54</f>
        <v>0</v>
      </c>
      <c r="P10" s="442">
        <f>transport!P54</f>
        <v>0</v>
      </c>
      <c r="Q10" s="440">
        <f t="shared" si="0"/>
        <v>1042.7763303255506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1095.3545618165301</v>
      </c>
      <c r="C14" s="448"/>
      <c r="D14" s="448">
        <f>'SEAP template'!E25</f>
        <v>2044.22163188284</v>
      </c>
      <c r="E14" s="448"/>
      <c r="F14" s="448"/>
      <c r="G14" s="448"/>
      <c r="H14" s="448"/>
      <c r="I14" s="448"/>
      <c r="J14" s="448"/>
      <c r="K14" s="448"/>
      <c r="L14" s="448"/>
      <c r="M14" s="448"/>
      <c r="N14" s="448"/>
      <c r="O14" s="448"/>
      <c r="P14" s="449"/>
      <c r="Q14" s="440">
        <f t="shared" si="0"/>
        <v>3139.5761936993704</v>
      </c>
    </row>
    <row r="15" spans="1:17" s="450" customFormat="1">
      <c r="A15" s="957" t="s">
        <v>539</v>
      </c>
      <c r="B15" s="905">
        <f ca="1">SUM(B4:B14)</f>
        <v>71566.097614673286</v>
      </c>
      <c r="C15" s="905">
        <f t="shared" ref="C15:Q15" ca="1" si="1">SUM(C4:C14)</f>
        <v>15928.071428571429</v>
      </c>
      <c r="D15" s="905">
        <f t="shared" ca="1" si="1"/>
        <v>114252.34160978762</v>
      </c>
      <c r="E15" s="905">
        <f t="shared" si="1"/>
        <v>2830.8121260658727</v>
      </c>
      <c r="F15" s="905">
        <f t="shared" ca="1" si="1"/>
        <v>64104.50548809312</v>
      </c>
      <c r="G15" s="905">
        <f t="shared" si="1"/>
        <v>217971.14704340408</v>
      </c>
      <c r="H15" s="905">
        <f t="shared" si="1"/>
        <v>39117.825493636949</v>
      </c>
      <c r="I15" s="905">
        <f t="shared" si="1"/>
        <v>0</v>
      </c>
      <c r="J15" s="905">
        <f t="shared" si="1"/>
        <v>1344.626830632312</v>
      </c>
      <c r="K15" s="905">
        <f t="shared" si="1"/>
        <v>0</v>
      </c>
      <c r="L15" s="905">
        <f t="shared" ca="1" si="1"/>
        <v>0</v>
      </c>
      <c r="M15" s="905">
        <f t="shared" si="1"/>
        <v>13885.868690617312</v>
      </c>
      <c r="N15" s="905">
        <f t="shared" ca="1" si="1"/>
        <v>11933.046091940283</v>
      </c>
      <c r="O15" s="905">
        <f t="shared" si="1"/>
        <v>551.8566666666668</v>
      </c>
      <c r="P15" s="905">
        <f t="shared" si="1"/>
        <v>1410.9333333333334</v>
      </c>
      <c r="Q15" s="905">
        <f t="shared" ca="1" si="1"/>
        <v>554897.13241742225</v>
      </c>
    </row>
    <row r="17" spans="1:17">
      <c r="A17" s="451" t="s">
        <v>540</v>
      </c>
      <c r="B17" s="714">
        <f ca="1">huishoudens!B10</f>
        <v>0.16524485596356239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4810.5063453769271</v>
      </c>
      <c r="C22" s="441">
        <f t="shared" ref="C22:C32" ca="1" si="3">C4*$C$17</f>
        <v>0</v>
      </c>
      <c r="D22" s="441">
        <f t="shared" ref="D22:D32" si="4">D4*$D$17</f>
        <v>9828.1590477452301</v>
      </c>
      <c r="E22" s="441">
        <f t="shared" ref="E22:E32" si="5">E4*$E$17</f>
        <v>377.60438934517339</v>
      </c>
      <c r="F22" s="441">
        <f t="shared" ref="F22:F32" si="6">F4*$F$17</f>
        <v>10294.880097083233</v>
      </c>
      <c r="G22" s="441">
        <f t="shared" ref="G22:G32" si="7">G4*$G$17</f>
        <v>0</v>
      </c>
      <c r="H22" s="441">
        <f t="shared" ref="H22:H32" si="8">H4*$H$17</f>
        <v>0</v>
      </c>
      <c r="I22" s="441">
        <f t="shared" ref="I22:I32" si="9">I4*$I$17</f>
        <v>0</v>
      </c>
      <c r="J22" s="441">
        <f t="shared" ref="J22:J32" si="10">J4*$J$17</f>
        <v>70.145849576485389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25381.295729127047</v>
      </c>
    </row>
    <row r="23" spans="1:17">
      <c r="A23" s="440" t="s">
        <v>149</v>
      </c>
      <c r="B23" s="441">
        <f t="shared" ca="1" si="2"/>
        <v>2983.0885454002664</v>
      </c>
      <c r="C23" s="441">
        <f t="shared" ca="1" si="3"/>
        <v>0</v>
      </c>
      <c r="D23" s="441">
        <f t="shared" ca="1" si="4"/>
        <v>8606.2178110602345</v>
      </c>
      <c r="E23" s="441">
        <f t="shared" si="5"/>
        <v>62.629499543678548</v>
      </c>
      <c r="F23" s="441">
        <f t="shared" ca="1" si="6"/>
        <v>1189.3571135208726</v>
      </c>
      <c r="G23" s="441">
        <f t="shared" si="7"/>
        <v>0</v>
      </c>
      <c r="H23" s="441">
        <f t="shared" si="8"/>
        <v>0</v>
      </c>
      <c r="I23" s="441">
        <f t="shared" si="9"/>
        <v>0</v>
      </c>
      <c r="J23" s="441">
        <f t="shared" si="10"/>
        <v>1.9181466262051524E-2</v>
      </c>
      <c r="K23" s="441">
        <f t="shared" si="11"/>
        <v>0</v>
      </c>
      <c r="L23" s="441">
        <f t="shared" ca="1" si="12"/>
        <v>0</v>
      </c>
      <c r="M23" s="441">
        <f t="shared" si="13"/>
        <v>0</v>
      </c>
      <c r="N23" s="441">
        <f t="shared" ca="1" si="14"/>
        <v>0</v>
      </c>
      <c r="O23" s="441">
        <f t="shared" si="15"/>
        <v>0</v>
      </c>
      <c r="P23" s="442">
        <f t="shared" si="16"/>
        <v>0</v>
      </c>
      <c r="Q23" s="440">
        <f t="shared" ref="Q23:Q32" ca="1" si="17">SUM(B23:P23)</f>
        <v>12841.312150991313</v>
      </c>
    </row>
    <row r="24" spans="1:17">
      <c r="A24" s="440" t="s">
        <v>187</v>
      </c>
      <c r="B24" s="441">
        <f t="shared" ca="1" si="2"/>
        <v>183.95652247345237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183.95652247345237</v>
      </c>
    </row>
    <row r="25" spans="1:17">
      <c r="A25" s="440" t="s">
        <v>105</v>
      </c>
      <c r="B25" s="441">
        <f t="shared" ca="1" si="2"/>
        <v>710.14731316957136</v>
      </c>
      <c r="C25" s="441">
        <f t="shared" ca="1" si="3"/>
        <v>0</v>
      </c>
      <c r="D25" s="441">
        <f t="shared" si="4"/>
        <v>49.015605977260499</v>
      </c>
      <c r="E25" s="441">
        <f t="shared" si="5"/>
        <v>31.659572812315478</v>
      </c>
      <c r="F25" s="441">
        <f t="shared" si="6"/>
        <v>4233.1461215791423</v>
      </c>
      <c r="G25" s="441">
        <f t="shared" si="7"/>
        <v>0</v>
      </c>
      <c r="H25" s="441">
        <f t="shared" si="8"/>
        <v>0</v>
      </c>
      <c r="I25" s="441">
        <f t="shared" si="9"/>
        <v>0</v>
      </c>
      <c r="J25" s="441">
        <f t="shared" si="10"/>
        <v>400.09436725655894</v>
      </c>
      <c r="K25" s="441">
        <f t="shared" si="11"/>
        <v>0</v>
      </c>
      <c r="L25" s="441">
        <f t="shared" si="12"/>
        <v>0</v>
      </c>
      <c r="M25" s="441">
        <f t="shared" si="13"/>
        <v>0</v>
      </c>
      <c r="N25" s="441">
        <f t="shared" si="14"/>
        <v>0</v>
      </c>
      <c r="O25" s="441">
        <f t="shared" si="15"/>
        <v>0</v>
      </c>
      <c r="P25" s="442">
        <f t="shared" si="16"/>
        <v>0</v>
      </c>
      <c r="Q25" s="440">
        <f t="shared" ca="1" si="17"/>
        <v>5424.062980794849</v>
      </c>
    </row>
    <row r="26" spans="1:17">
      <c r="A26" s="440" t="s">
        <v>596</v>
      </c>
      <c r="B26" s="441">
        <f t="shared" ca="1" si="2"/>
        <v>2931.1579889348523</v>
      </c>
      <c r="C26" s="441">
        <f t="shared" ca="1" si="3"/>
        <v>0</v>
      </c>
      <c r="D26" s="441">
        <f t="shared" si="4"/>
        <v>4138.2320649871235</v>
      </c>
      <c r="E26" s="441">
        <f t="shared" si="5"/>
        <v>72.125053916068453</v>
      </c>
      <c r="F26" s="441">
        <f t="shared" si="6"/>
        <v>1398.5196331376167</v>
      </c>
      <c r="G26" s="441">
        <f t="shared" si="7"/>
        <v>0</v>
      </c>
      <c r="H26" s="441">
        <f t="shared" si="8"/>
        <v>0</v>
      </c>
      <c r="I26" s="441">
        <f t="shared" si="9"/>
        <v>0</v>
      </c>
      <c r="J26" s="441">
        <f t="shared" si="10"/>
        <v>5.7384997445320796</v>
      </c>
      <c r="K26" s="441">
        <f t="shared" si="11"/>
        <v>0</v>
      </c>
      <c r="L26" s="441">
        <f t="shared" si="12"/>
        <v>0</v>
      </c>
      <c r="M26" s="441">
        <f t="shared" si="13"/>
        <v>0</v>
      </c>
      <c r="N26" s="441">
        <f t="shared" si="14"/>
        <v>0</v>
      </c>
      <c r="O26" s="441">
        <f t="shared" si="15"/>
        <v>0</v>
      </c>
      <c r="P26" s="442">
        <f t="shared" si="16"/>
        <v>0</v>
      </c>
      <c r="Q26" s="440">
        <f t="shared" ca="1" si="17"/>
        <v>8545.7732407201929</v>
      </c>
    </row>
    <row r="27" spans="1:17" s="446" customFormat="1">
      <c r="A27" s="444" t="s">
        <v>545</v>
      </c>
      <c r="B27" s="708">
        <f t="shared" ca="1" si="2"/>
        <v>24.353942374335727</v>
      </c>
      <c r="C27" s="445">
        <f t="shared" ca="1" si="3"/>
        <v>0</v>
      </c>
      <c r="D27" s="445">
        <f t="shared" si="4"/>
        <v>44.415705766914442</v>
      </c>
      <c r="E27" s="445">
        <f t="shared" si="5"/>
        <v>98.575836999717254</v>
      </c>
      <c r="F27" s="445">
        <f t="shared" si="6"/>
        <v>0</v>
      </c>
      <c r="G27" s="445">
        <f t="shared" si="7"/>
        <v>57937.658815777097</v>
      </c>
      <c r="H27" s="445">
        <f t="shared" si="8"/>
        <v>9740.3385479156004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67845.342848833665</v>
      </c>
    </row>
    <row r="28" spans="1:17">
      <c r="A28" s="440" t="s">
        <v>535</v>
      </c>
      <c r="B28" s="441">
        <f t="shared" ca="1" si="2"/>
        <v>1.7171276851246444</v>
      </c>
      <c r="C28" s="441">
        <f t="shared" ca="1" si="3"/>
        <v>0</v>
      </c>
      <c r="D28" s="441">
        <f t="shared" si="4"/>
        <v>0</v>
      </c>
      <c r="E28" s="441">
        <f t="shared" si="5"/>
        <v>0</v>
      </c>
      <c r="F28" s="441">
        <f t="shared" si="6"/>
        <v>0</v>
      </c>
      <c r="G28" s="441">
        <f t="shared" si="7"/>
        <v>260.63744481179856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262.3545724969232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181.00170679640351</v>
      </c>
      <c r="C32" s="441">
        <f t="shared" ca="1" si="3"/>
        <v>0</v>
      </c>
      <c r="D32" s="441">
        <f t="shared" si="4"/>
        <v>412.93276964033373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593.93447643673721</v>
      </c>
    </row>
    <row r="33" spans="1:17" s="450" customFormat="1">
      <c r="A33" s="957" t="s">
        <v>539</v>
      </c>
      <c r="B33" s="905">
        <f ca="1">SUM(B22:B32)</f>
        <v>11825.929492210933</v>
      </c>
      <c r="C33" s="905">
        <f t="shared" ref="C33:Q33" ca="1" si="18">SUM(C22:C32)</f>
        <v>0</v>
      </c>
      <c r="D33" s="905">
        <f t="shared" ca="1" si="18"/>
        <v>23078.973005177097</v>
      </c>
      <c r="E33" s="905">
        <f t="shared" si="18"/>
        <v>642.59435261695307</v>
      </c>
      <c r="F33" s="905">
        <f t="shared" ca="1" si="18"/>
        <v>17115.902965320864</v>
      </c>
      <c r="G33" s="905">
        <f t="shared" si="18"/>
        <v>58198.296260588897</v>
      </c>
      <c r="H33" s="905">
        <f t="shared" si="18"/>
        <v>9740.3385479156004</v>
      </c>
      <c r="I33" s="905">
        <f t="shared" si="18"/>
        <v>0</v>
      </c>
      <c r="J33" s="905">
        <f t="shared" si="18"/>
        <v>475.99789804383846</v>
      </c>
      <c r="K33" s="905">
        <f t="shared" si="18"/>
        <v>0</v>
      </c>
      <c r="L33" s="905">
        <f t="shared" ca="1" si="18"/>
        <v>0</v>
      </c>
      <c r="M33" s="905">
        <f t="shared" si="18"/>
        <v>0</v>
      </c>
      <c r="N33" s="905">
        <f t="shared" ca="1" si="18"/>
        <v>0</v>
      </c>
      <c r="O33" s="905">
        <f t="shared" si="18"/>
        <v>0</v>
      </c>
      <c r="P33" s="905">
        <f t="shared" si="18"/>
        <v>0</v>
      </c>
      <c r="Q33" s="905">
        <f t="shared" ca="1" si="18"/>
        <v>121078.03252187419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6905.4544372482414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11149.65</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13117.235294117647</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18055.104437248243</v>
      </c>
      <c r="C10" s="978">
        <f>SUM(C4:C9)</f>
        <v>0</v>
      </c>
      <c r="D10" s="978">
        <f t="shared" ref="D10:H10" si="0">SUM(D8:D9)</f>
        <v>0</v>
      </c>
      <c r="E10" s="978">
        <f t="shared" si="0"/>
        <v>0</v>
      </c>
      <c r="F10" s="978">
        <f t="shared" si="0"/>
        <v>0</v>
      </c>
      <c r="G10" s="978">
        <f t="shared" si="0"/>
        <v>0</v>
      </c>
      <c r="H10" s="978">
        <f t="shared" si="0"/>
        <v>0</v>
      </c>
      <c r="I10" s="978">
        <f>SUM(I8:I9)</f>
        <v>0</v>
      </c>
      <c r="J10" s="978">
        <f>SUM(J8:J9)</f>
        <v>13117.235294117647</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0.16524485596356239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15928.071428571429</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18738.907563025212</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15928.071428571429</v>
      </c>
      <c r="C20" s="978">
        <f>SUM(C17:C19)</f>
        <v>0</v>
      </c>
      <c r="D20" s="978">
        <f t="shared" ref="D20:H20" si="2">SUM(D17:D19)</f>
        <v>0</v>
      </c>
      <c r="E20" s="978">
        <f t="shared" si="2"/>
        <v>0</v>
      </c>
      <c r="F20" s="978">
        <f t="shared" si="2"/>
        <v>0</v>
      </c>
      <c r="G20" s="978">
        <f t="shared" si="2"/>
        <v>0</v>
      </c>
      <c r="H20" s="978">
        <f t="shared" si="2"/>
        <v>0</v>
      </c>
      <c r="I20" s="978">
        <f>SUM(I17:I19)</f>
        <v>0</v>
      </c>
      <c r="J20" s="978">
        <f>SUM(J17:J19)</f>
        <v>18738.907563025212</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0.16524485596356239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2</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38.133333333333333</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2022-07-26T10:40:35Z</dcterms:modified>
</cp:coreProperties>
</file>