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DE2D1D27-B513-41A1-9734-4356D76E027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<sst xmlns="http://schemas.openxmlformats.org/spreadsheetml/2006/main" count="2397" uniqueCount="878">
  <si>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</si>
  <si>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</si>
  <si>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</si>
  <si>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</si>
  <si>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</si>
  <si>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</si>
  <si>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</si>
  <si>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</si>
  <si>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</si>
  <si>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</si>
  <si>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</si>
  <si>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</si>
  <si>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</si>
  <si>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</si>
  <si>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</si>
  <si>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</si>
  <si>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</si>
  <si>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</si>
  <si>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</si>
  <si>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</si>
  <si>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</si>
  <si>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</si>
  <si>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</si>
  <si>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</si>
  <si>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</si>
  <si>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</si>
  <si>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</si>
  <si>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</si>
  <si>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</si>
  <si>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</si>
  <si>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</si>
  <si>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</si>
  <si>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</si>
  <si>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</si>
  <si>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</si>
  <si>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</si>
  <si>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</si>
  <si>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</si>
  <si>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</si>
  <si>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</si>
  <si>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</si>
  <si>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</si>
  <si>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</si>
  <si>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</si>
  <si>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</si>
  <si>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</si>
  <si>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</si>
  <si>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</si>
  <si>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</si>
  <si>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</si>
  <si>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</si>
  <si>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</si>
  <si>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</si>
  <si>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</si>
  <si>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</si>
  <si>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</si>
  <si>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</si>
  <si>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</si>
  <si>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</si>
  <si>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</si>
  <si>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</si>
  <si>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</si>
  <si>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</si>
  <si>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</si>
  <si>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</si>
  <si>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</si>
  <si>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</si>
  <si>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</si>
  <si>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</si>
  <si>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</si>
  <si>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</si>
  <si>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</si>
  <si>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</si>
  <si>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</si>
  <si>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</si>
  <si>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</si>
  <si>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</si>
  <si>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</si>
  <si>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</si>
  <si>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</si>
  <si>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</si>
  <si>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</si>
  <si>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</si>
  <si>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</si>
  <si>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</si>
  <si>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</si>
  <si>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</si>
  <si>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</si>
  <si>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</si>
  <si>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</si>
  <si>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</si>
  <si>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</si>
  <si>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</si>
  <si>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</si>
  <si>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</si>
  <si>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</si>
  <si>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</si>
  <si>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</si>
  <si>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</si>
  <si>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</si>
  <si>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</si>
  <si>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</si>
  <si>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</si>
  <si>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</si>
  <si>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</si>
  <si>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</si>
  <si>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</si>
  <si>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</si>
  <si>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</si>
  <si>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</si>
  <si>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</si>
  <si>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</si>
  <si>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</si>
  <si>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</si>
  <si>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</si>
  <si>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</si>
  <si>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</si>
  <si>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</si>
  <si>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</si>
  <si>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</si>
  <si>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</si>
  <si>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</si>
  <si>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</si>
  <si>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</si>
  <si>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</si>
  <si>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</si>
  <si>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</si>
  <si>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</si>
  <si>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</si>
  <si>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</si>
  <si>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</si>
  <si>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</si>
  <si>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</si>
  <si>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</si>
  <si>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</si>
  <si>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</si>
  <si>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</si>
  <si>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</si>
  <si>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</si>
  <si>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</si>
  <si>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</si>
  <si>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</si>
  <si>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</si>
  <si>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</si>
  <si>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</si>
  <si>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</si>
  <si>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</si>
  <si>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</si>
  <si>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</si>
  <si>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</si>
  <si>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</si>
  <si>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</si>
  <si>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</si>
  <si>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</si>
  <si>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</si>
  <si>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</si>
  <si>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</si>
  <si>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</si>
  <si>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</si>
  <si>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</si>
  <si>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</si>
  <si>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</si>
  <si>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</si>
  <si>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</si>
  <si>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</si>
  <si>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</si>
  <si>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</si>
  <si>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</si>
  <si>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</si>
  <si>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</si>
  <si>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</si>
  <si>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</si>
  <si>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</si>
  <si>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</si>
  <si>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</si>
  <si>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</si>
  <si>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</si>
  <si>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</si>
  <si>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</si>
  <si>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</si>
  <si>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</si>
  <si>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</si>
  <si>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</si>
  <si>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</si>
  <si>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</si>
  <si>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</si>
  <si>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</si>
  <si>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</si>
  <si>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</si>
  <si>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</si>
  <si>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</si>
  <si>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</si>
  <si>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</si>
  <si>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</si>
  <si>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</si>
  <si>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</si>
  <si>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</si>
  <si>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</si>
  <si>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</si>
  <si>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</si>
  <si>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</si>
  <si>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</si>
  <si>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</si>
  <si>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</si>
  <si>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</si>
  <si>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</si>
  <si>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</si>
  <si>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</si>
  <si>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</si>
  <si>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</si>
  <si>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</si>
  <si>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</si>
  <si>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</si>
  <si>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</si>
  <si>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</si>
  <si>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</si>
  <si>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</si>
  <si>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</si>
  <si>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</si>
  <si>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</si>
  <si>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</si>
  <si>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</si>
  <si>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</si>
  <si>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</si>
  <si>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</si>
  <si>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</si>
  <si>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</si>
  <si>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</si>
  <si>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</si>
  <si>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</si>
  <si>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</si>
  <si>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</si>
  <si>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</si>
  <si>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</si>
  <si>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</si>
  <si>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</si>
  <si>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</si>
  <si>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</si>
  <si>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</si>
  <si>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</si>
  <si>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</si>
  <si>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</si>
  <si>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</si>
  <si>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</si>
  <si>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</si>
  <si>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</si>
  <si>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</si>
  <si>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</si>
  <si>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</si>
  <si>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</si>
  <si>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</si>
  <si>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</si>
  <si>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</si>
  <si>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</si>
  <si>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</si>
  <si>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</si>
  <si>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</si>
  <si>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</si>
  <si>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</si>
  <si>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</si>
  <si>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</si>
  <si>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</si>
  <si>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</si>
  <si>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</si>
  <si>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</si>
  <si>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</si>
  <si>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</si>
  <si>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</si>
  <si>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</si>
  <si>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</si>
  <si>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</si>
  <si>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</si>
  <si>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</si>
  <si>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</si>
  <si>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</si>
  <si>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</si>
  <si>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</si>
  <si>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</si>
  <si>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</si>
  <si>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</si>
  <si>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</si>
  <si>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</si>
  <si>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</si>
  <si>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</si>
  <si>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</si>
  <si>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</si>
  <si>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</si>
  <si>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</si>
  <si>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</si>
  <si>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</si>
  <si>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</si>
  <si>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</si>
  <si>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</si>
  <si>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</si>
  <si>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</si>
  <si>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</si>
  <si>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</si>
  <si>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</si>
  <si>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</si>
  <si>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</si>
  <si>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</si>
  <si>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</si>
  <si>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</si>
  <si>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</si>
  <si>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</si>
  <si>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</si>
  <si>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</si>
  <si>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</si>
  <si>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</si>
  <si>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</si>
  <si>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</si>
  <si>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</si>
  <si>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</si>
  <si>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</si>
  <si>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</si>
  <si>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</si>
  <si>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</si>
  <si>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</si>
  <si>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</si>
  <si>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</si>
  <si>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</si>
  <si>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</si>
  <si>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</si>
  <si>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</si>
  <si>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</si>
  <si>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</si>
  <si>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</si>
  <si>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</si>
  <si>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</si>
  <si>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</si>
  <si>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</si>
  <si>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</si>
  <si>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</si>
  <si>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</si>
  <si>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</si>
  <si>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</si>
  <si>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</si>
  <si>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</si>
  <si>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</si>
  <si>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</si>
  <si>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</si>
  <si>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</si>
  <si>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</si>
  <si>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</si>
  <si>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</si>
  <si>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</si>
  <si>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</si>
  <si>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</si>
  <si>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</si>
  <si>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</si>
  <si>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</si>
  <si>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</si>
  <si>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</si>
  <si>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</si>
  <si>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</si>
  <si>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</si>
  <si>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</si>
  <si>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</si>
  <si>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</si>
  <si>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</si>
  <si>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</si>
  <si>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</si>
  <si>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</si>
  <si>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</si>
  <si>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</si>
  <si>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</si>
  <si>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</si>
  <si>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</si>
  <si>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</si>
  <si>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</si>
  <si>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</si>
  <si>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</si>
  <si>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</si>
  <si>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</si>
  <si>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</si>
  <si>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</si>
  <si>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</si>
  <si>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</si>
  <si>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</si>
  <si>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</si>
  <si>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</si>
  <si>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</si>
  <si>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</si>
  <si>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</si>
  <si>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</si>
  <si>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</si>
  <si>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</si>
  <si>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</si>
  <si>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</si>
  <si>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</si>
  <si>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</si>
  <si>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</si>
  <si>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</si>
  <si>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</si>
  <si>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</si>
  <si>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</si>
  <si>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</si>
  <si>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</si>
  <si>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</si>
  <si>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</si>
  <si>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</si>
  <si>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</si>
  <si>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</si>
  <si>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</si>
  <si>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</si>
  <si>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</si>
  <si>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</si>
  <si>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</si>
  <si>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</si>
  <si>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</si>
  <si>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</si>
  <si>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</si>
  <si>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</si>
  <si>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</si>
  <si>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</si>
  <si>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</si>
  <si>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</si>
  <si>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</si>
  <si>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</si>
  <si>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</si>
  <si>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</si>
  <si>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</si>
  <si>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</si>
  <si>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</si>
  <si>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</si>
  <si>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</si>
  <si>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</si>
  <si>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</si>
  <si>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</si>
  <si>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</si>
  <si>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</si>
  <si>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</si>
  <si>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</si>
  <si>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</si>
  <si>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</si>
  <si>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</si>
  <si>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</si>
  <si>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</si>
  <si>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</si>
  <si>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</si>
  <si>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</si>
  <si>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</si>
  <si>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</si>
  <si>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</si>
  <si>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</si>
  <si>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</si>
  <si>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</si>
  <si>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</si>
  <si>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</si>
  <si>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</si>
  <si>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</si>
  <si>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</si>
  <si>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</si>
  <si>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</si>
  <si>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</si>
  <si>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</si>
  <si>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</si>
  <si>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</si>
  <si>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</si>
  <si>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</si>
  <si>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</si>
  <si>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</si>
  <si>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</si>
  <si>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</si>
  <si>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</si>
  <si>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</si>
  <si>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</si>
  <si>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</si>
  <si>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</si>
  <si>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</si>
  <si>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</si>
  <si>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</si>
  <si>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</si>
  <si>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</si>
  <si>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</si>
  <si>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</si>
  <si>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</si>
  <si>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</si>
  <si>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</si>
  <si>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</si>
  <si>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</si>
  <si>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</si>
  <si>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</si>
  <si>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</si>
  <si>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</si>
  <si>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</si>
  <si>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</si>
  <si>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</si>
  <si>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</si>
  <si>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</si>
  <si>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</si>
  <si>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</si>
  <si>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</si>
  <si>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</si>
  <si>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</si>
  <si>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</si>
  <si>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</si>
  <si>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</si>
  <si>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</si>
  <si>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</si>
  <si>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</si>
  <si>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</si>
  <si>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</si>
  <si>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</si>
  <si>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</si>
  <si>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</si>
  <si>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</si>
  <si>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</si>
  <si>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</si>
  <si>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</si>
  <si>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</si>
  <si>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</si>
  <si>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</si>
  <si>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</si>
  <si>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</si>
  <si>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</si>
  <si>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</si>
  <si>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</si>
  <si>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</si>
  <si>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</si>
  <si>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</si>
  <si>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</si>
  <si>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</si>
  <si>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</si>
  <si>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</si>
  <si>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</si>
  <si>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</si>
  <si>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</si>
  <si>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</si>
  <si>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</si>
  <si>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</si>
  <si>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</si>
  <si>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</si>
  <si>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</si>
  <si>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</si>
  <si>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</si>
  <si>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</si>
  <si>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</si>
  <si>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</si>
  <si>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</si>
  <si>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</si>
  <si>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</si>
  <si>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</si>
  <si>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</si>
  <si>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</si>
  <si>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</si>
  <si>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</si>
  <si>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</si>
  <si>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</si>
  <si>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</si>
  <si>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</si>
  <si>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</si>
  <si>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</si>
  <si>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</si>
  <si>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</si>
  <si>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</si>
  <si>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</si>
  <si>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</si>
  <si>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</si>
  <si>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</si>
  <si>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</si>
  <si>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</si>
  <si>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</si>
  <si>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</si>
  <si>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</si>
  <si>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</si>
  <si>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</si>
  <si>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</si>
  <si>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</si>
  <si>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</si>
  <si>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</si>
  <si>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</si>
  <si>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</si>
  <si>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</si>
  <si>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</si>
  <si>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</si>
  <si>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</si>
  <si>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</si>
  <si>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</si>
  <si>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</si>
  <si>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</si>
  <si>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</si>
  <si>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</si>
  <si>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</si>
  <si>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</si>
  <si>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</si>
  <si>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</si>
  <si>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</si>
  <si>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</si>
  <si>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</si>
  <si>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</si>
  <si>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</si>
  <si>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</si>
  <si>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</si>
  <si>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</si>
  <si>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</si>
  <si>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</si>
  <si>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</si>
  <si>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</si>
  <si>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</si>
  <si>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</si>
  <si>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</si>
  <si>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</si>
  <si>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</si>
  <si>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</si>
  <si>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</si>
  <si>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</si>
  <si>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</si>
  <si>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</si>
  <si>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</si>
  <si>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</si>
  <si>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</si>
  <si>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</si>
  <si>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</si>
  <si>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</si>
  <si>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</si>
  <si>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</si>
  <si>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</si>
  <si>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</si>
  <si>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</si>
  <si>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</si>
  <si>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</si>
  <si>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</si>
  <si>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</si>
  <si>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</si>
  <si>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</si>
  <si>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</si>
  <si>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</si>
  <si>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</si>
  <si>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</si>
  <si>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</si>
  <si>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</si>
  <si>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</si>
  <si>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</si>
  <si>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</si>
  <si>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</si>
  <si>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</si>
  <si>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</si>
  <si>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</si>
  <si>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</si>
  <si>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</si>
  <si>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</si>
  <si>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</si>
  <si>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</si>
  <si>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</si>
  <si>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</si>
  <si>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</si>
  <si>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</si>
  <si>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</si>
  <si>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</si>
  <si>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</si>
  <si>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</si>
  <si>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</si>
  <si>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</si>
  <si>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</si>
  <si>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</si>
  <si>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</si>
  <si>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</si>
  <si>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</si>
  <si>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</si>
  <si>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</si>
  <si>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</si>
  <si>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</si>
  <si>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</si>
  <si>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</si>
  <si>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</si>
  <si>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</si>
  <si>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</si>
  <si>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</si>
  <si>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</si>
  <si>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</si>
  <si>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</si>
  <si>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</si>
  <si>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</si>
  <si>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</si>
  <si>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</si>
  <si>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</si>
  <si>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</si>
  <si>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</si>
  <si>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</si>
  <si>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</si>
  <si>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</si>
  <si>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</si>
  <si>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</si>
  <si>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</si>
  <si>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</si>
  <si>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</si>
  <si>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</si>
  <si>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</si>
  <si>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</si>
  <si>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</si>
  <si>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</si>
  <si>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</si>
  <si>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</si>
  <si>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</si>
  <si>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</si>
  <si>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</si>
  <si>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</si>
  <si>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</si>
  <si>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</si>
  <si>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</si>
  <si>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</si>
  <si>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</si>
  <si>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</si>
  <si>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</si>
  <si>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</si>
  <si>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</si>
  <si>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</si>
  <si>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</si>
  <si>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</si>
  <si>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</si>
  <si>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</si>
  <si>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</si>
  <si>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</si>
  <si>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</si>
  <si>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</si>
  <si>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</si>
  <si>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</si>
  <si>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</si>
  <si>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</si>
  <si>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</si>
  <si>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</si>
  <si>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</si>
  <si>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</si>
  <si>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</si>
  <si>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</si>
  <si>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</si>
  <si>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</si>
  <si>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</si>
  <si>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</si>
  <si>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</si>
  <si>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</si>
  <si>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</si>
  <si>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</si>
  <si>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</si>
  <si>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</si>
  <si>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</si>
  <si>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</si>
  <si>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</si>
  <si>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</si>
  <si>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</si>
  <si>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</si>
  <si>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</si>
  <si>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</si>
  <si>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</si>
  <si>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</si>
  <si>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</si>
  <si>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</si>
  <si>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</si>
  <si>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</si>
  <si>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</si>
  <si>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</si>
  <si>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</si>
  <si>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</si>
  <si>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</si>
  <si>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</si>
  <si>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</si>
  <si>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</si>
  <si>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</si>
  <si>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</si>
  <si>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</si>
  <si>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</si>
  <si>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</si>
  <si>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</si>
  <si>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</si>
  <si>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</si>
  <si>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</si>
  <si>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</si>
  <si>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</si>
  <si>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</si>
  <si>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</si>
  <si>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</si>
  <si>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</si>
  <si>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</si>
  <si>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</si>
  <si>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</si>
  <si>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</si>
  <si>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</si>
  <si>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</si>
  <si>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</si>
  <si>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</si>
  <si>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</si>
  <si>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</si>
  <si>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</si>
  <si>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</si>
  <si>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</si>
  <si>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</si>
  <si>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</si>
  <si>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</si>
  <si>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</si>
  <si>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</si>
  <si>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</si>
  <si>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</si>
  <si>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</si>
  <si>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</si>
  <si>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</si>
  <si>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</si>
  <si>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</si>
  <si>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</si>
  <si>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</si>
  <si>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</si>
  <si>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</si>
  <si>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</si>
  <si>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</si>
  <si>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</si>
  <si>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</si>
  <si>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</si>
  <si>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</si>
  <si>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</si>
  <si>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</si>
  <si>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</si>
  <si>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</si>
  <si>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</si>
  <si>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</si>
  <si>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</si>
  <si>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</si>
  <si>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</si>
  <si>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</si>
  <si>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</si>
  <si>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</si>
  <si>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</si>
  <si>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</si>
  <si>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</si>
  <si>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</si>
  <si>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</si>
  <si>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</si>
  <si>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</si>
  <si>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</si>
  <si>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</si>
  <si>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</si>
  <si>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</si>
  <si>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</si>
  <si>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</si>
  <si>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</si>
  <si>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</si>
  <si>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</si>
  <si>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</si>
  <si>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</si>
  <si>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</si>
  <si>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</si>
  <si>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</si>
  <si>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</si>
  <si>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</si>
  <si>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</si>
  <si>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</si>
  <si>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</si>
  <si>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</si>
  <si>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</si>
  <si>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</si>
  <si>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</si>
  <si>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</si>
  <si>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</si>
  <si>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</si>
  <si>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</si>
  <si>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</si>
  <si>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</si>
  <si>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</si>
  <si>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</si>
  <si>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</si>
  <si>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</si>
  <si>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</si>
  <si>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</si>
  <si>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</si>
  <si>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</si>
  <si>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</si>
  <si>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</si>
  <si>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</si>
  <si>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</si>
  <si>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</si>
  <si>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</si>
  <si>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</si>
  <si>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</si>
  <si>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</si>
  <si>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</si>
  <si>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</si>
  <si>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23002</t>
  </si>
  <si>
    <t>ASSE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</si>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</sst>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4CF9719E-2F69-483F-BE26-9B4C48DC9AD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270420.41254187323</c:v>
                </c:pt>
                <c:pt idx="1">
                  <c:v>202070.59032659195</c:v>
                </c:pt>
                <c:pt idx="2">
                  <c:v>2045.1420000000001</c:v>
                </c:pt>
                <c:pt idx="3">
                  <c:v>13689.50889162185</c:v>
                </c:pt>
                <c:pt idx="4">
                  <c:v>28042.614985379634</c:v>
                </c:pt>
                <c:pt idx="5">
                  <c:v>339279.02137697139</c:v>
                </c:pt>
                <c:pt idx="6">
                  <c:v>4873.4749493048594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270420.41254187323</c:v>
                </c:pt>
                <c:pt idx="1">
                  <c:v>202070.59032659195</c:v>
                </c:pt>
                <c:pt idx="2">
                  <c:v>2045.1420000000001</c:v>
                </c:pt>
                <c:pt idx="3">
                  <c:v>13689.50889162185</c:v>
                </c:pt>
                <c:pt idx="4">
                  <c:v>28042.614985379634</c:v>
                </c:pt>
                <c:pt idx="5">
                  <c:v>339279.02137697139</c:v>
                </c:pt>
                <c:pt idx="6">
                  <c:v>4873.4749493048594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54763.588081355156</c:v>
                </c:pt>
                <c:pt idx="2">
                  <c:v>39787.451911852309</c:v>
                </c:pt>
                <c:pt idx="3">
                  <c:v>385.20781311871559</c:v>
                </c:pt>
                <c:pt idx="4">
                  <c:v>3456.5633423269642</c:v>
                </c:pt>
                <c:pt idx="5">
                  <c:v>5607.3149274163025</c:v>
                </c:pt>
                <c:pt idx="6">
                  <c:v>84923.706612999784</c:v>
                </c:pt>
                <c:pt idx="7">
                  <c:v>1227.2513566676837</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54763.588081355156</c:v>
                </c:pt>
                <c:pt idx="2">
                  <c:v>39787.451911852309</c:v>
                </c:pt>
                <c:pt idx="3">
                  <c:v>385.20781311871559</c:v>
                </c:pt>
                <c:pt idx="4">
                  <c:v>3456.5633423269642</c:v>
                </c:pt>
                <c:pt idx="5">
                  <c:v>5607.3149274163025</c:v>
                </c:pt>
                <c:pt idx="6">
                  <c:v>84923.706612999784</c:v>
                </c:pt>
                <c:pt idx="7">
                  <c:v>1227.2513566676837</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23002</v>
      </c>
      <c r="B6" s="380"/>
      <c r="C6" s="381"/>
    </row>
    <row r="7" spans="1:7" s="378" customFormat="1" ht="15.75" customHeight="1">
      <c r="A7" s="382" t="str">
        <f>txtMunicipality</f>
        <v>ASSE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0.18835260002421131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0.18835260002421131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13061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2432.52</v>
      </c>
      <c r="C14" s="322"/>
      <c r="D14" s="322"/>
      <c r="E14" s="322"/>
      <c r="F14" s="322"/>
    </row>
    <row r="15" spans="1:6">
      <c r="A15" s="1248" t="s">
        <v>177</v>
      </c>
      <c r="B15" s="1249">
        <v>894</v>
      </c>
      <c r="C15" s="322"/>
      <c r="D15" s="322"/>
      <c r="E15" s="322"/>
      <c r="F15" s="322"/>
    </row>
    <row r="16" spans="1:6">
      <c r="A16" s="1248" t="s">
        <v>6</v>
      </c>
      <c r="B16" s="1249">
        <v>272</v>
      </c>
      <c r="C16" s="322"/>
      <c r="D16" s="322"/>
      <c r="E16" s="322"/>
      <c r="F16" s="322"/>
    </row>
    <row r="17" spans="1:6">
      <c r="A17" s="1248" t="s">
        <v>7</v>
      </c>
      <c r="B17" s="1249">
        <v>440</v>
      </c>
      <c r="C17" s="322"/>
      <c r="D17" s="322"/>
      <c r="E17" s="322"/>
      <c r="F17" s="322"/>
    </row>
    <row r="18" spans="1:6">
      <c r="A18" s="1248" t="s">
        <v>8</v>
      </c>
      <c r="B18" s="1249">
        <v>528</v>
      </c>
      <c r="C18" s="322"/>
      <c r="D18" s="322"/>
      <c r="E18" s="322"/>
      <c r="F18" s="322"/>
    </row>
    <row r="19" spans="1:6">
      <c r="A19" s="1248" t="s">
        <v>9</v>
      </c>
      <c r="B19" s="1249">
        <v>510</v>
      </c>
      <c r="C19" s="322"/>
      <c r="D19" s="322"/>
      <c r="E19" s="322"/>
      <c r="F19" s="322"/>
    </row>
    <row r="20" spans="1:6">
      <c r="A20" s="1248" t="s">
        <v>10</v>
      </c>
      <c r="B20" s="1249">
        <v>466</v>
      </c>
      <c r="C20" s="322"/>
      <c r="D20" s="322"/>
      <c r="E20" s="322"/>
      <c r="F20" s="322"/>
    </row>
    <row r="21" spans="1:6">
      <c r="A21" s="1248" t="s">
        <v>11</v>
      </c>
      <c r="B21" s="1249">
        <v>483</v>
      </c>
      <c r="C21" s="322"/>
      <c r="D21" s="322"/>
      <c r="E21" s="322"/>
      <c r="F21" s="322"/>
    </row>
    <row r="22" spans="1:6">
      <c r="A22" s="1248" t="s">
        <v>12</v>
      </c>
      <c r="B22" s="1249">
        <v>4300</v>
      </c>
      <c r="C22" s="322"/>
      <c r="D22" s="322"/>
      <c r="E22" s="322"/>
      <c r="F22" s="322"/>
    </row>
    <row r="23" spans="1:6">
      <c r="A23" s="1248" t="s">
        <v>13</v>
      </c>
      <c r="B23" s="1249">
        <v>19</v>
      </c>
      <c r="C23" s="322"/>
      <c r="D23" s="322"/>
      <c r="E23" s="322"/>
      <c r="F23" s="322"/>
    </row>
    <row r="24" spans="1:6">
      <c r="A24" s="1248" t="s">
        <v>14</v>
      </c>
      <c r="B24" s="1249">
        <v>1</v>
      </c>
      <c r="C24" s="322"/>
      <c r="D24" s="322"/>
      <c r="E24" s="322"/>
      <c r="F24" s="322"/>
    </row>
    <row r="25" spans="1:6">
      <c r="A25" s="1248" t="s">
        <v>15</v>
      </c>
      <c r="B25" s="1249">
        <v>201</v>
      </c>
      <c r="C25" s="322"/>
      <c r="D25" s="322"/>
      <c r="E25" s="322"/>
      <c r="F25" s="322"/>
    </row>
    <row r="26" spans="1:6">
      <c r="A26" s="1248" t="s">
        <v>16</v>
      </c>
      <c r="B26" s="1249">
        <v>275</v>
      </c>
      <c r="C26" s="322"/>
      <c r="D26" s="322"/>
      <c r="E26" s="322"/>
      <c r="F26" s="322"/>
    </row>
    <row r="27" spans="1:6">
      <c r="A27" s="1248" t="s">
        <v>17</v>
      </c>
      <c r="B27" s="1249">
        <v>0</v>
      </c>
      <c r="C27" s="322"/>
      <c r="D27" s="322"/>
      <c r="E27" s="322"/>
      <c r="F27" s="322"/>
    </row>
    <row r="28" spans="1:6">
      <c r="A28" s="1248" t="s">
        <v>18</v>
      </c>
      <c r="B28" s="1250">
        <v>63172</v>
      </c>
      <c r="C28" s="322"/>
      <c r="D28" s="322"/>
      <c r="E28" s="322"/>
      <c r="F28" s="322"/>
    </row>
    <row r="29" spans="1:6">
      <c r="A29" s="1248" t="s">
        <v>691</v>
      </c>
      <c r="B29" s="1250">
        <v>378</v>
      </c>
      <c r="C29" s="322"/>
      <c r="D29" s="322"/>
      <c r="E29" s="322"/>
      <c r="F29" s="322"/>
    </row>
    <row r="30" spans="1:6">
      <c r="A30" s="1243" t="s">
        <v>692</v>
      </c>
      <c r="B30" s="1251">
        <v>75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5</v>
      </c>
      <c r="F38" s="1249">
        <v>21020.201675949</v>
      </c>
    </row>
    <row r="39" spans="1:6">
      <c r="A39" s="1248" t="s">
        <v>29</v>
      </c>
      <c r="B39" s="1248" t="s">
        <v>30</v>
      </c>
      <c r="C39" s="1249">
        <v>7907</v>
      </c>
      <c r="D39" s="1249">
        <v>132382385.567996</v>
      </c>
      <c r="E39" s="1249">
        <v>13022</v>
      </c>
      <c r="F39" s="1249">
        <v>47002694.959449448</v>
      </c>
    </row>
    <row r="40" spans="1:6">
      <c r="A40" s="1248" t="s">
        <v>29</v>
      </c>
      <c r="B40" s="1248" t="s">
        <v>28</v>
      </c>
      <c r="C40" s="1249">
        <v>0</v>
      </c>
      <c r="D40" s="1249">
        <v>0</v>
      </c>
      <c r="E40" s="1249">
        <v>0</v>
      </c>
      <c r="F40" s="1249">
        <v>0</v>
      </c>
    </row>
    <row r="41" spans="1:6">
      <c r="A41" s="1248" t="s">
        <v>31</v>
      </c>
      <c r="B41" s="1248" t="s">
        <v>32</v>
      </c>
      <c r="C41" s="1249">
        <v>91</v>
      </c>
      <c r="D41" s="1249">
        <v>2704122.3134201099</v>
      </c>
      <c r="E41" s="1249">
        <v>221</v>
      </c>
      <c r="F41" s="1249">
        <v>1792813.4070818401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14</v>
      </c>
      <c r="F44" s="1249">
        <v>298907.62479341798</v>
      </c>
    </row>
    <row r="45" spans="1:6">
      <c r="A45" s="1248" t="s">
        <v>31</v>
      </c>
      <c r="B45" s="1248" t="s">
        <v>36</v>
      </c>
      <c r="C45" s="1249">
        <v>5</v>
      </c>
      <c r="D45" s="1249">
        <v>53061.579453351398</v>
      </c>
      <c r="E45" s="1249">
        <v>4</v>
      </c>
      <c r="F45" s="1249">
        <v>13471.538855287001</v>
      </c>
    </row>
    <row r="46" spans="1:6">
      <c r="A46" s="1248" t="s">
        <v>31</v>
      </c>
      <c r="B46" s="1248" t="s">
        <v>37</v>
      </c>
      <c r="C46" s="1249">
        <v>0</v>
      </c>
      <c r="D46" s="1249">
        <v>0</v>
      </c>
      <c r="E46" s="1249">
        <v>0</v>
      </c>
      <c r="F46" s="1249">
        <v>0</v>
      </c>
    </row>
    <row r="47" spans="1:6">
      <c r="A47" s="1248" t="s">
        <v>31</v>
      </c>
      <c r="B47" s="1248" t="s">
        <v>38</v>
      </c>
      <c r="C47" s="1249">
        <v>3</v>
      </c>
      <c r="D47" s="1249">
        <v>983190.289278107</v>
      </c>
      <c r="E47" s="1249">
        <v>6</v>
      </c>
      <c r="F47" s="1249">
        <v>1767467.9875914799</v>
      </c>
    </row>
    <row r="48" spans="1:6">
      <c r="A48" s="1248" t="s">
        <v>31</v>
      </c>
      <c r="B48" s="1248" t="s">
        <v>28</v>
      </c>
      <c r="C48" s="1249">
        <v>40</v>
      </c>
      <c r="D48" s="1249">
        <v>5593730.9139332501</v>
      </c>
      <c r="E48" s="1249">
        <v>55</v>
      </c>
      <c r="F48" s="1249">
        <v>4441996.5428567696</v>
      </c>
    </row>
    <row r="49" spans="1:6">
      <c r="A49" s="1248" t="s">
        <v>31</v>
      </c>
      <c r="B49" s="1248" t="s">
        <v>39</v>
      </c>
      <c r="C49" s="1249">
        <v>0</v>
      </c>
      <c r="D49" s="1249">
        <v>0</v>
      </c>
      <c r="E49" s="1249">
        <v>0</v>
      </c>
      <c r="F49" s="1249">
        <v>0</v>
      </c>
    </row>
    <row r="50" spans="1:6">
      <c r="A50" s="1248" t="s">
        <v>31</v>
      </c>
      <c r="B50" s="1248" t="s">
        <v>40</v>
      </c>
      <c r="C50" s="1249">
        <v>5</v>
      </c>
      <c r="D50" s="1249">
        <v>5067646.3297837097</v>
      </c>
      <c r="E50" s="1249">
        <v>8</v>
      </c>
      <c r="F50" s="1249">
        <v>3929024.9302972201</v>
      </c>
    </row>
    <row r="51" spans="1:6">
      <c r="A51" s="1248" t="s">
        <v>41</v>
      </c>
      <c r="B51" s="1248" t="s">
        <v>42</v>
      </c>
      <c r="C51" s="1249">
        <v>12</v>
      </c>
      <c r="D51" s="1249">
        <v>591190.63663221197</v>
      </c>
      <c r="E51" s="1249">
        <v>85</v>
      </c>
      <c r="F51" s="1249">
        <v>2386399.5036110501</v>
      </c>
    </row>
    <row r="52" spans="1:6">
      <c r="A52" s="1248" t="s">
        <v>41</v>
      </c>
      <c r="B52" s="1248" t="s">
        <v>28</v>
      </c>
      <c r="C52" s="1249">
        <v>6</v>
      </c>
      <c r="D52" s="1249">
        <v>274467.14196832199</v>
      </c>
      <c r="E52" s="1249">
        <v>10</v>
      </c>
      <c r="F52" s="1249">
        <v>203294.70820190199</v>
      </c>
    </row>
    <row r="53" spans="1:6">
      <c r="A53" s="1248" t="s">
        <v>43</v>
      </c>
      <c r="B53" s="1248" t="s">
        <v>44</v>
      </c>
      <c r="C53" s="1249">
        <v>233</v>
      </c>
      <c r="D53" s="1249">
        <v>4397553.4164460897</v>
      </c>
      <c r="E53" s="1249">
        <v>589</v>
      </c>
      <c r="F53" s="1249">
        <v>2223112.29033991</v>
      </c>
    </row>
    <row r="54" spans="1:6">
      <c r="A54" s="1248" t="s">
        <v>45</v>
      </c>
      <c r="B54" s="1248" t="s">
        <v>46</v>
      </c>
      <c r="C54" s="1249">
        <v>0</v>
      </c>
      <c r="D54" s="1249">
        <v>0</v>
      </c>
      <c r="E54" s="1249">
        <v>1</v>
      </c>
      <c r="F54" s="1249">
        <v>2045142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87</v>
      </c>
      <c r="D57" s="1249">
        <v>7564239.0099743903</v>
      </c>
      <c r="E57" s="1249">
        <v>211</v>
      </c>
      <c r="F57" s="1249">
        <v>3862665.81394755</v>
      </c>
    </row>
    <row r="58" spans="1:6">
      <c r="A58" s="1248" t="s">
        <v>48</v>
      </c>
      <c r="B58" s="1248" t="s">
        <v>50</v>
      </c>
      <c r="C58" s="1249">
        <v>44</v>
      </c>
      <c r="D58" s="1249">
        <v>1480185.5002208599</v>
      </c>
      <c r="E58" s="1249">
        <v>82</v>
      </c>
      <c r="F58" s="1249">
        <v>1124103.3326137001</v>
      </c>
    </row>
    <row r="59" spans="1:6">
      <c r="A59" s="1248" t="s">
        <v>48</v>
      </c>
      <c r="B59" s="1248" t="s">
        <v>51</v>
      </c>
      <c r="C59" s="1249">
        <v>164</v>
      </c>
      <c r="D59" s="1249">
        <v>23424675.035273999</v>
      </c>
      <c r="E59" s="1249">
        <v>404</v>
      </c>
      <c r="F59" s="1249">
        <v>45224928.967850998</v>
      </c>
    </row>
    <row r="60" spans="1:6">
      <c r="A60" s="1248" t="s">
        <v>48</v>
      </c>
      <c r="B60" s="1248" t="s">
        <v>52</v>
      </c>
      <c r="C60" s="1249">
        <v>91</v>
      </c>
      <c r="D60" s="1249">
        <v>3811569.3304903801</v>
      </c>
      <c r="E60" s="1249">
        <v>127</v>
      </c>
      <c r="F60" s="1249">
        <v>2302173.1624645302</v>
      </c>
    </row>
    <row r="61" spans="1:6">
      <c r="A61" s="1248" t="s">
        <v>48</v>
      </c>
      <c r="B61" s="1248" t="s">
        <v>53</v>
      </c>
      <c r="C61" s="1249">
        <v>288</v>
      </c>
      <c r="D61" s="1249">
        <v>23586392.124276798</v>
      </c>
      <c r="E61" s="1249">
        <v>809</v>
      </c>
      <c r="F61" s="1249">
        <v>23624778.668395001</v>
      </c>
    </row>
    <row r="62" spans="1:6">
      <c r="A62" s="1248" t="s">
        <v>48</v>
      </c>
      <c r="B62" s="1248" t="s">
        <v>54</v>
      </c>
      <c r="C62" s="1249">
        <v>18</v>
      </c>
      <c r="D62" s="1249">
        <v>3892104.6641779002</v>
      </c>
      <c r="E62" s="1249">
        <v>23</v>
      </c>
      <c r="F62" s="1249">
        <v>579212.47558177402</v>
      </c>
    </row>
    <row r="63" spans="1:6">
      <c r="A63" s="1248" t="s">
        <v>48</v>
      </c>
      <c r="B63" s="1248" t="s">
        <v>28</v>
      </c>
      <c r="C63" s="1249">
        <v>212</v>
      </c>
      <c r="D63" s="1249">
        <v>31435204.251913302</v>
      </c>
      <c r="E63" s="1249">
        <v>198</v>
      </c>
      <c r="F63" s="1249">
        <v>19980836.6861743</v>
      </c>
    </row>
    <row r="64" spans="1:6">
      <c r="A64" s="1248" t="s">
        <v>55</v>
      </c>
      <c r="B64" s="1248" t="s">
        <v>56</v>
      </c>
      <c r="C64" s="1249">
        <v>0</v>
      </c>
      <c r="D64" s="1249">
        <v>0</v>
      </c>
      <c r="E64" s="1249">
        <v>0</v>
      </c>
      <c r="F64" s="1249">
        <v>0</v>
      </c>
    </row>
    <row r="65" spans="1:6">
      <c r="A65" s="1248" t="s">
        <v>55</v>
      </c>
      <c r="B65" s="1248" t="s">
        <v>28</v>
      </c>
      <c r="C65" s="1249">
        <v>8</v>
      </c>
      <c r="D65" s="1249">
        <v>233408.365924777</v>
      </c>
      <c r="E65" s="1249">
        <v>8</v>
      </c>
      <c r="F65" s="1249">
        <v>83460.168658559007</v>
      </c>
    </row>
    <row r="66" spans="1:6">
      <c r="A66" s="1248" t="s">
        <v>55</v>
      </c>
      <c r="B66" s="1248" t="s">
        <v>57</v>
      </c>
      <c r="C66" s="1249">
        <v>4</v>
      </c>
      <c r="D66" s="1249">
        <v>158390.86669384001</v>
      </c>
      <c r="E66" s="1249">
        <v>32</v>
      </c>
      <c r="F66" s="1249">
        <v>751412</v>
      </c>
    </row>
    <row r="67" spans="1:6">
      <c r="A67" s="1248" t="s">
        <v>55</v>
      </c>
      <c r="B67" s="1248" t="s">
        <v>58</v>
      </c>
      <c r="C67" s="1249">
        <v>0</v>
      </c>
      <c r="D67" s="1249">
        <v>0</v>
      </c>
      <c r="E67" s="1249">
        <v>0</v>
      </c>
      <c r="F67" s="1249">
        <v>0</v>
      </c>
    </row>
    <row r="68" spans="1:6">
      <c r="A68" s="1243" t="s">
        <v>55</v>
      </c>
      <c r="B68" s="1243" t="s">
        <v>59</v>
      </c>
      <c r="C68" s="1251">
        <v>13</v>
      </c>
      <c r="D68" s="1251">
        <v>753921.306864743</v>
      </c>
      <c r="E68" s="1251">
        <v>42</v>
      </c>
      <c r="F68" s="1251">
        <v>2270602.27314498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147522268</v>
      </c>
      <c r="E73" s="439"/>
      <c r="F73" s="322"/>
    </row>
    <row r="74" spans="1:6">
      <c r="A74" s="1248" t="s">
        <v>63</v>
      </c>
      <c r="B74" s="1248" t="s">
        <v>617</v>
      </c>
      <c r="C74" s="1261" t="s">
        <v>619</v>
      </c>
      <c r="D74" s="1249">
        <v>12404129.5</v>
      </c>
      <c r="E74" s="439"/>
      <c r="F74" s="322"/>
    </row>
    <row r="75" spans="1:6">
      <c r="A75" s="1248" t="s">
        <v>64</v>
      </c>
      <c r="B75" s="1248" t="s">
        <v>616</v>
      </c>
      <c r="C75" s="1261" t="s">
        <v>620</v>
      </c>
      <c r="D75" s="1249">
        <v>62461986</v>
      </c>
      <c r="E75" s="439"/>
      <c r="F75" s="322"/>
    </row>
    <row r="76" spans="1:6">
      <c r="A76" s="1248" t="s">
        <v>64</v>
      </c>
      <c r="B76" s="1248" t="s">
        <v>617</v>
      </c>
      <c r="C76" s="1261" t="s">
        <v>621</v>
      </c>
      <c r="D76" s="1249">
        <v>3442895.5</v>
      </c>
      <c r="E76" s="439"/>
      <c r="F76" s="322"/>
    </row>
    <row r="77" spans="1:6">
      <c r="A77" s="1248" t="s">
        <v>65</v>
      </c>
      <c r="B77" s="1248" t="s">
        <v>616</v>
      </c>
      <c r="C77" s="1261" t="s">
        <v>622</v>
      </c>
      <c r="D77" s="1249">
        <v>147185868</v>
      </c>
      <c r="E77" s="439"/>
      <c r="F77" s="322"/>
    </row>
    <row r="78" spans="1:6">
      <c r="A78" s="1243" t="s">
        <v>65</v>
      </c>
      <c r="B78" s="1243" t="s">
        <v>617</v>
      </c>
      <c r="C78" s="1243" t="s">
        <v>623</v>
      </c>
      <c r="D78" s="1251">
        <v>17466098</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1325519</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13779.58500203706</v>
      </c>
      <c r="C90" s="322"/>
      <c r="D90" s="322"/>
      <c r="E90" s="322"/>
      <c r="F90" s="322"/>
    </row>
    <row r="91" spans="1:6">
      <c r="A91" s="1248" t="s">
        <v>67</v>
      </c>
      <c r="B91" s="1249">
        <v>4050.0693095732645</v>
      </c>
      <c r="C91" s="322"/>
      <c r="D91" s="322"/>
      <c r="E91" s="322"/>
      <c r="F91" s="322"/>
    </row>
    <row r="92" spans="1:6">
      <c r="A92" s="1243" t="s">
        <v>68</v>
      </c>
      <c r="B92" s="1244">
        <v>6856.0738726445925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4799</v>
      </c>
      <c r="C97" s="322"/>
      <c r="D97" s="322"/>
      <c r="E97" s="322"/>
      <c r="F97" s="322"/>
    </row>
    <row r="98" spans="1:6">
      <c r="A98" s="1248" t="s">
        <v>71</v>
      </c>
      <c r="B98" s="1249">
        <v>4</v>
      </c>
      <c r="C98" s="322"/>
      <c r="D98" s="322"/>
      <c r="E98" s="322"/>
      <c r="F98" s="322"/>
    </row>
    <row r="99" spans="1:6">
      <c r="A99" s="1248" t="s">
        <v>72</v>
      </c>
      <c r="B99" s="1249">
        <v>99</v>
      </c>
      <c r="C99" s="322"/>
      <c r="D99" s="322"/>
      <c r="E99" s="322"/>
      <c r="F99" s="322"/>
    </row>
    <row r="100" spans="1:6">
      <c r="A100" s="1248" t="s">
        <v>73</v>
      </c>
      <c r="B100" s="1249">
        <v>830</v>
      </c>
      <c r="C100" s="322"/>
      <c r="D100" s="322"/>
      <c r="E100" s="322"/>
      <c r="F100" s="322"/>
    </row>
    <row r="101" spans="1:6">
      <c r="A101" s="1248" t="s">
        <v>74</v>
      </c>
      <c r="B101" s="1249">
        <v>75</v>
      </c>
      <c r="C101" s="322"/>
      <c r="D101" s="322"/>
      <c r="E101" s="322"/>
      <c r="F101" s="322"/>
    </row>
    <row r="102" spans="1:6">
      <c r="A102" s="1248" t="s">
        <v>75</v>
      </c>
      <c r="B102" s="1249">
        <v>177</v>
      </c>
      <c r="C102" s="322"/>
      <c r="D102" s="322"/>
      <c r="E102" s="322"/>
      <c r="F102" s="322"/>
    </row>
    <row r="103" spans="1:6">
      <c r="A103" s="1248" t="s">
        <v>76</v>
      </c>
      <c r="B103" s="1249">
        <v>217</v>
      </c>
      <c r="C103" s="322"/>
      <c r="D103" s="322"/>
      <c r="E103" s="322"/>
      <c r="F103" s="322"/>
    </row>
    <row r="104" spans="1:6">
      <c r="A104" s="1248" t="s">
        <v>77</v>
      </c>
      <c r="B104" s="1249">
        <v>4999</v>
      </c>
      <c r="C104" s="322"/>
      <c r="D104" s="322"/>
      <c r="E104" s="322"/>
      <c r="F104" s="322"/>
    </row>
    <row r="105" spans="1:6">
      <c r="A105" s="1243" t="s">
        <v>78</v>
      </c>
      <c r="B105" s="1251">
        <v>15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40</v>
      </c>
      <c r="C123" s="1249">
        <v>28</v>
      </c>
      <c r="D123" s="322"/>
      <c r="E123" s="322"/>
      <c r="F123" s="322"/>
    </row>
    <row r="124" spans="1:6">
      <c r="A124" s="1248" t="s">
        <v>88</v>
      </c>
      <c r="B124" s="1249">
        <v>2</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104</v>
      </c>
      <c r="C129" s="322"/>
      <c r="D129" s="322"/>
      <c r="E129" s="322"/>
      <c r="F129" s="322"/>
    </row>
    <row r="130" spans="1:6">
      <c r="A130" s="1248" t="s">
        <v>283</v>
      </c>
      <c r="B130" s="1249">
        <v>2</v>
      </c>
      <c r="C130" s="322"/>
      <c r="D130" s="322"/>
      <c r="E130" s="322"/>
      <c r="F130" s="322"/>
    </row>
    <row r="131" spans="1:6">
      <c r="A131" s="1248" t="s">
        <v>284</v>
      </c>
      <c r="B131" s="1249">
        <v>1</v>
      </c>
      <c r="C131" s="322"/>
      <c r="D131" s="322"/>
      <c r="E131" s="322"/>
      <c r="F131" s="322"/>
    </row>
    <row r="132" spans="1:6">
      <c r="A132" s="1243" t="s">
        <v>285</v>
      </c>
      <c r="B132" s="1244">
        <v>44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167105.06603178731</v>
      </c>
      <c r="C3" s="43" t="s">
        <v>163</v>
      </c>
      <c r="D3" s="43"/>
      <c r="E3" s="153"/>
      <c r="F3" s="43"/>
      <c r="G3" s="43"/>
      <c r="H3" s="43"/>
      <c r="I3" s="43"/>
      <c r="J3" s="43"/>
      <c r="K3" s="96"/>
    </row>
    <row r="4" spans="1:11">
      <c r="A4" s="348" t="s">
        <v>164</v>
      </c>
      <c r="B4" s="49">
        <f>IF(ISERROR('SEAP template'!B78+'SEAP template'!C78),0,'SEAP template'!B78+'SEAP template'!C78)</f>
        <v>24685.728184254916</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0.18835260002421131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2045.1420000000001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2045.1420000000001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0.18835260002421131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385.20781311871559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47002.694959449451</v>
      </c>
      <c r="C5" s="17">
        <f>IF(ISERROR('Eigen informatie GS &amp; warmtenet'!B57),0,'Eigen informatie GS &amp; warmtenet'!B57)</f>
        <v>0</v>
      </c>
      <c r="D5" s="30">
        <f>(SUM(HH_hh_gas_kWh,HH_rest_gas_kWh)/1000)*0.902</f>
        <v>119408.91178233238</v>
      </c>
      <c r="E5" s="17">
        <f>B32*B41</f>
        <v>3255.9613734558975</v>
      </c>
      <c r="F5" s="17">
        <f>B36*B45</f>
        <v>75470.65144601019</v>
      </c>
      <c r="G5" s="18"/>
      <c r="H5" s="17"/>
      <c r="I5" s="17"/>
      <c r="J5" s="17">
        <f>B35*B44+C35*C44</f>
        <v>387.85266941024861</v>
      </c>
      <c r="K5" s="17"/>
      <c r="L5" s="17"/>
      <c r="M5" s="17"/>
      <c r="N5" s="17">
        <f>B34*B43+C34*C43</f>
        <v>18998.177668308439</v>
      </c>
      <c r="O5" s="17">
        <f>B52*B53*B54</f>
        <v>206.35999999999999</v>
      </c>
      <c r="P5" s="17">
        <f>B60*B61*B62/1000-B60*B61*B62/1000/B63</f>
        <v>1639.7333333333333</v>
      </c>
    </row>
    <row r="6" spans="1:16">
      <c r="A6" s="16" t="s">
        <v>582</v>
      </c>
      <c r="B6" s="716">
        <f>kWh_PV_kleiner_dan_10kW</f>
        <v>4050.0693095732645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51052.764269022715</v>
      </c>
      <c r="C8" s="21">
        <f>C5</f>
        <v>0</v>
      </c>
      <c r="D8" s="21">
        <f>D5</f>
        <v>119408.91178233238</v>
      </c>
      <c r="E8" s="21">
        <f>E5</f>
        <v>3255.9613734558975</v>
      </c>
      <c r="F8" s="21">
        <f>F5</f>
        <v>75470.65144601019</v>
      </c>
      <c r="G8" s="21"/>
      <c r="H8" s="21"/>
      <c r="I8" s="21"/>
      <c r="J8" s="21">
        <f>J5</f>
        <v>387.85266941024861</v>
      </c>
      <c r="K8" s="21"/>
      <c r="L8" s="21">
        <f>L5</f>
        <v>0</v>
      </c>
      <c r="M8" s="21">
        <f>M5</f>
        <v>0</v>
      </c>
      <c r="N8" s="21">
        <f>N5</f>
        <v>18998.177668308439</v>
      </c>
      <c r="O8" s="21">
        <f>O5</f>
        <v>206.35999999999999</v>
      </c>
      <c r="P8" s="21">
        <f>P5</f>
        <v>1639.7333333333333</v>
      </c>
    </row>
    <row r="9" spans="1:16">
      <c r="B9" s="19"/>
      <c r="C9" s="19"/>
      <c r="D9" s="253"/>
      <c r="E9" s="19"/>
      <c r="F9" s="19"/>
      <c r="G9" s="19"/>
      <c r="H9" s="19"/>
      <c r="I9" s="19"/>
      <c r="J9" s="19"/>
      <c r="K9" s="19"/>
      <c r="L9" s="19"/>
      <c r="M9" s="19"/>
      <c r="N9" s="19"/>
      <c r="O9" s="19"/>
      <c r="P9" s="19"/>
    </row>
    <row r="10" spans="1:16">
      <c r="A10" s="24" t="s">
        <v>207</v>
      </c>
      <c r="B10" s="25">
        <f ca="1">'EF ele_warmte'!B12</f>
        <v>0.18835260002421131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9615.9208884935815</v>
      </c>
      <c r="C12" s="23">
        <f ca="1">C10*C8</f>
        <v>0</v>
      </c>
      <c r="D12" s="23">
        <f>D8*D10</f>
        <v>24120.600180031142</v>
      </c>
      <c r="E12" s="23">
        <f>E10*E8</f>
        <v>739.10323177448879</v>
      </c>
      <c r="F12" s="23">
        <f>F10*F8</f>
        <v>20150.663936084722</v>
      </c>
      <c r="G12" s="23"/>
      <c r="H12" s="23"/>
      <c r="I12" s="23"/>
      <c r="J12" s="23">
        <f>J10*J8</f>
        <v>137.299844971228</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13061</v>
      </c>
      <c r="C26" s="36"/>
      <c r="D26" s="224"/>
    </row>
    <row r="27" spans="1:5" s="15" customFormat="1">
      <c r="A27" s="226" t="s">
        <v>736</v>
      </c>
      <c r="B27" s="37">
        <f>SUM(HH_hh_gas_aantal,HH_rest_gas_aantal)</f>
        <v>7907</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7511.65</v>
      </c>
      <c r="C31" s="34" t="s">
        <v>104</v>
      </c>
      <c r="D31" s="170"/>
    </row>
    <row r="32" spans="1:5">
      <c r="A32" s="167" t="s">
        <v>72</v>
      </c>
      <c r="B32" s="33">
        <f>IF((B21*($B$26-($B$27-0.05*$B$27)-$B$60))&lt;0,0,B21*($B$26-($B$27-0.05*$B$27)-$B$60))</f>
        <v>60.166961408490629</v>
      </c>
      <c r="C32" s="34" t="s">
        <v>104</v>
      </c>
      <c r="D32" s="170"/>
    </row>
    <row r="33" spans="1:6">
      <c r="A33" s="167" t="s">
        <v>73</v>
      </c>
      <c r="B33" s="33">
        <f>IF((B22*($B$26-($B$27-0.05*$B$27)-$B$60))&lt;0,0,B22*($B$26-($B$27-0.05*$B$27)-$B$60))</f>
        <v>1250.9216540485868</v>
      </c>
      <c r="C33" s="34" t="s">
        <v>104</v>
      </c>
      <c r="D33" s="170"/>
    </row>
    <row r="34" spans="1:6">
      <c r="A34" s="167" t="s">
        <v>74</v>
      </c>
      <c r="B34" s="33">
        <f>IF((B24*($B$26-($B$27-0.05*$B$27)-$B$60))&lt;0,0,B24*($B$26-($B$27-0.05*$B$27)-$B$60))</f>
        <v>488.23043311097734</v>
      </c>
      <c r="C34" s="33">
        <f>B26*C24</f>
        <v>2313.4249068071999</v>
      </c>
      <c r="D34" s="229"/>
    </row>
    <row r="35" spans="1:6">
      <c r="A35" s="167" t="s">
        <v>76</v>
      </c>
      <c r="B35" s="33">
        <f>IF((B19*($B$26-($B$27-0.05*$B$27)-$B$60))&lt;0,0,B19*($B$26-($B$27-0.05*$B$27)-$B$60))</f>
        <v>45.539901942016485</v>
      </c>
      <c r="C35" s="33">
        <f>B35/2</f>
        <v>22.769950971008242</v>
      </c>
      <c r="D35" s="229"/>
    </row>
    <row r="36" spans="1:6">
      <c r="A36" s="167" t="s">
        <v>77</v>
      </c>
      <c r="B36" s="33">
        <f>IF((B18*($B$26-($B$27-0.05*$B$27)-$B$60))&lt;0,0,B18*($B$26-($B$27-0.05*$B$27)-$B$60))</f>
        <v>3618.4910494899291</v>
      </c>
      <c r="C36" s="34" t="s">
        <v>104</v>
      </c>
      <c r="D36" s="170"/>
    </row>
    <row r="37" spans="1:6">
      <c r="A37" s="167" t="s">
        <v>78</v>
      </c>
      <c r="B37" s="33">
        <f>B60</f>
        <v>86</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132</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86</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96698.699107027845</v>
      </c>
      <c r="C5" s="17">
        <f>IF(ISERROR('Eigen informatie GS &amp; warmtenet'!B58),0,'Eigen informatie GS &amp; warmtenet'!B58)</f>
        <v>0</v>
      </c>
      <c r="D5" s="30">
        <f>SUM(D6:D12)</f>
        <v>85865.321664527539</v>
      </c>
      <c r="E5" s="17">
        <f>SUM(E6:E12)</f>
        <v>1632.6059220097357</v>
      </c>
      <c r="F5" s="17">
        <f>SUM(F6:F12)</f>
        <v>14451.590196359088</v>
      </c>
      <c r="G5" s="18"/>
      <c r="H5" s="17"/>
      <c r="I5" s="17"/>
      <c r="J5" s="17">
        <f>SUM(J6:J12)</f>
        <v>8.3087926813390584E-2</v>
      </c>
      <c r="K5" s="17"/>
      <c r="L5" s="17"/>
      <c r="M5" s="17"/>
      <c r="N5" s="17">
        <f>SUM(N6:N12)</f>
        <v>3400.0970154075735</v>
      </c>
      <c r="O5" s="17">
        <f>B38*B39*B40</f>
        <v>3.1266666666666669</v>
      </c>
      <c r="P5" s="17">
        <f>B46*B47*B48/1000-B46*B47*B48/1000/B49</f>
        <v>19.066666666666666</v>
      </c>
      <c r="R5" s="32"/>
    </row>
    <row r="6" spans="1:18">
      <c r="A6" s="32" t="s">
        <v>53</v>
      </c>
      <c r="B6" s="37">
        <f>B26</f>
        <v>23624.778668395</v>
      </c>
      <c r="C6" s="33"/>
      <c r="D6" s="37">
        <f>IF(ISERROR(TER_kantoor_gas_kWh/1000),0,TER_kantoor_gas_kWh/1000)*0.902</f>
        <v>21274.925696097671</v>
      </c>
      <c r="E6" s="33">
        <f>$C$26*'E Balans VL '!I12/100/3.6*1000000</f>
        <v>-1.9399018431883294E-3</v>
      </c>
      <c r="F6" s="33">
        <f>$C$26*('E Balans VL '!L12+'E Balans VL '!N12)/100/3.6*1000000</f>
        <v>2994.0008149605824</v>
      </c>
      <c r="G6" s="34"/>
      <c r="H6" s="33"/>
      <c r="I6" s="33"/>
      <c r="J6" s="33">
        <f>$C$26*('E Balans VL '!D12+'E Balans VL '!E12)/100/3.6*1000000</f>
        <v>0</v>
      </c>
      <c r="K6" s="33"/>
      <c r="L6" s="33"/>
      <c r="M6" s="33"/>
      <c r="N6" s="33">
        <f>$C$26*'E Balans VL '!Y12/100/3.6*1000000</f>
        <v>28.977188424522808</v>
      </c>
      <c r="O6" s="33"/>
      <c r="P6" s="33"/>
      <c r="R6" s="32"/>
    </row>
    <row r="7" spans="1:18">
      <c r="A7" s="32" t="s">
        <v>52</v>
      </c>
      <c r="B7" s="37">
        <f t="shared" ref="B7:B12" si="0">B27</f>
        <v>2302.1731624645304</v>
      </c>
      <c r="C7" s="33"/>
      <c r="D7" s="37">
        <f>IF(ISERROR(TER_horeca_gas_kWh/1000),0,TER_horeca_gas_kWh/1000)*0.902</f>
        <v>3438.035536102323</v>
      </c>
      <c r="E7" s="33">
        <f>$C$27*'E Balans VL '!I9/100/3.6*1000000</f>
        <v>26.499140561889789</v>
      </c>
      <c r="F7" s="33">
        <f>$C$27*('E Balans VL '!L9+'E Balans VL '!N9)/100/3.6*1000000</f>
        <v>296.82801883276926</v>
      </c>
      <c r="G7" s="34"/>
      <c r="H7" s="33"/>
      <c r="I7" s="33"/>
      <c r="J7" s="33">
        <f>$C$27*('E Balans VL '!D9+'E Balans VL '!E9)/100/3.6*1000000</f>
        <v>0</v>
      </c>
      <c r="K7" s="33"/>
      <c r="L7" s="33"/>
      <c r="M7" s="33"/>
      <c r="N7" s="33">
        <f>$C$27*'E Balans VL '!Y9/100/3.6*1000000</f>
        <v>24.298910162622409</v>
      </c>
      <c r="O7" s="33"/>
      <c r="P7" s="33"/>
      <c r="R7" s="32"/>
    </row>
    <row r="8" spans="1:18">
      <c r="A8" s="6" t="s">
        <v>51</v>
      </c>
      <c r="B8" s="37">
        <f t="shared" si="0"/>
        <v>45224.928967850996</v>
      </c>
      <c r="C8" s="33"/>
      <c r="D8" s="37">
        <f>IF(ISERROR(TER_handel_gas_kWh/1000),0,TER_handel_gas_kWh/1000)*0.902</f>
        <v>21129.056881817149</v>
      </c>
      <c r="E8" s="33">
        <f>$C$28*'E Balans VL '!I13/100/3.6*1000000</f>
        <v>1275.9944613917612</v>
      </c>
      <c r="F8" s="33">
        <f>$C$28*('E Balans VL '!L13+'E Balans VL '!N13)/100/3.6*1000000</f>
        <v>4548.6582858775828</v>
      </c>
      <c r="G8" s="34"/>
      <c r="H8" s="33"/>
      <c r="I8" s="33"/>
      <c r="J8" s="33">
        <f>$C$28*('E Balans VL '!D13+'E Balans VL '!E13)/100/3.6*1000000</f>
        <v>0</v>
      </c>
      <c r="K8" s="33"/>
      <c r="L8" s="33"/>
      <c r="M8" s="33"/>
      <c r="N8" s="33">
        <f>$C$28*'E Balans VL '!Y13/100/3.6*1000000</f>
        <v>62.427948737168911</v>
      </c>
      <c r="O8" s="33"/>
      <c r="P8" s="33"/>
      <c r="R8" s="32"/>
    </row>
    <row r="9" spans="1:18">
      <c r="A9" s="32" t="s">
        <v>50</v>
      </c>
      <c r="B9" s="37">
        <f t="shared" si="0"/>
        <v>1124.1033326137001</v>
      </c>
      <c r="C9" s="33"/>
      <c r="D9" s="37">
        <f>IF(ISERROR(TER_gezond_gas_kWh/1000),0,TER_gezond_gas_kWh/1000)*0.902</f>
        <v>1335.1273211992157</v>
      </c>
      <c r="E9" s="33">
        <f>$C$29*'E Balans VL '!I10/100/3.6*1000000</f>
        <v>2.2456123852505487</v>
      </c>
      <c r="F9" s="33">
        <f>$C$29*('E Balans VL '!L10+'E Balans VL '!N10)/100/3.6*1000000</f>
        <v>98.49400035360452</v>
      </c>
      <c r="G9" s="34"/>
      <c r="H9" s="33"/>
      <c r="I9" s="33"/>
      <c r="J9" s="33">
        <f>$C$29*('E Balans VL '!D10+'E Balans VL '!E10)/100/3.6*1000000</f>
        <v>0</v>
      </c>
      <c r="K9" s="33"/>
      <c r="L9" s="33"/>
      <c r="M9" s="33"/>
      <c r="N9" s="33">
        <f>$C$29*'E Balans VL '!Y10/100/3.6*1000000</f>
        <v>17.003678717233282</v>
      </c>
      <c r="O9" s="33"/>
      <c r="P9" s="33"/>
      <c r="R9" s="32"/>
    </row>
    <row r="10" spans="1:18">
      <c r="A10" s="32" t="s">
        <v>49</v>
      </c>
      <c r="B10" s="37">
        <f t="shared" si="0"/>
        <v>3862.6658139475499</v>
      </c>
      <c r="C10" s="33"/>
      <c r="D10" s="37">
        <f>IF(ISERROR(TER_ander_gas_kWh/1000),0,TER_ander_gas_kWh/1000)*0.902</f>
        <v>6822.9435869969002</v>
      </c>
      <c r="E10" s="33">
        <f>$C$30*'E Balans VL '!I14/100/3.6*1000000</f>
        <v>54.415640300393562</v>
      </c>
      <c r="F10" s="33">
        <f>$C$30*('E Balans VL '!L14+'E Balans VL '!N14)/100/3.6*1000000</f>
        <v>2343.1426054368294</v>
      </c>
      <c r="G10" s="34"/>
      <c r="H10" s="33"/>
      <c r="I10" s="33"/>
      <c r="J10" s="33">
        <f>$C$30*('E Balans VL '!D14+'E Balans VL '!E14)/100/3.6*1000000</f>
        <v>4.2404645144531676E-2</v>
      </c>
      <c r="K10" s="33"/>
      <c r="L10" s="33"/>
      <c r="M10" s="33"/>
      <c r="N10" s="33">
        <f>$C$30*'E Balans VL '!Y14/100/3.6*1000000</f>
        <v>1633.6420661554343</v>
      </c>
      <c r="O10" s="33"/>
      <c r="P10" s="33"/>
      <c r="R10" s="32"/>
    </row>
    <row r="11" spans="1:18">
      <c r="A11" s="32" t="s">
        <v>54</v>
      </c>
      <c r="B11" s="37">
        <f t="shared" si="0"/>
        <v>579.21247558177402</v>
      </c>
      <c r="C11" s="33"/>
      <c r="D11" s="37">
        <f>IF(ISERROR(TER_onderwijs_gas_kWh/1000),0,TER_onderwijs_gas_kWh/1000)*0.902</f>
        <v>3510.678407088466</v>
      </c>
      <c r="E11" s="33">
        <f>$C$31*'E Balans VL '!I11/100/3.6*1000000</f>
        <v>15.117730314851928</v>
      </c>
      <c r="F11" s="33">
        <f>$C$31*('E Balans VL '!L11+'E Balans VL '!N11)/100/3.6*1000000</f>
        <v>71.276962281671047</v>
      </c>
      <c r="G11" s="34"/>
      <c r="H11" s="33"/>
      <c r="I11" s="33"/>
      <c r="J11" s="33">
        <f>$C$31*('E Balans VL '!D11+'E Balans VL '!E11)/100/3.6*1000000</f>
        <v>0</v>
      </c>
      <c r="K11" s="33"/>
      <c r="L11" s="33"/>
      <c r="M11" s="33"/>
      <c r="N11" s="33">
        <f>$C$31*'E Balans VL '!Y11/100/3.6*1000000</f>
        <v>1.8341950271537382</v>
      </c>
      <c r="O11" s="33"/>
      <c r="P11" s="33"/>
      <c r="R11" s="32"/>
    </row>
    <row r="12" spans="1:18">
      <c r="A12" s="32" t="s">
        <v>248</v>
      </c>
      <c r="B12" s="37">
        <f t="shared" si="0"/>
        <v>19980.836686174298</v>
      </c>
      <c r="C12" s="33"/>
      <c r="D12" s="37">
        <f>IF(ISERROR(TER_rest_gas_kWh/1000),0,TER_rest_gas_kWh/1000)*0.902</f>
        <v>28354.554235225802</v>
      </c>
      <c r="E12" s="33">
        <f>$C$32*'E Balans VL '!I8/100/3.6*1000000</f>
        <v>258.33527695743169</v>
      </c>
      <c r="F12" s="33">
        <f>$C$32*('E Balans VL '!L8+'E Balans VL '!N8)/100/3.6*1000000</f>
        <v>4099.1895086160466</v>
      </c>
      <c r="G12" s="34"/>
      <c r="H12" s="33"/>
      <c r="I12" s="33"/>
      <c r="J12" s="33">
        <f>$C$32*('E Balans VL '!D8+'E Balans VL '!E8)/100/3.6*1000000</f>
        <v>4.0683281668858914E-2</v>
      </c>
      <c r="K12" s="33"/>
      <c r="L12" s="33"/>
      <c r="M12" s="33"/>
      <c r="N12" s="33">
        <f>$C$32*'E Balans VL '!Y8/100/3.6*1000000</f>
        <v>1631.913028183438</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96698.699107027845</v>
      </c>
      <c r="C16" s="21">
        <f t="shared" ca="1" si="1"/>
        <v>0</v>
      </c>
      <c r="D16" s="21">
        <f t="shared" ca="1" si="1"/>
        <v>85865.321664527539</v>
      </c>
      <c r="E16" s="21">
        <f t="shared" si="1"/>
        <v>1632.6059220097357</v>
      </c>
      <c r="F16" s="21">
        <f t="shared" ca="1" si="1"/>
        <v>14451.590196359088</v>
      </c>
      <c r="G16" s="21">
        <f t="shared" si="1"/>
        <v>0</v>
      </c>
      <c r="H16" s="21">
        <f t="shared" si="1"/>
        <v>0</v>
      </c>
      <c r="I16" s="21">
        <f t="shared" si="1"/>
        <v>0</v>
      </c>
      <c r="J16" s="21">
        <f t="shared" si="1"/>
        <v>8.3087926813390584E-2</v>
      </c>
      <c r="K16" s="21">
        <f t="shared" si="1"/>
        <v>0</v>
      </c>
      <c r="L16" s="21">
        <f t="shared" ca="1" si="1"/>
        <v>0</v>
      </c>
      <c r="M16" s="21">
        <f t="shared" si="1"/>
        <v>0</v>
      </c>
      <c r="N16" s="21">
        <f t="shared" ca="1" si="1"/>
        <v>3400.0970154075735</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0.18835260002421131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18213.451395767574</v>
      </c>
      <c r="C20" s="23">
        <f t="shared" ref="C20:P20" ca="1" si="2">C16*C18</f>
        <v>0</v>
      </c>
      <c r="D20" s="23">
        <f t="shared" ca="1" si="2"/>
        <v>17344.794976234563</v>
      </c>
      <c r="E20" s="23">
        <f t="shared" si="2"/>
        <v>370.60154429621002</v>
      </c>
      <c r="F20" s="23">
        <f t="shared" ca="1" si="2"/>
        <v>3858.5745824278765</v>
      </c>
      <c r="G20" s="23">
        <f t="shared" si="2"/>
        <v>0</v>
      </c>
      <c r="H20" s="23">
        <f t="shared" si="2"/>
        <v>0</v>
      </c>
      <c r="I20" s="23">
        <f t="shared" si="2"/>
        <v>0</v>
      </c>
      <c r="J20" s="23">
        <f t="shared" si="2"/>
        <v>2.9413126091940266E-2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23624.778668395</v>
      </c>
      <c r="C26" s="39">
        <f>IF(ISERROR(B26*3.6/1000000/'E Balans VL '!Z12*100),0,B26*3.6/1000000/'E Balans VL '!Z12*100)</f>
        <v>0.64048805279197096</v>
      </c>
      <c r="D26" s="232" t="s">
        <v>700</v>
      </c>
      <c r="F26" s="6"/>
    </row>
    <row r="27" spans="1:18">
      <c r="A27" s="227" t="s">
        <v>52</v>
      </c>
      <c r="B27" s="33">
        <f>IF(ISERROR(TER_horeca_ele_kWh/1000),0,TER_horeca_ele_kWh/1000)</f>
        <v>2302.1731624645304</v>
      </c>
      <c r="C27" s="39">
        <f>IF(ISERROR(B27*3.6/1000000/'E Balans VL '!Z9*100),0,B27*3.6/1000000/'E Balans VL '!Z9*100)</f>
        <v>0.17807550905124175</v>
      </c>
      <c r="D27" s="232" t="s">
        <v>700</v>
      </c>
      <c r="F27" s="6"/>
    </row>
    <row r="28" spans="1:18">
      <c r="A28" s="167" t="s">
        <v>51</v>
      </c>
      <c r="B28" s="33">
        <f>IF(ISERROR(TER_handel_ele_kWh/1000),0,TER_handel_ele_kWh/1000)</f>
        <v>45224.928967850996</v>
      </c>
      <c r="C28" s="39">
        <f>IF(ISERROR(B28*3.6/1000000/'E Balans VL '!Z13*100),0,B28*3.6/1000000/'E Balans VL '!Z13*100)</f>
        <v>1.3080219112714755</v>
      </c>
      <c r="D28" s="232" t="s">
        <v>700</v>
      </c>
      <c r="F28" s="6"/>
    </row>
    <row r="29" spans="1:18">
      <c r="A29" s="227" t="s">
        <v>50</v>
      </c>
      <c r="B29" s="33">
        <f>IF(ISERROR(TER_gezond_ele_kWh/1000),0,TER_gezond_ele_kWh/1000)</f>
        <v>1124.1033326137001</v>
      </c>
      <c r="C29" s="39">
        <f>IF(ISERROR(B29*3.6/1000000/'E Balans VL '!Z10*100),0,B29*3.6/1000000/'E Balans VL '!Z10*100)</f>
        <v>0.11577161919400406</v>
      </c>
      <c r="D29" s="232" t="s">
        <v>700</v>
      </c>
      <c r="F29" s="6"/>
    </row>
    <row r="30" spans="1:18">
      <c r="A30" s="227" t="s">
        <v>49</v>
      </c>
      <c r="B30" s="33">
        <f>IF(ISERROR(TER_ander_ele_kWh/1000),0,TER_ander_ele_kWh/1000)</f>
        <v>3862.6658139475499</v>
      </c>
      <c r="C30" s="39">
        <f>IF(ISERROR(B30*3.6/1000000/'E Balans VL '!Z14*100),0,B30*3.6/1000000/'E Balans VL '!Z14*100)</f>
        <v>0.17367090161582938</v>
      </c>
      <c r="D30" s="232" t="s">
        <v>700</v>
      </c>
      <c r="F30" s="6"/>
    </row>
    <row r="31" spans="1:18">
      <c r="A31" s="227" t="s">
        <v>54</v>
      </c>
      <c r="B31" s="33">
        <f>IF(ISERROR(TER_onderwijs_ele_kWh/1000),0,TER_onderwijs_ele_kWh/1000)</f>
        <v>579.21247558177402</v>
      </c>
      <c r="C31" s="39">
        <f>IF(ISERROR(B31*3.6/1000000/'E Balans VL '!Z11*100),0,B31*3.6/1000000/'E Balans VL '!Z11*100)</f>
        <v>0.16187073138438046</v>
      </c>
      <c r="D31" s="232" t="s">
        <v>700</v>
      </c>
    </row>
    <row r="32" spans="1:18">
      <c r="A32" s="227" t="s">
        <v>248</v>
      </c>
      <c r="B32" s="33">
        <f>IF(ISERROR(TER_rest_ele_kWh/1000),0,TER_rest_ele_kWh/1000)</f>
        <v>19980.836686174298</v>
      </c>
      <c r="C32" s="39">
        <f>IF(ISERROR(B32*3.6/1000000/'E Balans VL '!Z8*100),0,B32*3.6/1000000/'E Balans VL '!Z8*100)</f>
        <v>0.16662094881443923</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12243.682031476015</v>
      </c>
      <c r="C5" s="17">
        <f>IF(ISERROR('Eigen informatie GS &amp; warmtenet'!B59),0,'Eigen informatie GS &amp; warmtenet'!B59)</f>
        <v>0</v>
      </c>
      <c r="D5" s="30">
        <f>SUM(D6:D15)</f>
        <v>12990.379786133413</v>
      </c>
      <c r="E5" s="17">
        <f>SUM(E6:E15)</f>
        <v>264.69353398927228</v>
      </c>
      <c r="F5" s="17">
        <f>SUM(F6:F15)</f>
        <v>2289.8765088178761</v>
      </c>
      <c r="G5" s="18"/>
      <c r="H5" s="17"/>
      <c r="I5" s="17"/>
      <c r="J5" s="17">
        <f>SUM(J6:J15)</f>
        <v>15.950299573984585</v>
      </c>
      <c r="K5" s="17"/>
      <c r="L5" s="17"/>
      <c r="M5" s="17"/>
      <c r="N5" s="17">
        <f>SUM(N6:N15)</f>
        <v>238.03282538906927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298.90762479341799</v>
      </c>
      <c r="C8" s="33"/>
      <c r="D8" s="37">
        <f>IF( ISERROR(IND_metaal_Gas_kWH/1000),0,IND_metaal_Gas_kWH/1000)*0.902</f>
        <v>0</v>
      </c>
      <c r="E8" s="33">
        <f>C30*'E Balans VL '!I18/100/3.6*1000000</f>
        <v>2.7126782753328054</v>
      </c>
      <c r="F8" s="33">
        <f>C30*'E Balans VL '!L18/100/3.6*1000000+C30*'E Balans VL '!N18/100/3.6*1000000</f>
        <v>27.512080622933972</v>
      </c>
      <c r="G8" s="34"/>
      <c r="H8" s="33"/>
      <c r="I8" s="33"/>
      <c r="J8" s="40">
        <f>C30*'E Balans VL '!D18/100/3.6*1000000+C30*'E Balans VL '!E18/100/3.6*1000000</f>
        <v>0</v>
      </c>
      <c r="K8" s="33"/>
      <c r="L8" s="33"/>
      <c r="M8" s="33"/>
      <c r="N8" s="33">
        <f>C30*'E Balans VL '!Y18/100/3.6*1000000</f>
        <v>4.3638159360863744</v>
      </c>
      <c r="O8" s="33"/>
      <c r="P8" s="33"/>
      <c r="R8" s="32"/>
    </row>
    <row r="9" spans="1:18">
      <c r="A9" s="6" t="s">
        <v>32</v>
      </c>
      <c r="B9" s="37">
        <f t="shared" si="0"/>
        <v>1792.8134070818401</v>
      </c>
      <c r="C9" s="33"/>
      <c r="D9" s="37">
        <f>IF( ISERROR(IND_andere_gas_kWh/1000),0,IND_andere_gas_kWh/1000)*0.902</f>
        <v>2439.1183267049391</v>
      </c>
      <c r="E9" s="33">
        <f>C31*'E Balans VL '!I19/100/3.6*1000000</f>
        <v>10.405894183868284</v>
      </c>
      <c r="F9" s="33">
        <f>C31*'E Balans VL '!L19/100/3.6*1000000+C31*'E Balans VL '!N19/100/3.6*1000000</f>
        <v>1182.3403109261242</v>
      </c>
      <c r="G9" s="34"/>
      <c r="H9" s="33"/>
      <c r="I9" s="33"/>
      <c r="J9" s="40">
        <f>C31*'E Balans VL '!D19/100/3.6*1000000+C31*'E Balans VL '!E19/100/3.6*1000000</f>
        <v>0</v>
      </c>
      <c r="K9" s="33"/>
      <c r="L9" s="33"/>
      <c r="M9" s="33"/>
      <c r="N9" s="33">
        <f>C31*'E Balans VL '!Y19/100/3.6*1000000</f>
        <v>83.026747300598544</v>
      </c>
      <c r="O9" s="33"/>
      <c r="P9" s="33"/>
      <c r="R9" s="32"/>
    </row>
    <row r="10" spans="1:18">
      <c r="A10" s="6" t="s">
        <v>40</v>
      </c>
      <c r="B10" s="37">
        <f t="shared" si="0"/>
        <v>3929.0249302972202</v>
      </c>
      <c r="C10" s="33"/>
      <c r="D10" s="37">
        <f>IF( ISERROR(IND_voed_gas_kWh/1000),0,IND_voed_gas_kWh/1000)*0.902</f>
        <v>4571.0169894649061</v>
      </c>
      <c r="E10" s="33">
        <f>C32*'E Balans VL '!I20/100/3.6*1000000</f>
        <v>8.3265203004451287</v>
      </c>
      <c r="F10" s="33">
        <f>C32*'E Balans VL '!L20/100/3.6*1000000+C32*'E Balans VL '!N20/100/3.6*1000000</f>
        <v>249.70576448057949</v>
      </c>
      <c r="G10" s="34"/>
      <c r="H10" s="33"/>
      <c r="I10" s="33"/>
      <c r="J10" s="40">
        <f>C32*'E Balans VL '!D20/100/3.6*1000000+C32*'E Balans VL '!E20/100/3.6*1000000</f>
        <v>0</v>
      </c>
      <c r="K10" s="33"/>
      <c r="L10" s="33"/>
      <c r="M10" s="33"/>
      <c r="N10" s="33">
        <f>C32*'E Balans VL '!Y20/100/3.6*1000000</f>
        <v>113.89808099099261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13.471538855287001</v>
      </c>
      <c r="C12" s="33"/>
      <c r="D12" s="37">
        <f>IF( ISERROR(IND_min_gas_kWh/1000),0,IND_min_gas_kWh/1000)*0.902</f>
        <v>47.86154466692296</v>
      </c>
      <c r="E12" s="33">
        <f>C34*'E Balans VL '!I22/100/3.6*1000000</f>
        <v>0.32834198669929787</v>
      </c>
      <c r="F12" s="33">
        <f>C34*'E Balans VL '!L22/100/3.6*1000000+C34*'E Balans VL '!N22/100/3.6*1000000</f>
        <v>3.8001963798479323</v>
      </c>
      <c r="G12" s="34"/>
      <c r="H12" s="33"/>
      <c r="I12" s="33"/>
      <c r="J12" s="40">
        <f>C34*'E Balans VL '!D22/100/3.6*1000000+C34*'E Balans VL '!E22/100/3.6*1000000</f>
        <v>2.3031766560374957E-2</v>
      </c>
      <c r="K12" s="33"/>
      <c r="L12" s="33"/>
      <c r="M12" s="33"/>
      <c r="N12" s="33">
        <f>C34*'E Balans VL '!Y22/100/3.6*1000000</f>
        <v>3.0682334689169228</v>
      </c>
      <c r="O12" s="33"/>
      <c r="P12" s="33"/>
      <c r="R12" s="32"/>
    </row>
    <row r="13" spans="1:18">
      <c r="A13" s="6" t="s">
        <v>38</v>
      </c>
      <c r="B13" s="37">
        <f t="shared" si="0"/>
        <v>1767.4679875914799</v>
      </c>
      <c r="C13" s="33"/>
      <c r="D13" s="37">
        <f>IF( ISERROR(IND_papier_gas_kWh/1000),0,IND_papier_gas_kWh/1000)*0.902</f>
        <v>886.83764092885258</v>
      </c>
      <c r="E13" s="33">
        <f>C35*'E Balans VL '!I23/100/3.6*1000000</f>
        <v>2.6088960964442083</v>
      </c>
      <c r="F13" s="33">
        <f>C35*'E Balans VL '!L23/100/3.6*1000000+C35*'E Balans VL '!N23/100/3.6*1000000</f>
        <v>45.772085070174931</v>
      </c>
      <c r="G13" s="34"/>
      <c r="H13" s="33"/>
      <c r="I13" s="33"/>
      <c r="J13" s="40">
        <f>C35*'E Balans VL '!D23/100/3.6*1000000+C35*'E Balans VL '!E23/100/3.6*1000000</f>
        <v>0.28439416177881022</v>
      </c>
      <c r="K13" s="33"/>
      <c r="L13" s="33"/>
      <c r="M13" s="33"/>
      <c r="N13" s="33">
        <f>C35*'E Balans VL '!Y23/100/3.6*1000000</f>
        <v>-80.273037320844054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4441.9965428567693</v>
      </c>
      <c r="C15" s="33"/>
      <c r="D15" s="37">
        <f>IF( ISERROR(IND_rest_gas_kWh/1000),0,IND_rest_gas_kWh/1000)*0.902</f>
        <v>5045.5452843677922</v>
      </c>
      <c r="E15" s="33">
        <f>C37*'E Balans VL '!I15/100/3.6*1000000</f>
        <v>240.31120314648257</v>
      </c>
      <c r="F15" s="33">
        <f>C37*'E Balans VL '!L15/100/3.6*1000000+C37*'E Balans VL '!N15/100/3.6*1000000</f>
        <v>780.74607133821587</v>
      </c>
      <c r="G15" s="34"/>
      <c r="H15" s="33"/>
      <c r="I15" s="33"/>
      <c r="J15" s="40">
        <f>C37*'E Balans VL '!D15/100/3.6*1000000+C37*'E Balans VL '!E15/100/3.6*1000000</f>
        <v>15.6428736456454</v>
      </c>
      <c r="K15" s="33"/>
      <c r="L15" s="33"/>
      <c r="M15" s="33"/>
      <c r="N15" s="33">
        <f>C37*'E Balans VL '!Y15/100/3.6*1000000</f>
        <v>113.94898501331885</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12243.682031476015</v>
      </c>
      <c r="C18" s="21">
        <f>C5+C16</f>
        <v>0</v>
      </c>
      <c r="D18" s="21">
        <f>MAX((D5+D16),0)</f>
        <v>12990.379786133413</v>
      </c>
      <c r="E18" s="21">
        <f>MAX((E5+E16),0)</f>
        <v>264.69353398927228</v>
      </c>
      <c r="F18" s="21">
        <f>MAX((F5+F16),0)</f>
        <v>2289.8765088178761</v>
      </c>
      <c r="G18" s="21"/>
      <c r="H18" s="21"/>
      <c r="I18" s="21"/>
      <c r="J18" s="21">
        <f>MAX((J5+J16),0)</f>
        <v>15.950299573984585</v>
      </c>
      <c r="K18" s="21"/>
      <c r="L18" s="21">
        <f>MAX((L5+L16),0)</f>
        <v>0</v>
      </c>
      <c r="M18" s="21"/>
      <c r="N18" s="21">
        <f>MAX((N5+N16),0)</f>
        <v>238.03282538906927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0.18835260002421131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2306.1293444982248</v>
      </c>
      <c r="C22" s="23">
        <f ca="1">C18*C20</f>
        <v>0</v>
      </c>
      <c r="D22" s="23">
        <f>D18*D20</f>
        <v>2624.0567167989498</v>
      </c>
      <c r="E22" s="23">
        <f>E18*E20</f>
        <v>60.085432215564808</v>
      </c>
      <c r="F22" s="23">
        <f>F18*F20</f>
        <v>611.39702785437294</v>
      </c>
      <c r="G22" s="23"/>
      <c r="H22" s="23"/>
      <c r="I22" s="23"/>
      <c r="J22" s="23">
        <f>J18*J20</f>
        <v>5.646406049190543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298.90762479341799</v>
      </c>
      <c r="C30" s="39">
        <f>IF(ISERROR(B30*3.6/1000000/'E Balans VL '!Z18*100),0,B30*3.6/1000000/'E Balans VL '!Z18*100)</f>
        <v>1.7334734791330832E-2</v>
      </c>
      <c r="D30" s="232" t="s">
        <v>700</v>
      </c>
    </row>
    <row r="31" spans="1:18">
      <c r="A31" s="6" t="s">
        <v>32</v>
      </c>
      <c r="B31" s="37">
        <f>IF( ISERROR(IND_ander_ele_kWh/1000),0,IND_ander_ele_kWh/1000)</f>
        <v>1792.8134070818401</v>
      </c>
      <c r="C31" s="39">
        <f>IF(ISERROR(B31*3.6/1000000/'E Balans VL '!Z19*100),0,B31*3.6/1000000/'E Balans VL '!Z19*100)</f>
        <v>7.4874634384830677E-2</v>
      </c>
      <c r="D31" s="232" t="s">
        <v>700</v>
      </c>
    </row>
    <row r="32" spans="1:18">
      <c r="A32" s="167" t="s">
        <v>40</v>
      </c>
      <c r="B32" s="37">
        <f>IF( ISERROR(IND_voed_ele_kWh/1000),0,IND_voed_ele_kWh/1000)</f>
        <v>3929.0249302972202</v>
      </c>
      <c r="C32" s="39">
        <f>IF(ISERROR(B32*3.6/1000000/'E Balans VL '!Z20*100),0,B32*3.6/1000000/'E Balans VL '!Z20*100)</f>
        <v>0.1218628725435795</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13.471538855287001</v>
      </c>
      <c r="C34" s="39">
        <f>IF(ISERROR(B34*3.6/1000000/'E Balans VL '!Z22*100),0,B34*3.6/1000000/'E Balans VL '!Z22*100)</f>
        <v>2.520959550542724E-3</v>
      </c>
      <c r="D34" s="232" t="s">
        <v>700</v>
      </c>
    </row>
    <row r="35" spans="1:5">
      <c r="A35" s="167" t="s">
        <v>38</v>
      </c>
      <c r="B35" s="37">
        <f>IF( ISERROR(IND_papier_ele_kWh/1000),0,IND_papier_ele_kWh/1000)</f>
        <v>1767.4679875914799</v>
      </c>
      <c r="C35" s="39">
        <f>IF(ISERROR(B35*3.6/1000000/'E Balans VL '!Z22*100),0,B35*3.6/1000000/'E Balans VL '!Z22*100)</f>
        <v>0.33075028409605878</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4441.9965428567693</v>
      </c>
      <c r="C37" s="39">
        <f>IF(ISERROR(B37*3.6/1000000/'E Balans VL '!Z15*100),0,B37*3.6/1000000/'E Balans VL '!Z15*100)</f>
        <v>3.4633978632543895E-2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2589.6942118129523</v>
      </c>
      <c r="C5" s="17">
        <f>'Eigen informatie GS &amp; warmtenet'!B60</f>
        <v>0</v>
      </c>
      <c r="D5" s="30">
        <f>IF(ISERROR(SUM(LB_lb_gas_kWh,LB_rest_gas_kWh)/1000),0,SUM(LB_lb_gas_kWh,LB_rest_gas_kWh)/1000)*0.902</f>
        <v>780.82331629768157</v>
      </c>
      <c r="E5" s="17">
        <f>B17*'E Balans VL '!I25/3.6*1000000/100</f>
        <v>84.04409018300295</v>
      </c>
      <c r="F5" s="17">
        <f>B17*('E Balans VL '!L25/3.6*1000000+'E Balans VL '!N25/3.6*1000000)/100</f>
        <v>9553.884469626626</v>
      </c>
      <c r="G5" s="18"/>
      <c r="H5" s="17"/>
      <c r="I5" s="17"/>
      <c r="J5" s="17">
        <f>('E Balans VL '!D25+'E Balans VL '!E25)/3.6*1000000*landbouw!B17/100</f>
        <v>681.06280370158652</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2589.6942118129523</v>
      </c>
      <c r="C8" s="21">
        <f>C5+C6</f>
        <v>0</v>
      </c>
      <c r="D8" s="21">
        <f>MAX((D5+D6),0)</f>
        <v>780.82331629768157</v>
      </c>
      <c r="E8" s="21">
        <f>MAX((E5+E6),0)</f>
        <v>84.04409018300295</v>
      </c>
      <c r="F8" s="21">
        <f>MAX((F5+F6),0)</f>
        <v>9553.884469626626</v>
      </c>
      <c r="G8" s="21"/>
      <c r="H8" s="21"/>
      <c r="I8" s="21"/>
      <c r="J8" s="21">
        <f>MAX((J5+J6),0)</f>
        <v>681.06280370158652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0.18835260002421131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487.77563806262015</v>
      </c>
      <c r="C12" s="23">
        <f ca="1">C8*C10</f>
        <v>0</v>
      </c>
      <c r="D12" s="23">
        <f>D8*D10</f>
        <v>157.7263098921317</v>
      </c>
      <c r="E12" s="23">
        <f>E8*E10</f>
        <v>19.078008471541672</v>
      </c>
      <c r="F12" s="23">
        <f>F8*F10</f>
        <v>2550.8871533903093</v>
      </c>
      <c r="G12" s="23"/>
      <c r="H12" s="23"/>
      <c r="I12" s="23"/>
      <c r="J12" s="23">
        <f>J8*J10</f>
        <v>241.0962325103616</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0.36748573357406278</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146.83792669749977</v>
      </c>
      <c r="C26" s="242">
        <f>B26*'GWP N2O_CH4'!B5</f>
        <v>3083.596460647495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44.400281944247268</v>
      </c>
      <c r="C27" s="242">
        <f>B27*'GWP N2O_CH4'!B5</f>
        <v>932.40592082919261</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3.0240675132976333</v>
      </c>
      <c r="C28" s="242">
        <f>B28*'GWP N2O_CH4'!B4</f>
        <v>937.46092912226629</v>
      </c>
      <c r="D28" s="50"/>
    </row>
    <row r="29" spans="1:4">
      <c r="A29" s="41" t="s">
        <v>265</v>
      </c>
      <c r="B29" s="242">
        <f>B34*'ha_N2O bodem landbouw'!B4</f>
        <v>15.826559861367027</v>
      </c>
      <c r="C29" s="242">
        <f>B29*'GWP N2O_CH4'!B4</f>
        <v>4906.2335570237783</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3.6115664196123146E-3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7.3226611390223842E-4</v>
      </c>
      <c r="C5" s="427" t="s">
        <v>204</v>
      </c>
      <c r="D5" s="412">
        <f>SUM(D6:D11)</f>
        <v>1.1871747947091037E-3</v>
      </c>
      <c r="E5" s="412">
        <f>SUM(E6:E11)</f>
        <v>2.2147831465130483E-3</v>
      </c>
      <c r="F5" s="425" t="s">
        <v>204</v>
      </c>
      <c r="G5" s="412">
        <f>SUM(G6:G11)</f>
        <v>0.94755076695291496</v>
      </c>
      <c r="H5" s="412">
        <f>SUM(H6:H11)</f>
        <v>0.20822811132979163</v>
      </c>
      <c r="I5" s="427" t="s">
        <v>204</v>
      </c>
      <c r="J5" s="427" t="s">
        <v>204</v>
      </c>
      <c r="K5" s="427" t="s">
        <v>204</v>
      </c>
      <c r="L5" s="427" t="s">
        <v>204</v>
      </c>
      <c r="M5" s="412">
        <f>SUM(M6:M11)</f>
        <v>6.149137461926605E-2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2.5876074949528557E-4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4.3721808202250897E-4</v>
      </c>
      <c r="E6" s="818">
        <f>vkm_GW_PW*SUMIFS(TableVerdeelsleutelVkm[LPG],TableVerdeelsleutelVkm[Voertuigtype],"Lichte voertuigen")*SUMIFS(TableECFTransport[EnergieConsumptieFactor (PJ per km)],TableECFTransport[Index],CONCATENATE($A6,"_LPG_LPG"))</f>
        <v>7.6001642842496767E-4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0.23018881979012268</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7.5805401281985957E-2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1.5680662254174527E-2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3.6280271131823258E-6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0.11653310437931626</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2.3249422237682453E-6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6.8085224749026172E-3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1.4488621094352794E-4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3.1343018146013702E-4</v>
      </c>
      <c r="E8" s="415">
        <f>vkm_NGW_PW*SUMIFS(TableVerdeelsleutelVkm[LPG],TableVerdeelsleutelVkm[Voertuigtype],"Lichte voertuigen")*SUMIFS(TableECFTransport[EnergieConsumptieFactor (PJ per km)],TableECFTransport[Index],CONCATENATE($A8,"_LPG_LPG"))</f>
        <v>5.2013380232139236E-4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0.1471246882824202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5.3088731223681254E-2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1.0158809932468477E-2</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1.0069967603815665E-6</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4.1500748714250413E-2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7.7890799299013668E-7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2.4247068117982016E-3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3.1887555045857253E-4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4.3652653122645764E-4</v>
      </c>
      <c r="E10" s="415">
        <f>vkm_SW_PW*SUMIFS(TableVerdeelsleutelVkm[LPG],TableVerdeelsleutelVkm[Voertuigtype],"Lichte voertuigen")*SUMIFS(TableECFTransport[EnergieConsumptieFactor (PJ per km)],TableECFTransport[Index],CONCATENATE($A10,"_LPG_LPG"))</f>
        <v>9.3463291576668841E-4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0.25591153853778842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7.9327505421579889E-2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1.7287211670002078E-2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5.1085791312884625E-6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0.15629186724901709</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3.3695523277808351E-6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9.1314614759201423E-3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203.4072538617329</v>
      </c>
      <c r="C14" s="21"/>
      <c r="D14" s="21">
        <f t="shared" ref="D14:M14" si="0">((D5)*10^9/3600)+D12</f>
        <v>329.77077630808435</v>
      </c>
      <c r="E14" s="21">
        <f t="shared" si="0"/>
        <v>615.217540698069</v>
      </c>
      <c r="F14" s="21"/>
      <c r="G14" s="21">
        <f t="shared" si="0"/>
        <v>263208.5463758097</v>
      </c>
      <c r="H14" s="21">
        <f t="shared" si="0"/>
        <v>57841.142036053236</v>
      </c>
      <c r="I14" s="21"/>
      <c r="J14" s="21"/>
      <c r="K14" s="21"/>
      <c r="L14" s="21"/>
      <c r="M14" s="21">
        <f t="shared" si="0"/>
        <v>17080.937394240569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0.18835260002421131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38.312285128642188</v>
      </c>
      <c r="C18" s="23"/>
      <c r="D18" s="23">
        <f t="shared" ref="D18:M18" si="1">D14*D16</f>
        <v>66.613696814233037</v>
      </c>
      <c r="E18" s="23">
        <f t="shared" si="1"/>
        <v>139.65438173846167</v>
      </c>
      <c r="F18" s="23"/>
      <c r="G18" s="23">
        <f t="shared" si="1"/>
        <v>70276.681882341189</v>
      </c>
      <c r="H18" s="23">
        <f t="shared" si="1"/>
        <v>14402.444366977255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1.7483352568602162E-4</v>
      </c>
      <c r="C50" s="311">
        <f t="shared" ref="C50:P50" si="2">SUM(C51:C52)</f>
        <v>0</v>
      </c>
      <c r="D50" s="311">
        <f t="shared" si="2"/>
        <v>0</v>
      </c>
      <c r="E50" s="311">
        <f t="shared" si="2"/>
        <v>0</v>
      </c>
      <c r="F50" s="311">
        <f t="shared" si="2"/>
        <v>0</v>
      </c>
      <c r="G50" s="311">
        <f t="shared" si="2"/>
        <v>1.6423874662431833E-2</v>
      </c>
      <c r="H50" s="311">
        <f t="shared" si="2"/>
        <v>0</v>
      </c>
      <c r="I50" s="311">
        <f t="shared" si="2"/>
        <v>0</v>
      </c>
      <c r="J50" s="311">
        <f t="shared" si="2"/>
        <v>0</v>
      </c>
      <c r="K50" s="311">
        <f t="shared" si="2"/>
        <v>0</v>
      </c>
      <c r="L50" s="311">
        <f t="shared" si="2"/>
        <v>0</v>
      </c>
      <c r="M50" s="311">
        <f t="shared" si="2"/>
        <v>9.4580162937963957E-4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1.7483352568602162E-4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1.6423874662431833E-2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9.4580162937963957E-4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48.564868246117122</v>
      </c>
      <c r="C54" s="21">
        <f t="shared" ref="C54:P54" si="3">(C50)*10^9/3600</f>
        <v>0</v>
      </c>
      <c r="D54" s="21">
        <f t="shared" si="3"/>
        <v>0</v>
      </c>
      <c r="E54" s="21">
        <f t="shared" si="3"/>
        <v>0</v>
      </c>
      <c r="F54" s="21">
        <f t="shared" si="3"/>
        <v>0</v>
      </c>
      <c r="G54" s="21">
        <f t="shared" si="3"/>
        <v>4562.1874062310644</v>
      </c>
      <c r="H54" s="21">
        <f t="shared" si="3"/>
        <v>0</v>
      </c>
      <c r="I54" s="21">
        <f t="shared" si="3"/>
        <v>0</v>
      </c>
      <c r="J54" s="21">
        <f t="shared" si="3"/>
        <v>0</v>
      </c>
      <c r="K54" s="21">
        <f t="shared" si="3"/>
        <v>0</v>
      </c>
      <c r="L54" s="21">
        <f t="shared" si="3"/>
        <v>0</v>
      </c>
      <c r="M54" s="21">
        <f t="shared" si="3"/>
        <v>262.72267482767762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0.18835260002421131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9.1473192039894187</v>
      </c>
      <c r="C58" s="23">
        <f t="shared" ref="C58:P58" ca="1" si="4">C54*C56</f>
        <v>0</v>
      </c>
      <c r="D58" s="23">
        <f t="shared" si="4"/>
        <v>0</v>
      </c>
      <c r="E58" s="23">
        <f t="shared" si="4"/>
        <v>0</v>
      </c>
      <c r="F58" s="23">
        <f t="shared" si="4"/>
        <v>0</v>
      </c>
      <c r="G58" s="23">
        <f t="shared" si="4"/>
        <v>1218.1040374636943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13779.58500203706</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10906.143182217857</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24685.728184254916</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98743.841107027853</v>
      </c>
      <c r="D10" s="931">
        <f ca="1">tertiair!C16</f>
        <v>0</v>
      </c>
      <c r="E10" s="931">
        <f ca="1">tertiair!D16</f>
        <v>85865.321664527539</v>
      </c>
      <c r="F10" s="931">
        <f>tertiair!E16</f>
        <v>1632.6059220097357</v>
      </c>
      <c r="G10" s="931">
        <f ca="1">tertiair!F16</f>
        <v>14451.590196359088</v>
      </c>
      <c r="H10" s="931">
        <f>tertiair!G16</f>
        <v>0</v>
      </c>
      <c r="I10" s="931">
        <f>tertiair!H16</f>
        <v>0</v>
      </c>
      <c r="J10" s="931">
        <f>tertiair!I16</f>
        <v>0</v>
      </c>
      <c r="K10" s="931">
        <f>tertiair!J16</f>
        <v>8.3087926813390584E-2</v>
      </c>
      <c r="L10" s="931">
        <f>tertiair!K16</f>
        <v>0</v>
      </c>
      <c r="M10" s="931">
        <f ca="1">tertiair!L16</f>
        <v>0</v>
      </c>
      <c r="N10" s="931">
        <f>tertiair!M16</f>
        <v>0</v>
      </c>
      <c r="O10" s="931">
        <f ca="1">tertiair!N16</f>
        <v>3400.0970154075735</v>
      </c>
      <c r="P10" s="931">
        <f>tertiair!O16</f>
        <v>3.1266666666666669</v>
      </c>
      <c r="Q10" s="932">
        <f>tertiair!P16</f>
        <v>19.066666666666666</v>
      </c>
      <c r="R10" s="628">
        <f ca="1">SUM(C10:Q10)</f>
        <v>204115.73232659197</v>
      </c>
      <c r="S10" s="67"/>
    </row>
    <row r="11" spans="1:19" s="437" customFormat="1">
      <c r="A11" s="736" t="s">
        <v>213</v>
      </c>
      <c r="B11" s="741"/>
      <c r="C11" s="931">
        <f>huishoudens!B8</f>
        <v>51052.764269022715</v>
      </c>
      <c r="D11" s="931">
        <f>huishoudens!C8</f>
        <v>0</v>
      </c>
      <c r="E11" s="931">
        <f>huishoudens!D8</f>
        <v>119408.91178233238</v>
      </c>
      <c r="F11" s="931">
        <f>huishoudens!E8</f>
        <v>3255.9613734558975</v>
      </c>
      <c r="G11" s="931">
        <f>huishoudens!F8</f>
        <v>75470.65144601019</v>
      </c>
      <c r="H11" s="931">
        <f>huishoudens!G8</f>
        <v>0</v>
      </c>
      <c r="I11" s="931">
        <f>huishoudens!H8</f>
        <v>0</v>
      </c>
      <c r="J11" s="931">
        <f>huishoudens!I8</f>
        <v>0</v>
      </c>
      <c r="K11" s="931">
        <f>huishoudens!J8</f>
        <v>387.85266941024861</v>
      </c>
      <c r="L11" s="931">
        <f>huishoudens!K8</f>
        <v>0</v>
      </c>
      <c r="M11" s="931">
        <f>huishoudens!L8</f>
        <v>0</v>
      </c>
      <c r="N11" s="931">
        <f>huishoudens!M8</f>
        <v>0</v>
      </c>
      <c r="O11" s="931">
        <f>huishoudens!N8</f>
        <v>18998.177668308439</v>
      </c>
      <c r="P11" s="931">
        <f>huishoudens!O8</f>
        <v>206.35999999999999</v>
      </c>
      <c r="Q11" s="932">
        <f>huishoudens!P8</f>
        <v>1639.7333333333333</v>
      </c>
      <c r="R11" s="628">
        <f>SUM(C11:Q11)</f>
        <v>270420.41254187323</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12243.682031476015</v>
      </c>
      <c r="D13" s="931">
        <f>industrie!C18</f>
        <v>0</v>
      </c>
      <c r="E13" s="931">
        <f>industrie!D18</f>
        <v>12990.379786133413</v>
      </c>
      <c r="F13" s="931">
        <f>industrie!E18</f>
        <v>264.69353398927228</v>
      </c>
      <c r="G13" s="931">
        <f>industrie!F18</f>
        <v>2289.8765088178761</v>
      </c>
      <c r="H13" s="931">
        <f>industrie!G18</f>
        <v>0</v>
      </c>
      <c r="I13" s="931">
        <f>industrie!H18</f>
        <v>0</v>
      </c>
      <c r="J13" s="931">
        <f>industrie!I18</f>
        <v>0</v>
      </c>
      <c r="K13" s="931">
        <f>industrie!J18</f>
        <v>15.950299573984585</v>
      </c>
      <c r="L13" s="931">
        <f>industrie!K18</f>
        <v>0</v>
      </c>
      <c r="M13" s="931">
        <f>industrie!L18</f>
        <v>0</v>
      </c>
      <c r="N13" s="931">
        <f>industrie!M18</f>
        <v>0</v>
      </c>
      <c r="O13" s="931">
        <f>industrie!N18</f>
        <v>238.03282538906927</v>
      </c>
      <c r="P13" s="931">
        <f>industrie!O18</f>
        <v>0</v>
      </c>
      <c r="Q13" s="932">
        <f>industrie!P18</f>
        <v>0</v>
      </c>
      <c r="R13" s="628">
        <f>SUM(C13:Q13)</f>
        <v>28042.614985379634</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162040.2874075266</v>
      </c>
      <c r="D16" s="660">
        <f t="shared" ref="D16:R16" ca="1" si="0">SUM(D9:D15)</f>
        <v>0</v>
      </c>
      <c r="E16" s="660">
        <f t="shared" ca="1" si="0"/>
        <v>218264.61323299335</v>
      </c>
      <c r="F16" s="660">
        <f t="shared" si="0"/>
        <v>5153.2608294549054</v>
      </c>
      <c r="G16" s="660">
        <f t="shared" ca="1" si="0"/>
        <v>92212.118151187155</v>
      </c>
      <c r="H16" s="660">
        <f t="shared" si="0"/>
        <v>0</v>
      </c>
      <c r="I16" s="660">
        <f t="shared" si="0"/>
        <v>0</v>
      </c>
      <c r="J16" s="660">
        <f t="shared" si="0"/>
        <v>0</v>
      </c>
      <c r="K16" s="660">
        <f t="shared" si="0"/>
        <v>403.88605691104658</v>
      </c>
      <c r="L16" s="660">
        <f t="shared" si="0"/>
        <v>0</v>
      </c>
      <c r="M16" s="660">
        <f t="shared" ca="1" si="0"/>
        <v>0</v>
      </c>
      <c r="N16" s="660">
        <f t="shared" si="0"/>
        <v>0</v>
      </c>
      <c r="O16" s="660">
        <f t="shared" ca="1" si="0"/>
        <v>22636.307509105081</v>
      </c>
      <c r="P16" s="660">
        <f t="shared" si="0"/>
        <v>209.48666666666665</v>
      </c>
      <c r="Q16" s="660">
        <f t="shared" si="0"/>
        <v>1658.8</v>
      </c>
      <c r="R16" s="660">
        <f t="shared" ca="1" si="0"/>
        <v>502578.75985384482</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48.564868246117122</v>
      </c>
      <c r="D19" s="931">
        <f>transport!C54</f>
        <v>0</v>
      </c>
      <c r="E19" s="931">
        <f>transport!D54</f>
        <v>0</v>
      </c>
      <c r="F19" s="931">
        <f>transport!E54</f>
        <v>0</v>
      </c>
      <c r="G19" s="931">
        <f>transport!F54</f>
        <v>0</v>
      </c>
      <c r="H19" s="931">
        <f>transport!G54</f>
        <v>4562.1874062310644</v>
      </c>
      <c r="I19" s="931">
        <f>transport!H54</f>
        <v>0</v>
      </c>
      <c r="J19" s="931">
        <f>transport!I54</f>
        <v>0</v>
      </c>
      <c r="K19" s="931">
        <f>transport!J54</f>
        <v>0</v>
      </c>
      <c r="L19" s="931">
        <f>transport!K54</f>
        <v>0</v>
      </c>
      <c r="M19" s="931">
        <f>transport!L54</f>
        <v>0</v>
      </c>
      <c r="N19" s="931">
        <f>transport!M54</f>
        <v>262.72267482767762</v>
      </c>
      <c r="O19" s="931">
        <f>transport!N54</f>
        <v>0</v>
      </c>
      <c r="P19" s="931">
        <f>transport!O54</f>
        <v>0</v>
      </c>
      <c r="Q19" s="932">
        <f>transport!P54</f>
        <v>0</v>
      </c>
      <c r="R19" s="628">
        <f>SUM(C19:Q19)</f>
        <v>4873.4749493048594</v>
      </c>
      <c r="S19" s="67"/>
    </row>
    <row r="20" spans="1:19" s="437" customFormat="1">
      <c r="A20" s="736" t="s">
        <v>295</v>
      </c>
      <c r="B20" s="741"/>
      <c r="C20" s="931">
        <f>transport!B14</f>
        <v>203.4072538617329</v>
      </c>
      <c r="D20" s="931">
        <f>transport!C14</f>
        <v>0</v>
      </c>
      <c r="E20" s="931">
        <f>transport!D14</f>
        <v>329.77077630808435</v>
      </c>
      <c r="F20" s="931">
        <f>transport!E14</f>
        <v>615.217540698069</v>
      </c>
      <c r="G20" s="931">
        <f>transport!F14</f>
        <v>0</v>
      </c>
      <c r="H20" s="931">
        <f>transport!G14</f>
        <v>263208.5463758097</v>
      </c>
      <c r="I20" s="931">
        <f>transport!H14</f>
        <v>57841.142036053236</v>
      </c>
      <c r="J20" s="931">
        <f>transport!I14</f>
        <v>0</v>
      </c>
      <c r="K20" s="931">
        <f>transport!J14</f>
        <v>0</v>
      </c>
      <c r="L20" s="931">
        <f>transport!K14</f>
        <v>0</v>
      </c>
      <c r="M20" s="931">
        <f>transport!L14</f>
        <v>0</v>
      </c>
      <c r="N20" s="931">
        <f>transport!M14</f>
        <v>17080.937394240569</v>
      </c>
      <c r="O20" s="931">
        <f>transport!N14</f>
        <v>0</v>
      </c>
      <c r="P20" s="931">
        <f>transport!O14</f>
        <v>0</v>
      </c>
      <c r="Q20" s="932">
        <f>transport!P14</f>
        <v>0</v>
      </c>
      <c r="R20" s="628">
        <f>SUM(C20:Q20)</f>
        <v>339279.02137697139</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251.97212210785003</v>
      </c>
      <c r="D22" s="739">
        <f t="shared" ref="D22:R22" si="1">SUM(D18:D21)</f>
        <v>0</v>
      </c>
      <c r="E22" s="739">
        <f t="shared" si="1"/>
        <v>329.77077630808435</v>
      </c>
      <c r="F22" s="739">
        <f t="shared" si="1"/>
        <v>615.217540698069</v>
      </c>
      <c r="G22" s="739">
        <f t="shared" si="1"/>
        <v>0</v>
      </c>
      <c r="H22" s="739">
        <f t="shared" si="1"/>
        <v>267770.73378204077</v>
      </c>
      <c r="I22" s="739">
        <f t="shared" si="1"/>
        <v>57841.142036053236</v>
      </c>
      <c r="J22" s="739">
        <f t="shared" si="1"/>
        <v>0</v>
      </c>
      <c r="K22" s="739">
        <f t="shared" si="1"/>
        <v>0</v>
      </c>
      <c r="L22" s="739">
        <f t="shared" si="1"/>
        <v>0</v>
      </c>
      <c r="M22" s="739">
        <f t="shared" si="1"/>
        <v>0</v>
      </c>
      <c r="N22" s="739">
        <f t="shared" si="1"/>
        <v>17343.660069068246</v>
      </c>
      <c r="O22" s="739">
        <f t="shared" si="1"/>
        <v>0</v>
      </c>
      <c r="P22" s="739">
        <f t="shared" si="1"/>
        <v>0</v>
      </c>
      <c r="Q22" s="739">
        <f t="shared" si="1"/>
        <v>0</v>
      </c>
      <c r="R22" s="739">
        <f t="shared" si="1"/>
        <v>344152.49632627628</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2589.6942118129523</v>
      </c>
      <c r="D24" s="931">
        <f>+landbouw!C8</f>
        <v>0</v>
      </c>
      <c r="E24" s="931">
        <f>+landbouw!D8</f>
        <v>780.82331629768157</v>
      </c>
      <c r="F24" s="931">
        <f>+landbouw!E8</f>
        <v>84.04409018300295</v>
      </c>
      <c r="G24" s="931">
        <f>+landbouw!F8</f>
        <v>9553.884469626626</v>
      </c>
      <c r="H24" s="931">
        <f>+landbouw!G8</f>
        <v>0</v>
      </c>
      <c r="I24" s="931">
        <f>+landbouw!H8</f>
        <v>0</v>
      </c>
      <c r="J24" s="931">
        <f>+landbouw!I8</f>
        <v>0</v>
      </c>
      <c r="K24" s="931">
        <f>+landbouw!J8</f>
        <v>681.06280370158652</v>
      </c>
      <c r="L24" s="931">
        <f>+landbouw!K8</f>
        <v>0</v>
      </c>
      <c r="M24" s="931">
        <f>+landbouw!L8</f>
        <v>0</v>
      </c>
      <c r="N24" s="931">
        <f>+landbouw!M8</f>
        <v>0</v>
      </c>
      <c r="O24" s="931">
        <f>+landbouw!N8</f>
        <v>0</v>
      </c>
      <c r="P24" s="931">
        <f>+landbouw!O8</f>
        <v>0</v>
      </c>
      <c r="Q24" s="932">
        <f>+landbouw!P8</f>
        <v>0</v>
      </c>
      <c r="R24" s="628">
        <f>SUM(C24:Q24)</f>
        <v>13689.50889162185</v>
      </c>
      <c r="S24" s="67"/>
    </row>
    <row r="25" spans="1:19" s="437" customFormat="1" ht="15" thickBot="1">
      <c r="A25" s="758" t="s">
        <v>775</v>
      </c>
      <c r="B25" s="934"/>
      <c r="C25" s="935">
        <f>IF(Onbekend_ele_kWh="---",0,Onbekend_ele_kWh)/1000+IF(REST_rest_ele_kWh="---",0,REST_rest_ele_kWh)/1000</f>
        <v>2223.11229033991</v>
      </c>
      <c r="D25" s="935"/>
      <c r="E25" s="935">
        <f>IF(onbekend_gas_kWh="---",0,onbekend_gas_kWh)/1000+IF(REST_rest_gas_kWh="---",0,REST_rest_gas_kWh)/1000</f>
        <v>4397.5534164460896</v>
      </c>
      <c r="F25" s="935"/>
      <c r="G25" s="935"/>
      <c r="H25" s="935"/>
      <c r="I25" s="935"/>
      <c r="J25" s="935"/>
      <c r="K25" s="935"/>
      <c r="L25" s="935"/>
      <c r="M25" s="935"/>
      <c r="N25" s="935"/>
      <c r="O25" s="935"/>
      <c r="P25" s="935"/>
      <c r="Q25" s="936"/>
      <c r="R25" s="628">
        <f>SUM(C25:Q25)</f>
        <v>6620.6657067859996</v>
      </c>
      <c r="S25" s="67"/>
    </row>
    <row r="26" spans="1:19" s="437" customFormat="1" ht="15.75" thickBot="1">
      <c r="A26" s="633" t="s">
        <v>776</v>
      </c>
      <c r="B26" s="744"/>
      <c r="C26" s="739">
        <f>SUM(C24:C25)</f>
        <v>4812.8065021528619</v>
      </c>
      <c r="D26" s="739">
        <f t="shared" ref="D26:R26" si="2">SUM(D24:D25)</f>
        <v>0</v>
      </c>
      <c r="E26" s="739">
        <f t="shared" si="2"/>
        <v>5178.3767327437708</v>
      </c>
      <c r="F26" s="739">
        <f t="shared" si="2"/>
        <v>84.04409018300295</v>
      </c>
      <c r="G26" s="739">
        <f t="shared" si="2"/>
        <v>9553.884469626626</v>
      </c>
      <c r="H26" s="739">
        <f t="shared" si="2"/>
        <v>0</v>
      </c>
      <c r="I26" s="739">
        <f t="shared" si="2"/>
        <v>0</v>
      </c>
      <c r="J26" s="739">
        <f t="shared" si="2"/>
        <v>0</v>
      </c>
      <c r="K26" s="739">
        <f t="shared" si="2"/>
        <v>681.06280370158652</v>
      </c>
      <c r="L26" s="739">
        <f t="shared" si="2"/>
        <v>0</v>
      </c>
      <c r="M26" s="739">
        <f t="shared" si="2"/>
        <v>0</v>
      </c>
      <c r="N26" s="739">
        <f t="shared" si="2"/>
        <v>0</v>
      </c>
      <c r="O26" s="739">
        <f t="shared" si="2"/>
        <v>0</v>
      </c>
      <c r="P26" s="739">
        <f t="shared" si="2"/>
        <v>0</v>
      </c>
      <c r="Q26" s="739">
        <f t="shared" si="2"/>
        <v>0</v>
      </c>
      <c r="R26" s="739">
        <f t="shared" si="2"/>
        <v>20310.174598407852</v>
      </c>
      <c r="S26" s="67"/>
    </row>
    <row r="27" spans="1:19" s="437" customFormat="1" ht="17.25" thickTop="1" thickBot="1">
      <c r="A27" s="634" t="s">
        <v>109</v>
      </c>
      <c r="B27" s="732"/>
      <c r="C27" s="635">
        <f ca="1">C22+C16+C26</f>
        <v>167105.06603178731</v>
      </c>
      <c r="D27" s="635">
        <f t="shared" ref="D27:R27" ca="1" si="3">D22+D16+D26</f>
        <v>0</v>
      </c>
      <c r="E27" s="635">
        <f t="shared" ca="1" si="3"/>
        <v>223772.76074204521</v>
      </c>
      <c r="F27" s="635">
        <f t="shared" si="3"/>
        <v>5852.5224603359775</v>
      </c>
      <c r="G27" s="635">
        <f t="shared" ca="1" si="3"/>
        <v>101766.00262081379</v>
      </c>
      <c r="H27" s="635">
        <f t="shared" si="3"/>
        <v>267770.73378204077</v>
      </c>
      <c r="I27" s="635">
        <f t="shared" si="3"/>
        <v>57841.142036053236</v>
      </c>
      <c r="J27" s="635">
        <f t="shared" si="3"/>
        <v>0</v>
      </c>
      <c r="K27" s="635">
        <f t="shared" si="3"/>
        <v>1084.9488606126331</v>
      </c>
      <c r="L27" s="635">
        <f t="shared" si="3"/>
        <v>0</v>
      </c>
      <c r="M27" s="635">
        <f t="shared" ca="1" si="3"/>
        <v>0</v>
      </c>
      <c r="N27" s="635">
        <f t="shared" si="3"/>
        <v>17343.660069068246</v>
      </c>
      <c r="O27" s="635">
        <f t="shared" ca="1" si="3"/>
        <v>22636.307509105081</v>
      </c>
      <c r="P27" s="635">
        <f t="shared" si="3"/>
        <v>209.48666666666665</v>
      </c>
      <c r="Q27" s="635">
        <f t="shared" si="3"/>
        <v>1658.8</v>
      </c>
      <c r="R27" s="635">
        <f t="shared" ca="1" si="3"/>
        <v>867041.43077852891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18598.659208886289</v>
      </c>
      <c r="D40" s="931">
        <f ca="1">tertiair!C20</f>
        <v>0</v>
      </c>
      <c r="E40" s="931">
        <f ca="1">tertiair!D20</f>
        <v>17344.794976234563</v>
      </c>
      <c r="F40" s="931">
        <f>tertiair!E20</f>
        <v>370.60154429621002</v>
      </c>
      <c r="G40" s="931">
        <f ca="1">tertiair!F20</f>
        <v>3858.5745824278765</v>
      </c>
      <c r="H40" s="931">
        <f>tertiair!G20</f>
        <v>0</v>
      </c>
      <c r="I40" s="931">
        <f>tertiair!H20</f>
        <v>0</v>
      </c>
      <c r="J40" s="931">
        <f>tertiair!I20</f>
        <v>0</v>
      </c>
      <c r="K40" s="931">
        <f>tertiair!J20</f>
        <v>2.9413126091940266E-2</v>
      </c>
      <c r="L40" s="931">
        <f>tertiair!K20</f>
        <v>0</v>
      </c>
      <c r="M40" s="931">
        <f ca="1">tertiair!L20</f>
        <v>0</v>
      </c>
      <c r="N40" s="931">
        <f>tertiair!M20</f>
        <v>0</v>
      </c>
      <c r="O40" s="931">
        <f ca="1">tertiair!N20</f>
        <v>0</v>
      </c>
      <c r="P40" s="931">
        <f>tertiair!O20</f>
        <v>0</v>
      </c>
      <c r="Q40" s="702">
        <f>tertiair!P20</f>
        <v>0</v>
      </c>
      <c r="R40" s="777">
        <f t="shared" ca="1" si="4"/>
        <v>40172.659724971025</v>
      </c>
    </row>
    <row r="41" spans="1:18">
      <c r="A41" s="749" t="s">
        <v>213</v>
      </c>
      <c r="B41" s="756"/>
      <c r="C41" s="931">
        <f ca="1">huishoudens!B12</f>
        <v>9615.9208884935815</v>
      </c>
      <c r="D41" s="931">
        <f ca="1">huishoudens!C12</f>
        <v>0</v>
      </c>
      <c r="E41" s="931">
        <f>huishoudens!D12</f>
        <v>24120.600180031142</v>
      </c>
      <c r="F41" s="931">
        <f>huishoudens!E12</f>
        <v>739.10323177448879</v>
      </c>
      <c r="G41" s="931">
        <f>huishoudens!F12</f>
        <v>20150.663936084722</v>
      </c>
      <c r="H41" s="931">
        <f>huishoudens!G12</f>
        <v>0</v>
      </c>
      <c r="I41" s="931">
        <f>huishoudens!H12</f>
        <v>0</v>
      </c>
      <c r="J41" s="931">
        <f>huishoudens!I12</f>
        <v>0</v>
      </c>
      <c r="K41" s="931">
        <f>huishoudens!J12</f>
        <v>137.299844971228</v>
      </c>
      <c r="L41" s="931">
        <f>huishoudens!K12</f>
        <v>0</v>
      </c>
      <c r="M41" s="931">
        <f>huishoudens!L12</f>
        <v>0</v>
      </c>
      <c r="N41" s="931">
        <f>huishoudens!M12</f>
        <v>0</v>
      </c>
      <c r="O41" s="931">
        <f>huishoudens!N12</f>
        <v>0</v>
      </c>
      <c r="P41" s="931">
        <f>huishoudens!O12</f>
        <v>0</v>
      </c>
      <c r="Q41" s="702">
        <f>huishoudens!P12</f>
        <v>0</v>
      </c>
      <c r="R41" s="777">
        <f t="shared" ca="1" si="4"/>
        <v>54763.588081355156</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2306.1293444982248</v>
      </c>
      <c r="D43" s="931">
        <f ca="1">industrie!C22</f>
        <v>0</v>
      </c>
      <c r="E43" s="931">
        <f>industrie!D22</f>
        <v>2624.0567167989498</v>
      </c>
      <c r="F43" s="931">
        <f>industrie!E22</f>
        <v>60.085432215564808</v>
      </c>
      <c r="G43" s="931">
        <f>industrie!F22</f>
        <v>611.39702785437294</v>
      </c>
      <c r="H43" s="931">
        <f>industrie!G22</f>
        <v>0</v>
      </c>
      <c r="I43" s="931">
        <f>industrie!H22</f>
        <v>0</v>
      </c>
      <c r="J43" s="931">
        <f>industrie!I22</f>
        <v>0</v>
      </c>
      <c r="K43" s="931">
        <f>industrie!J22</f>
        <v>5.646406049190543</v>
      </c>
      <c r="L43" s="931">
        <f>industrie!K22</f>
        <v>0</v>
      </c>
      <c r="M43" s="931">
        <f>industrie!L22</f>
        <v>0</v>
      </c>
      <c r="N43" s="931">
        <f>industrie!M22</f>
        <v>0</v>
      </c>
      <c r="O43" s="931">
        <f>industrie!N22</f>
        <v>0</v>
      </c>
      <c r="P43" s="931">
        <f>industrie!O22</f>
        <v>0</v>
      </c>
      <c r="Q43" s="702">
        <f>industrie!P22</f>
        <v>0</v>
      </c>
      <c r="R43" s="776">
        <f t="shared" ca="1" si="4"/>
        <v>5607.3149274163025</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30520.709441878094</v>
      </c>
      <c r="D46" s="660">
        <f t="shared" ref="D46:Q46" ca="1" si="5">SUM(D39:D45)</f>
        <v>0</v>
      </c>
      <c r="E46" s="660">
        <f t="shared" ca="1" si="5"/>
        <v>44089.451873064652</v>
      </c>
      <c r="F46" s="660">
        <f t="shared" si="5"/>
        <v>1169.7902082862636</v>
      </c>
      <c r="G46" s="660">
        <f t="shared" ca="1" si="5"/>
        <v>24620.635546366968</v>
      </c>
      <c r="H46" s="660">
        <f t="shared" si="5"/>
        <v>0</v>
      </c>
      <c r="I46" s="660">
        <f t="shared" si="5"/>
        <v>0</v>
      </c>
      <c r="J46" s="660">
        <f t="shared" si="5"/>
        <v>0</v>
      </c>
      <c r="K46" s="660">
        <f t="shared" si="5"/>
        <v>142.9756641465105</v>
      </c>
      <c r="L46" s="660">
        <f t="shared" si="5"/>
        <v>0</v>
      </c>
      <c r="M46" s="660">
        <f t="shared" ca="1" si="5"/>
        <v>0</v>
      </c>
      <c r="N46" s="660">
        <f t="shared" si="5"/>
        <v>0</v>
      </c>
      <c r="O46" s="660">
        <f t="shared" ca="1" si="5"/>
        <v>0</v>
      </c>
      <c r="P46" s="660">
        <f t="shared" si="5"/>
        <v>0</v>
      </c>
      <c r="Q46" s="660">
        <f t="shared" si="5"/>
        <v>0</v>
      </c>
      <c r="R46" s="660">
        <f ca="1">SUM(R39:R45)</f>
        <v>100543.56273374248</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9.1473192039894187</v>
      </c>
      <c r="D49" s="931">
        <f ca="1">transport!C58</f>
        <v>0</v>
      </c>
      <c r="E49" s="931">
        <f>transport!D58</f>
        <v>0</v>
      </c>
      <c r="F49" s="931">
        <f>transport!E58</f>
        <v>0</v>
      </c>
      <c r="G49" s="931">
        <f>transport!F58</f>
        <v>0</v>
      </c>
      <c r="H49" s="931">
        <f>transport!G58</f>
        <v>1218.1040374636943</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1227.2513566676837</v>
      </c>
    </row>
    <row r="50" spans="1:18">
      <c r="A50" s="752" t="s">
        <v>295</v>
      </c>
      <c r="B50" s="762"/>
      <c r="C50" s="631">
        <f ca="1">transport!B18</f>
        <v>38.312285128642188</v>
      </c>
      <c r="D50" s="631">
        <f>transport!C18</f>
        <v>0</v>
      </c>
      <c r="E50" s="631">
        <f>transport!D18</f>
        <v>66.613696814233037</v>
      </c>
      <c r="F50" s="631">
        <f>transport!E18</f>
        <v>139.65438173846167</v>
      </c>
      <c r="G50" s="631">
        <f>transport!F18</f>
        <v>0</v>
      </c>
      <c r="H50" s="631">
        <f>transport!G18</f>
        <v>70276.681882341189</v>
      </c>
      <c r="I50" s="631">
        <f>transport!H18</f>
        <v>14402.444366977255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84923.706612999784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47.459604332631606</v>
      </c>
      <c r="D52" s="660">
        <f t="shared" ref="D52:Q52" ca="1" si="6">SUM(D48:D51)</f>
        <v>0</v>
      </c>
      <c r="E52" s="660">
        <f t="shared" si="6"/>
        <v>66.613696814233037</v>
      </c>
      <c r="F52" s="660">
        <f t="shared" si="6"/>
        <v>139.65438173846167</v>
      </c>
      <c r="G52" s="660">
        <f t="shared" si="6"/>
        <v>0</v>
      </c>
      <c r="H52" s="660">
        <f t="shared" si="6"/>
        <v>71494.785919804883</v>
      </c>
      <c r="I52" s="660">
        <f t="shared" si="6"/>
        <v>14402.444366977255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86150.957969667463</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487.77563806262015</v>
      </c>
      <c r="D54" s="631">
        <f ca="1">+landbouw!C12</f>
        <v>0</v>
      </c>
      <c r="E54" s="631">
        <f>+landbouw!D12</f>
        <v>157.7263098921317</v>
      </c>
      <c r="F54" s="631">
        <f>+landbouw!E12</f>
        <v>19.078008471541672</v>
      </c>
      <c r="G54" s="631">
        <f>+landbouw!F12</f>
        <v>2550.8871533903093</v>
      </c>
      <c r="H54" s="631">
        <f>+landbouw!G12</f>
        <v>0</v>
      </c>
      <c r="I54" s="631">
        <f>+landbouw!H12</f>
        <v>0</v>
      </c>
      <c r="J54" s="631">
        <f>+landbouw!I12</f>
        <v>0</v>
      </c>
      <c r="K54" s="631">
        <f>+landbouw!J12</f>
        <v>241.0962325103616</v>
      </c>
      <c r="L54" s="631">
        <f>+landbouw!K12</f>
        <v>0</v>
      </c>
      <c r="M54" s="631">
        <f>+landbouw!L12</f>
        <v>0</v>
      </c>
      <c r="N54" s="631">
        <f>+landbouw!M12</f>
        <v>0</v>
      </c>
      <c r="O54" s="631">
        <f>+landbouw!N12</f>
        <v>0</v>
      </c>
      <c r="P54" s="631">
        <f>+landbouw!O12</f>
        <v>0</v>
      </c>
      <c r="Q54" s="632">
        <f>+landbouw!P12</f>
        <v>0</v>
      </c>
      <c r="R54" s="659">
        <f ca="1">SUM(C54:Q54)</f>
        <v>3456.5633423269642</v>
      </c>
    </row>
    <row r="55" spans="1:18" ht="15" thickBot="1">
      <c r="A55" s="752" t="s">
        <v>775</v>
      </c>
      <c r="B55" s="762"/>
      <c r="C55" s="631">
        <f ca="1">C25*'EF ele_warmte'!B12</f>
        <v>418.72898003130138</v>
      </c>
      <c r="D55" s="631"/>
      <c r="E55" s="631">
        <f>E25*EF_CO2_aardgas</f>
        <v>888.30579012211012</v>
      </c>
      <c r="F55" s="631"/>
      <c r="G55" s="631"/>
      <c r="H55" s="631"/>
      <c r="I55" s="631"/>
      <c r="J55" s="631"/>
      <c r="K55" s="631"/>
      <c r="L55" s="631"/>
      <c r="M55" s="631"/>
      <c r="N55" s="631"/>
      <c r="O55" s="631"/>
      <c r="P55" s="631"/>
      <c r="Q55" s="632"/>
      <c r="R55" s="659">
        <f ca="1">SUM(C55:Q55)</f>
        <v>1307.0347701534115</v>
      </c>
    </row>
    <row r="56" spans="1:18" ht="15.75" thickBot="1">
      <c r="A56" s="750" t="s">
        <v>776</v>
      </c>
      <c r="B56" s="763"/>
      <c r="C56" s="660">
        <f ca="1">SUM(C54:C55)</f>
        <v>906.50461809392152</v>
      </c>
      <c r="D56" s="660">
        <f t="shared" ref="D56:Q56" ca="1" si="7">SUM(D54:D55)</f>
        <v>0</v>
      </c>
      <c r="E56" s="660">
        <f t="shared" si="7"/>
        <v>1046.0321000142419</v>
      </c>
      <c r="F56" s="660">
        <f t="shared" si="7"/>
        <v>19.078008471541672</v>
      </c>
      <c r="G56" s="660">
        <f t="shared" si="7"/>
        <v>2550.8871533903093</v>
      </c>
      <c r="H56" s="660">
        <f t="shared" si="7"/>
        <v>0</v>
      </c>
      <c r="I56" s="660">
        <f t="shared" si="7"/>
        <v>0</v>
      </c>
      <c r="J56" s="660">
        <f t="shared" si="7"/>
        <v>0</v>
      </c>
      <c r="K56" s="660">
        <f t="shared" si="7"/>
        <v>241.0962325103616</v>
      </c>
      <c r="L56" s="660">
        <f t="shared" si="7"/>
        <v>0</v>
      </c>
      <c r="M56" s="660">
        <f t="shared" si="7"/>
        <v>0</v>
      </c>
      <c r="N56" s="660">
        <f t="shared" si="7"/>
        <v>0</v>
      </c>
      <c r="O56" s="660">
        <f t="shared" si="7"/>
        <v>0</v>
      </c>
      <c r="P56" s="660">
        <f t="shared" si="7"/>
        <v>0</v>
      </c>
      <c r="Q56" s="661">
        <f t="shared" si="7"/>
        <v>0</v>
      </c>
      <c r="R56" s="662">
        <f ca="1">SUM(R54:R55)</f>
        <v>4763.5981124803757</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31474.673664304646</v>
      </c>
      <c r="D61" s="668">
        <f t="shared" ref="D61:Q61" ca="1" si="8">D46+D52+D56</f>
        <v>0</v>
      </c>
      <c r="E61" s="668">
        <f t="shared" ca="1" si="8"/>
        <v>45202.097669893126</v>
      </c>
      <c r="F61" s="668">
        <f t="shared" si="8"/>
        <v>1328.5225984962667</v>
      </c>
      <c r="G61" s="668">
        <f t="shared" ca="1" si="8"/>
        <v>27171.522699757275</v>
      </c>
      <c r="H61" s="668">
        <f t="shared" si="8"/>
        <v>71494.785919804883</v>
      </c>
      <c r="I61" s="668">
        <f t="shared" si="8"/>
        <v>14402.444366977255</v>
      </c>
      <c r="J61" s="668">
        <f t="shared" si="8"/>
        <v>0</v>
      </c>
      <c r="K61" s="668">
        <f t="shared" si="8"/>
        <v>384.07189665687213</v>
      </c>
      <c r="L61" s="668">
        <f t="shared" si="8"/>
        <v>0</v>
      </c>
      <c r="M61" s="668">
        <f t="shared" ca="1" si="8"/>
        <v>0</v>
      </c>
      <c r="N61" s="668">
        <f t="shared" si="8"/>
        <v>0</v>
      </c>
      <c r="O61" s="668">
        <f t="shared" ca="1" si="8"/>
        <v>0</v>
      </c>
      <c r="P61" s="668">
        <f t="shared" si="8"/>
        <v>0</v>
      </c>
      <c r="Q61" s="668">
        <f t="shared" si="8"/>
        <v>0</v>
      </c>
      <c r="R61" s="668">
        <f ca="1">R46+R52+R56</f>
        <v>191458.11881589031</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0.18835260002421125</v>
      </c>
      <c r="D63" s="709">
        <f t="shared" ca="1" si="9"/>
        <v>0</v>
      </c>
      <c r="E63" s="942">
        <f t="shared" ca="1" si="9"/>
        <v>0.20199999999999999</v>
      </c>
      <c r="F63" s="709">
        <f t="shared" si="9"/>
        <v>0.22699999999999998</v>
      </c>
      <c r="G63" s="709">
        <f t="shared" ca="1" si="9"/>
        <v>0.26699999999999996</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13779.58500203706</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10906.143182217857</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24685.728184254916</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51052.764269022715</v>
      </c>
      <c r="C4" s="441">
        <f>huishoudens!C8</f>
        <v>0</v>
      </c>
      <c r="D4" s="441">
        <f>huishoudens!D8</f>
        <v>119408.91178233238</v>
      </c>
      <c r="E4" s="441">
        <f>huishoudens!E8</f>
        <v>3255.9613734558975</v>
      </c>
      <c r="F4" s="441">
        <f>huishoudens!F8</f>
        <v>75470.65144601019</v>
      </c>
      <c r="G4" s="441">
        <f>huishoudens!G8</f>
        <v>0</v>
      </c>
      <c r="H4" s="441">
        <f>huishoudens!H8</f>
        <v>0</v>
      </c>
      <c r="I4" s="441">
        <f>huishoudens!I8</f>
        <v>0</v>
      </c>
      <c r="J4" s="441">
        <f>huishoudens!J8</f>
        <v>387.85266941024861</v>
      </c>
      <c r="K4" s="441">
        <f>huishoudens!K8</f>
        <v>0</v>
      </c>
      <c r="L4" s="441">
        <f>huishoudens!L8</f>
        <v>0</v>
      </c>
      <c r="M4" s="441">
        <f>huishoudens!M8</f>
        <v>0</v>
      </c>
      <c r="N4" s="441">
        <f>huishoudens!N8</f>
        <v>18998.177668308439</v>
      </c>
      <c r="O4" s="441">
        <f>huishoudens!O8</f>
        <v>206.35999999999999</v>
      </c>
      <c r="P4" s="442">
        <f>huishoudens!P8</f>
        <v>1639.7333333333333</v>
      </c>
      <c r="Q4" s="443">
        <f>SUM(B4:P4)</f>
        <v>270420.41254187323</v>
      </c>
    </row>
    <row r="5" spans="1:17">
      <c r="A5" s="440" t="s">
        <v>149</v>
      </c>
      <c r="B5" s="441">
        <f ca="1">tertiair!B16</f>
        <v>96698.699107027845</v>
      </c>
      <c r="C5" s="441">
        <f ca="1">tertiair!C16</f>
        <v>0</v>
      </c>
      <c r="D5" s="441">
        <f ca="1">tertiair!D16</f>
        <v>85865.321664527539</v>
      </c>
      <c r="E5" s="441">
        <f>tertiair!E16</f>
        <v>1632.6059220097357</v>
      </c>
      <c r="F5" s="441">
        <f ca="1">tertiair!F16</f>
        <v>14451.590196359088</v>
      </c>
      <c r="G5" s="441">
        <f>tertiair!G16</f>
        <v>0</v>
      </c>
      <c r="H5" s="441">
        <f>tertiair!H16</f>
        <v>0</v>
      </c>
      <c r="I5" s="441">
        <f>tertiair!I16</f>
        <v>0</v>
      </c>
      <c r="J5" s="441">
        <f>tertiair!J16</f>
        <v>8.3087926813390584E-2</v>
      </c>
      <c r="K5" s="441">
        <f>tertiair!K16</f>
        <v>0</v>
      </c>
      <c r="L5" s="441">
        <f ca="1">tertiair!L16</f>
        <v>0</v>
      </c>
      <c r="M5" s="441">
        <f>tertiair!M16</f>
        <v>0</v>
      </c>
      <c r="N5" s="441">
        <f ca="1">tertiair!N16</f>
        <v>3400.0970154075735</v>
      </c>
      <c r="O5" s="441">
        <f>tertiair!O16</f>
        <v>3.1266666666666669</v>
      </c>
      <c r="P5" s="442">
        <f>tertiair!P16</f>
        <v>19.066666666666666</v>
      </c>
      <c r="Q5" s="440">
        <f t="shared" ref="Q5:Q14" ca="1" si="0">SUM(B5:P5)</f>
        <v>202070.59032659195</v>
      </c>
    </row>
    <row r="6" spans="1:17">
      <c r="A6" s="440" t="s">
        <v>187</v>
      </c>
      <c r="B6" s="441">
        <f>'openbare verlichting'!B8</f>
        <v>2045.1420000000001</v>
      </c>
      <c r="C6" s="441"/>
      <c r="D6" s="441"/>
      <c r="E6" s="441"/>
      <c r="F6" s="441"/>
      <c r="G6" s="441"/>
      <c r="H6" s="441"/>
      <c r="I6" s="441"/>
      <c r="J6" s="441"/>
      <c r="K6" s="441"/>
      <c r="L6" s="441"/>
      <c r="M6" s="441"/>
      <c r="N6" s="441"/>
      <c r="O6" s="441"/>
      <c r="P6" s="442"/>
      <c r="Q6" s="440">
        <f t="shared" si="0"/>
        <v>2045.1420000000001</v>
      </c>
    </row>
    <row r="7" spans="1:17">
      <c r="A7" s="440" t="s">
        <v>105</v>
      </c>
      <c r="B7" s="441">
        <f>landbouw!B8</f>
        <v>2589.6942118129523</v>
      </c>
      <c r="C7" s="441">
        <f>landbouw!C8</f>
        <v>0</v>
      </c>
      <c r="D7" s="441">
        <f>landbouw!D8</f>
        <v>780.82331629768157</v>
      </c>
      <c r="E7" s="441">
        <f>landbouw!E8</f>
        <v>84.04409018300295</v>
      </c>
      <c r="F7" s="441">
        <f>landbouw!F8</f>
        <v>9553.884469626626</v>
      </c>
      <c r="G7" s="441">
        <f>landbouw!G8</f>
        <v>0</v>
      </c>
      <c r="H7" s="441">
        <f>landbouw!H8</f>
        <v>0</v>
      </c>
      <c r="I7" s="441">
        <f>landbouw!I8</f>
        <v>0</v>
      </c>
      <c r="J7" s="441">
        <f>landbouw!J8</f>
        <v>681.06280370158652</v>
      </c>
      <c r="K7" s="441">
        <f>landbouw!K8</f>
        <v>0</v>
      </c>
      <c r="L7" s="441">
        <f>landbouw!L8</f>
        <v>0</v>
      </c>
      <c r="M7" s="441">
        <f>landbouw!M8</f>
        <v>0</v>
      </c>
      <c r="N7" s="441">
        <f>landbouw!N8</f>
        <v>0</v>
      </c>
      <c r="O7" s="441">
        <f>landbouw!O8</f>
        <v>0</v>
      </c>
      <c r="P7" s="442">
        <f>landbouw!P8</f>
        <v>0</v>
      </c>
      <c r="Q7" s="440">
        <f t="shared" si="0"/>
        <v>13689.50889162185</v>
      </c>
    </row>
    <row r="8" spans="1:17">
      <c r="A8" s="440" t="s">
        <v>596</v>
      </c>
      <c r="B8" s="441">
        <f>industrie!B18</f>
        <v>12243.682031476015</v>
      </c>
      <c r="C8" s="441">
        <f>industrie!C18</f>
        <v>0</v>
      </c>
      <c r="D8" s="441">
        <f>industrie!D18</f>
        <v>12990.379786133413</v>
      </c>
      <c r="E8" s="441">
        <f>industrie!E18</f>
        <v>264.69353398927228</v>
      </c>
      <c r="F8" s="441">
        <f>industrie!F18</f>
        <v>2289.8765088178761</v>
      </c>
      <c r="G8" s="441">
        <f>industrie!G18</f>
        <v>0</v>
      </c>
      <c r="H8" s="441">
        <f>industrie!H18</f>
        <v>0</v>
      </c>
      <c r="I8" s="441">
        <f>industrie!I18</f>
        <v>0</v>
      </c>
      <c r="J8" s="441">
        <f>industrie!J18</f>
        <v>15.950299573984585</v>
      </c>
      <c r="K8" s="441">
        <f>industrie!K18</f>
        <v>0</v>
      </c>
      <c r="L8" s="441">
        <f>industrie!L18</f>
        <v>0</v>
      </c>
      <c r="M8" s="441">
        <f>industrie!M18</f>
        <v>0</v>
      </c>
      <c r="N8" s="441">
        <f>industrie!N18</f>
        <v>238.03282538906927</v>
      </c>
      <c r="O8" s="441">
        <f>industrie!O18</f>
        <v>0</v>
      </c>
      <c r="P8" s="442">
        <f>industrie!P18</f>
        <v>0</v>
      </c>
      <c r="Q8" s="440">
        <f t="shared" si="0"/>
        <v>28042.614985379634</v>
      </c>
    </row>
    <row r="9" spans="1:17" s="446" customFormat="1">
      <c r="A9" s="444" t="s">
        <v>545</v>
      </c>
      <c r="B9" s="445">
        <f>transport!B14</f>
        <v>203.4072538617329</v>
      </c>
      <c r="C9" s="445">
        <f>transport!C14</f>
        <v>0</v>
      </c>
      <c r="D9" s="445">
        <f>transport!D14</f>
        <v>329.77077630808435</v>
      </c>
      <c r="E9" s="445">
        <f>transport!E14</f>
        <v>615.217540698069</v>
      </c>
      <c r="F9" s="445">
        <f>transport!F14</f>
        <v>0</v>
      </c>
      <c r="G9" s="445">
        <f>transport!G14</f>
        <v>263208.5463758097</v>
      </c>
      <c r="H9" s="445">
        <f>transport!H14</f>
        <v>57841.142036053236</v>
      </c>
      <c r="I9" s="445">
        <f>transport!I14</f>
        <v>0</v>
      </c>
      <c r="J9" s="445">
        <f>transport!J14</f>
        <v>0</v>
      </c>
      <c r="K9" s="445">
        <f>transport!K14</f>
        <v>0</v>
      </c>
      <c r="L9" s="445">
        <f>transport!L14</f>
        <v>0</v>
      </c>
      <c r="M9" s="445">
        <f>transport!M14</f>
        <v>17080.937394240569</v>
      </c>
      <c r="N9" s="445">
        <f>transport!N14</f>
        <v>0</v>
      </c>
      <c r="O9" s="445">
        <f>transport!O14</f>
        <v>0</v>
      </c>
      <c r="P9" s="445">
        <f>transport!P14</f>
        <v>0</v>
      </c>
      <c r="Q9" s="444">
        <f>SUM(B9:P9)</f>
        <v>339279.02137697139</v>
      </c>
    </row>
    <row r="10" spans="1:17">
      <c r="A10" s="440" t="s">
        <v>535</v>
      </c>
      <c r="B10" s="441">
        <f>transport!B54</f>
        <v>48.564868246117122</v>
      </c>
      <c r="C10" s="441">
        <f>transport!C54</f>
        <v>0</v>
      </c>
      <c r="D10" s="441">
        <f>transport!D54</f>
        <v>0</v>
      </c>
      <c r="E10" s="441">
        <f>transport!E54</f>
        <v>0</v>
      </c>
      <c r="F10" s="441">
        <f>transport!F54</f>
        <v>0</v>
      </c>
      <c r="G10" s="441">
        <f>transport!G54</f>
        <v>4562.1874062310644</v>
      </c>
      <c r="H10" s="441">
        <f>transport!H54</f>
        <v>0</v>
      </c>
      <c r="I10" s="441">
        <f>transport!I54</f>
        <v>0</v>
      </c>
      <c r="J10" s="441">
        <f>transport!J54</f>
        <v>0</v>
      </c>
      <c r="K10" s="441">
        <f>transport!K54</f>
        <v>0</v>
      </c>
      <c r="L10" s="441">
        <f>transport!L54</f>
        <v>0</v>
      </c>
      <c r="M10" s="441">
        <f>transport!M54</f>
        <v>262.72267482767762</v>
      </c>
      <c r="N10" s="441">
        <f>transport!N54</f>
        <v>0</v>
      </c>
      <c r="O10" s="441">
        <f>transport!O54</f>
        <v>0</v>
      </c>
      <c r="P10" s="442">
        <f>transport!P54</f>
        <v>0</v>
      </c>
      <c r="Q10" s="440">
        <f t="shared" si="0"/>
        <v>4873.4749493048594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2223.11229033991</v>
      </c>
      <c r="C14" s="448"/>
      <c r="D14" s="448">
        <f>'SEAP template'!E25</f>
        <v>4397.5534164460896</v>
      </c>
      <c r="E14" s="448"/>
      <c r="F14" s="448"/>
      <c r="G14" s="448"/>
      <c r="H14" s="448"/>
      <c r="I14" s="448"/>
      <c r="J14" s="448"/>
      <c r="K14" s="448"/>
      <c r="L14" s="448"/>
      <c r="M14" s="448"/>
      <c r="N14" s="448"/>
      <c r="O14" s="448"/>
      <c r="P14" s="449"/>
      <c r="Q14" s="440">
        <f t="shared" si="0"/>
        <v>6620.6657067859996</v>
      </c>
    </row>
    <row r="15" spans="1:17" s="450" customFormat="1">
      <c r="A15" s="957" t="s">
        <v>539</v>
      </c>
      <c r="B15" s="905">
        <f ca="1">SUM(B4:B14)</f>
        <v>167105.06603178731</v>
      </c>
      <c r="C15" s="905">
        <f t="shared" ref="C15:Q15" ca="1" si="1">SUM(C4:C14)</f>
        <v>0</v>
      </c>
      <c r="D15" s="905">
        <f t="shared" ca="1" si="1"/>
        <v>223772.76074204518</v>
      </c>
      <c r="E15" s="905">
        <f t="shared" si="1"/>
        <v>5852.5224603359775</v>
      </c>
      <c r="F15" s="905">
        <f t="shared" ca="1" si="1"/>
        <v>101766.00262081379</v>
      </c>
      <c r="G15" s="905">
        <f t="shared" si="1"/>
        <v>267770.73378204077</v>
      </c>
      <c r="H15" s="905">
        <f t="shared" si="1"/>
        <v>57841.142036053236</v>
      </c>
      <c r="I15" s="905">
        <f t="shared" si="1"/>
        <v>0</v>
      </c>
      <c r="J15" s="905">
        <f t="shared" si="1"/>
        <v>1084.9488606126331</v>
      </c>
      <c r="K15" s="905">
        <f t="shared" si="1"/>
        <v>0</v>
      </c>
      <c r="L15" s="905">
        <f t="shared" ca="1" si="1"/>
        <v>0</v>
      </c>
      <c r="M15" s="905">
        <f t="shared" si="1"/>
        <v>17343.660069068246</v>
      </c>
      <c r="N15" s="905">
        <f t="shared" ca="1" si="1"/>
        <v>22636.307509105081</v>
      </c>
      <c r="O15" s="905">
        <f t="shared" si="1"/>
        <v>209.48666666666665</v>
      </c>
      <c r="P15" s="905">
        <f t="shared" si="1"/>
        <v>1658.8</v>
      </c>
      <c r="Q15" s="905">
        <f t="shared" ca="1" si="1"/>
        <v>867041.4307785288</v>
      </c>
    </row>
    <row r="17" spans="1:17">
      <c r="A17" s="451" t="s">
        <v>540</v>
      </c>
      <c r="B17" s="714">
        <f ca="1">huishoudens!B10</f>
        <v>0.18835260002421131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9615.9208884935815</v>
      </c>
      <c r="C22" s="441">
        <f t="shared" ref="C22:C32" ca="1" si="3">C4*$C$17</f>
        <v>0</v>
      </c>
      <c r="D22" s="441">
        <f t="shared" ref="D22:D32" si="4">D4*$D$17</f>
        <v>24120.600180031142</v>
      </c>
      <c r="E22" s="441">
        <f t="shared" ref="E22:E32" si="5">E4*$E$17</f>
        <v>739.10323177448879</v>
      </c>
      <c r="F22" s="441">
        <f t="shared" ref="F22:F32" si="6">F4*$F$17</f>
        <v>20150.663936084722</v>
      </c>
      <c r="G22" s="441">
        <f t="shared" ref="G22:G32" si="7">G4*$G$17</f>
        <v>0</v>
      </c>
      <c r="H22" s="441">
        <f t="shared" ref="H22:H32" si="8">H4*$H$17</f>
        <v>0</v>
      </c>
      <c r="I22" s="441">
        <f t="shared" ref="I22:I32" si="9">I4*$I$17</f>
        <v>0</v>
      </c>
      <c r="J22" s="441">
        <f t="shared" ref="J22:J32" si="10">J4*$J$17</f>
        <v>137.299844971228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54763.588081355156</v>
      </c>
    </row>
    <row r="23" spans="1:17">
      <c r="A23" s="440" t="s">
        <v>149</v>
      </c>
      <c r="B23" s="441">
        <f t="shared" ca="1" si="2"/>
        <v>18213.451395767574</v>
      </c>
      <c r="C23" s="441">
        <f t="shared" ca="1" si="3"/>
        <v>0</v>
      </c>
      <c r="D23" s="441">
        <f t="shared" ca="1" si="4"/>
        <v>17344.794976234563</v>
      </c>
      <c r="E23" s="441">
        <f t="shared" si="5"/>
        <v>370.60154429621002</v>
      </c>
      <c r="F23" s="441">
        <f t="shared" ca="1" si="6"/>
        <v>3858.5745824278765</v>
      </c>
      <c r="G23" s="441">
        <f t="shared" si="7"/>
        <v>0</v>
      </c>
      <c r="H23" s="441">
        <f t="shared" si="8"/>
        <v>0</v>
      </c>
      <c r="I23" s="441">
        <f t="shared" si="9"/>
        <v>0</v>
      </c>
      <c r="J23" s="441">
        <f t="shared" si="10"/>
        <v>2.9413126091940266E-2</v>
      </c>
      <c r="K23" s="441">
        <f t="shared" si="11"/>
        <v>0</v>
      </c>
      <c r="L23" s="441">
        <f t="shared" ca="1" si="12"/>
        <v>0</v>
      </c>
      <c r="M23" s="441">
        <f t="shared" si="13"/>
        <v>0</v>
      </c>
      <c r="N23" s="441">
        <f t="shared" ca="1" si="14"/>
        <v>0</v>
      </c>
      <c r="O23" s="441">
        <f t="shared" si="15"/>
        <v>0</v>
      </c>
      <c r="P23" s="442">
        <f t="shared" si="16"/>
        <v>0</v>
      </c>
      <c r="Q23" s="440">
        <f t="shared" ref="Q23:Q32" ca="1" si="17">SUM(B23:P23)</f>
        <v>39787.451911852309</v>
      </c>
    </row>
    <row r="24" spans="1:17">
      <c r="A24" s="440" t="s">
        <v>187</v>
      </c>
      <c r="B24" s="441">
        <f t="shared" ca="1" si="2"/>
        <v>385.20781311871559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385.20781311871559</v>
      </c>
    </row>
    <row r="25" spans="1:17">
      <c r="A25" s="440" t="s">
        <v>105</v>
      </c>
      <c r="B25" s="441">
        <f t="shared" ca="1" si="2"/>
        <v>487.77563806262015</v>
      </c>
      <c r="C25" s="441">
        <f t="shared" ca="1" si="3"/>
        <v>0</v>
      </c>
      <c r="D25" s="441">
        <f t="shared" si="4"/>
        <v>157.7263098921317</v>
      </c>
      <c r="E25" s="441">
        <f t="shared" si="5"/>
        <v>19.078008471541672</v>
      </c>
      <c r="F25" s="441">
        <f t="shared" si="6"/>
        <v>2550.8871533903093</v>
      </c>
      <c r="G25" s="441">
        <f t="shared" si="7"/>
        <v>0</v>
      </c>
      <c r="H25" s="441">
        <f t="shared" si="8"/>
        <v>0</v>
      </c>
      <c r="I25" s="441">
        <f t="shared" si="9"/>
        <v>0</v>
      </c>
      <c r="J25" s="441">
        <f t="shared" si="10"/>
        <v>241.0962325103616</v>
      </c>
      <c r="K25" s="441">
        <f t="shared" si="11"/>
        <v>0</v>
      </c>
      <c r="L25" s="441">
        <f t="shared" si="12"/>
        <v>0</v>
      </c>
      <c r="M25" s="441">
        <f t="shared" si="13"/>
        <v>0</v>
      </c>
      <c r="N25" s="441">
        <f t="shared" si="14"/>
        <v>0</v>
      </c>
      <c r="O25" s="441">
        <f t="shared" si="15"/>
        <v>0</v>
      </c>
      <c r="P25" s="442">
        <f t="shared" si="16"/>
        <v>0</v>
      </c>
      <c r="Q25" s="440">
        <f t="shared" ca="1" si="17"/>
        <v>3456.5633423269642</v>
      </c>
    </row>
    <row r="26" spans="1:17">
      <c r="A26" s="440" t="s">
        <v>596</v>
      </c>
      <c r="B26" s="441">
        <f t="shared" ca="1" si="2"/>
        <v>2306.1293444982248</v>
      </c>
      <c r="C26" s="441">
        <f t="shared" ca="1" si="3"/>
        <v>0</v>
      </c>
      <c r="D26" s="441">
        <f t="shared" si="4"/>
        <v>2624.0567167989498</v>
      </c>
      <c r="E26" s="441">
        <f t="shared" si="5"/>
        <v>60.085432215564808</v>
      </c>
      <c r="F26" s="441">
        <f t="shared" si="6"/>
        <v>611.39702785437294</v>
      </c>
      <c r="G26" s="441">
        <f t="shared" si="7"/>
        <v>0</v>
      </c>
      <c r="H26" s="441">
        <f t="shared" si="8"/>
        <v>0</v>
      </c>
      <c r="I26" s="441">
        <f t="shared" si="9"/>
        <v>0</v>
      </c>
      <c r="J26" s="441">
        <f t="shared" si="10"/>
        <v>5.646406049190543</v>
      </c>
      <c r="K26" s="441">
        <f t="shared" si="11"/>
        <v>0</v>
      </c>
      <c r="L26" s="441">
        <f t="shared" si="12"/>
        <v>0</v>
      </c>
      <c r="M26" s="441">
        <f t="shared" si="13"/>
        <v>0</v>
      </c>
      <c r="N26" s="441">
        <f t="shared" si="14"/>
        <v>0</v>
      </c>
      <c r="O26" s="441">
        <f t="shared" si="15"/>
        <v>0</v>
      </c>
      <c r="P26" s="442">
        <f t="shared" si="16"/>
        <v>0</v>
      </c>
      <c r="Q26" s="440">
        <f t="shared" ca="1" si="17"/>
        <v>5607.3149274163025</v>
      </c>
    </row>
    <row r="27" spans="1:17" s="446" customFormat="1">
      <c r="A27" s="444" t="s">
        <v>545</v>
      </c>
      <c r="B27" s="708">
        <f t="shared" ca="1" si="2"/>
        <v>38.312285128642188</v>
      </c>
      <c r="C27" s="445">
        <f t="shared" ca="1" si="3"/>
        <v>0</v>
      </c>
      <c r="D27" s="445">
        <f t="shared" si="4"/>
        <v>66.613696814233037</v>
      </c>
      <c r="E27" s="445">
        <f t="shared" si="5"/>
        <v>139.65438173846167</v>
      </c>
      <c r="F27" s="445">
        <f t="shared" si="6"/>
        <v>0</v>
      </c>
      <c r="G27" s="445">
        <f t="shared" si="7"/>
        <v>70276.681882341189</v>
      </c>
      <c r="H27" s="445">
        <f t="shared" si="8"/>
        <v>14402.444366977255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84923.706612999784</v>
      </c>
    </row>
    <row r="28" spans="1:17">
      <c r="A28" s="440" t="s">
        <v>535</v>
      </c>
      <c r="B28" s="441">
        <f t="shared" ca="1" si="2"/>
        <v>9.1473192039894187</v>
      </c>
      <c r="C28" s="441">
        <f t="shared" ca="1" si="3"/>
        <v>0</v>
      </c>
      <c r="D28" s="441">
        <f t="shared" si="4"/>
        <v>0</v>
      </c>
      <c r="E28" s="441">
        <f t="shared" si="5"/>
        <v>0</v>
      </c>
      <c r="F28" s="441">
        <f t="shared" si="6"/>
        <v>0</v>
      </c>
      <c r="G28" s="441">
        <f t="shared" si="7"/>
        <v>1218.1040374636943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1227.2513566676837</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418.72898003130138</v>
      </c>
      <c r="C32" s="441">
        <f t="shared" ca="1" si="3"/>
        <v>0</v>
      </c>
      <c r="D32" s="441">
        <f t="shared" si="4"/>
        <v>888.30579012211012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1307.0347701534115</v>
      </c>
    </row>
    <row r="33" spans="1:17" s="450" customFormat="1">
      <c r="A33" s="957" t="s">
        <v>539</v>
      </c>
      <c r="B33" s="905">
        <f ca="1">SUM(B22:B32)</f>
        <v>31474.673664304646</v>
      </c>
      <c r="C33" s="905">
        <f t="shared" ref="C33:Q33" ca="1" si="18">SUM(C22:C32)</f>
        <v>0</v>
      </c>
      <c r="D33" s="905">
        <f t="shared" ca="1" si="18"/>
        <v>45202.097669893126</v>
      </c>
      <c r="E33" s="905">
        <f t="shared" si="18"/>
        <v>1328.5225984962667</v>
      </c>
      <c r="F33" s="905">
        <f t="shared" ca="1" si="18"/>
        <v>27171.522699757275</v>
      </c>
      <c r="G33" s="905">
        <f t="shared" si="18"/>
        <v>71494.785919804883</v>
      </c>
      <c r="H33" s="905">
        <f t="shared" si="18"/>
        <v>14402.444366977255</v>
      </c>
      <c r="I33" s="905">
        <f t="shared" si="18"/>
        <v>0</v>
      </c>
      <c r="J33" s="905">
        <f t="shared" si="18"/>
        <v>384.07189665687213</v>
      </c>
      <c r="K33" s="905">
        <f t="shared" si="18"/>
        <v>0</v>
      </c>
      <c r="L33" s="905">
        <f t="shared" ca="1" si="18"/>
        <v>0</v>
      </c>
      <c r="M33" s="905">
        <f t="shared" si="18"/>
        <v>0</v>
      </c>
      <c r="N33" s="905">
        <f t="shared" ca="1" si="18"/>
        <v>0</v>
      </c>
      <c r="O33" s="905">
        <f t="shared" si="18"/>
        <v>0</v>
      </c>
      <c r="P33" s="905">
        <f t="shared" si="18"/>
        <v>0</v>
      </c>
      <c r="Q33" s="905">
        <f t="shared" ca="1" si="18"/>
        <v>191458.11881589031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13779.58500203706</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10906.143182217857</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24685.728184254916</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0.18835260002421131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0.18835260002421131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2022-07-26T10:35:03Z</dcterms:modified>
</cp:coreProperties>
</file>