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EDB08CD5-2CA1-477F-A380-44944AB94E8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<sst xmlns="http://schemas.openxmlformats.org/spreadsheetml/2006/main" count="2397" uniqueCount="878">
  <si>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</si>
  <si>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</si>
  <si>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</si>
  <si>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</si>
  <si>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</si>
  <si>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</si>
  <si>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</si>
  <si>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</si>
  <si>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</si>
  <si>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</si>
  <si>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</si>
  <si>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</si>
  <si>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</si>
  <si>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</si>
  <si>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</si>
  <si>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</si>
  <si>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</si>
  <si>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</si>
  <si>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</si>
  <si>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</si>
  <si>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</si>
  <si>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</si>
  <si>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</si>
  <si>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</si>
  <si>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</si>
  <si>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</si>
  <si>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</si>
  <si>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</si>
  <si>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</si>
  <si>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</si>
  <si>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</si>
  <si>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</si>
  <si>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</si>
  <si>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</si>
  <si>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</si>
  <si>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</si>
  <si>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</si>
  <si>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</si>
  <si>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</si>
  <si>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</si>
  <si>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</si>
  <si>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</si>
  <si>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</si>
  <si>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</si>
  <si>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</si>
  <si>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</si>
  <si>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</si>
  <si>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</si>
  <si>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</si>
  <si>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</si>
  <si>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</si>
  <si>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</si>
  <si>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</si>
  <si>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</si>
  <si>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</si>
  <si>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</si>
  <si>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</si>
  <si>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</si>
  <si>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</si>
  <si>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</si>
  <si>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</si>
  <si>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</si>
  <si>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</si>
  <si>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</si>
  <si>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</si>
  <si>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</si>
  <si>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</si>
  <si>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</si>
  <si>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</si>
  <si>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</si>
  <si>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</si>
  <si>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</si>
  <si>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</si>
  <si>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</si>
  <si>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</si>
  <si>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</si>
  <si>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</si>
  <si>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</si>
  <si>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</si>
  <si>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</si>
  <si>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</si>
  <si>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</si>
  <si>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</si>
  <si>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</si>
  <si>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</si>
  <si>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</si>
  <si>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</si>
  <si>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</si>
  <si>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</si>
  <si>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</si>
  <si>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</si>
  <si>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</si>
  <si>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</si>
  <si>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</si>
  <si>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</si>
  <si>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</si>
  <si>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</si>
  <si>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</si>
  <si>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</si>
  <si>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</si>
  <si>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</si>
  <si>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</si>
  <si>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</si>
  <si>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</si>
  <si>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</si>
  <si>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</si>
  <si>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</si>
  <si>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</si>
  <si>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</si>
  <si>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</si>
  <si>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</si>
  <si>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</si>
  <si>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</si>
  <si>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</si>
  <si>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</si>
  <si>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</si>
  <si>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</si>
  <si>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</si>
  <si>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</si>
  <si>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</si>
  <si>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</si>
  <si>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</si>
  <si>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</si>
  <si>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</si>
  <si>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</si>
  <si>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</si>
  <si>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</si>
  <si>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</si>
  <si>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</si>
  <si>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</si>
  <si>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</si>
  <si>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</si>
  <si>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</si>
  <si>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</si>
  <si>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</si>
  <si>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</si>
  <si>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</si>
  <si>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</si>
  <si>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</si>
  <si>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</si>
  <si>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</si>
  <si>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</si>
  <si>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</si>
  <si>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</si>
  <si>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</si>
  <si>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</si>
  <si>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</si>
  <si>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</si>
  <si>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</si>
  <si>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</si>
  <si>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</si>
  <si>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</si>
  <si>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</si>
  <si>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</si>
  <si>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</si>
  <si>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</si>
  <si>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</si>
  <si>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</si>
  <si>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</si>
  <si>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</si>
  <si>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</si>
  <si>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</si>
  <si>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</si>
  <si>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</si>
  <si>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</si>
  <si>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</si>
  <si>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</si>
  <si>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</si>
  <si>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</si>
  <si>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</si>
  <si>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</si>
  <si>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</si>
  <si>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</si>
  <si>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</si>
  <si>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</si>
  <si>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</si>
  <si>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</si>
  <si>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</si>
  <si>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</si>
  <si>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</si>
  <si>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</si>
  <si>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</si>
  <si>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</si>
  <si>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</si>
  <si>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</si>
  <si>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</si>
  <si>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</si>
  <si>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</si>
  <si>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</si>
  <si>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</si>
  <si>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</si>
  <si>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</si>
  <si>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</si>
  <si>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</si>
  <si>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</si>
  <si>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</si>
  <si>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</si>
  <si>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</si>
  <si>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</si>
  <si>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</si>
  <si>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</si>
  <si>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</si>
  <si>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</si>
  <si>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</si>
  <si>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</si>
  <si>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</si>
  <si>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</si>
  <si>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</si>
  <si>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</si>
  <si>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</si>
  <si>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</si>
  <si>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</si>
  <si>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</si>
  <si>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</si>
  <si>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</si>
  <si>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</si>
  <si>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</si>
  <si>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</si>
  <si>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</si>
  <si>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</si>
  <si>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</si>
  <si>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</si>
  <si>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</si>
  <si>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</si>
  <si>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</si>
  <si>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</si>
  <si>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</si>
  <si>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</si>
  <si>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</si>
  <si>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</si>
  <si>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</si>
  <si>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</si>
  <si>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</si>
  <si>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</si>
  <si>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</si>
  <si>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</si>
  <si>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</si>
  <si>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</si>
  <si>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</si>
  <si>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</si>
  <si>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</si>
  <si>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</si>
  <si>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</si>
  <si>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</si>
  <si>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</si>
  <si>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</si>
  <si>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</si>
  <si>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</si>
  <si>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</si>
  <si>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</si>
  <si>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</si>
  <si>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</si>
  <si>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</si>
  <si>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</si>
  <si>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</si>
  <si>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</si>
  <si>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</si>
  <si>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</si>
  <si>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</si>
  <si>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</si>
  <si>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</si>
  <si>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</si>
  <si>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</si>
  <si>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</si>
  <si>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</si>
  <si>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</si>
  <si>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</si>
  <si>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</si>
  <si>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</si>
  <si>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</si>
  <si>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</si>
  <si>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</si>
  <si>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</si>
  <si>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</si>
  <si>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</si>
  <si>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</si>
  <si>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</si>
  <si>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</si>
  <si>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</si>
  <si>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</si>
  <si>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</si>
  <si>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</si>
  <si>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</si>
  <si>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</si>
  <si>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</si>
  <si>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</si>
  <si>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</si>
  <si>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</si>
  <si>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</si>
  <si>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</si>
  <si>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</si>
  <si>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</si>
  <si>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</si>
  <si>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</si>
  <si>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</si>
  <si>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</si>
  <si>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</si>
  <si>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</si>
  <si>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</si>
  <si>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</si>
  <si>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</si>
  <si>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</si>
  <si>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</si>
  <si>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</si>
  <si>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</si>
  <si>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</si>
  <si>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</si>
  <si>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</si>
  <si>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</si>
  <si>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</si>
  <si>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</si>
  <si>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</si>
  <si>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</si>
  <si>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</si>
  <si>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</si>
  <si>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</si>
  <si>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</si>
  <si>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</si>
  <si>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</si>
  <si>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</si>
  <si>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</si>
  <si>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</si>
  <si>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</si>
  <si>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</si>
  <si>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</si>
  <si>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</si>
  <si>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</si>
  <si>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</si>
  <si>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</si>
  <si>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</si>
  <si>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</si>
  <si>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</si>
  <si>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</si>
  <si>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</si>
  <si>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</si>
  <si>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</si>
  <si>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</si>
  <si>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</si>
  <si>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</si>
  <si>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</si>
  <si>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</si>
  <si>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</si>
  <si>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</si>
  <si>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</si>
  <si>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</si>
  <si>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</si>
  <si>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</si>
  <si>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</si>
  <si>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</si>
  <si>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</si>
  <si>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</si>
  <si>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</si>
  <si>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</si>
  <si>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</si>
  <si>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</si>
  <si>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</si>
  <si>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</si>
  <si>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</si>
  <si>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</si>
  <si>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</si>
  <si>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</si>
  <si>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</si>
  <si>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</si>
  <si>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</si>
  <si>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</si>
  <si>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</si>
  <si>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</si>
  <si>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</si>
  <si>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</si>
  <si>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</si>
  <si>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</si>
  <si>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</si>
  <si>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</si>
  <si>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</si>
  <si>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</si>
  <si>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</si>
  <si>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</si>
  <si>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</si>
  <si>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</si>
  <si>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</si>
  <si>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</si>
  <si>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</si>
  <si>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</si>
  <si>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</si>
  <si>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</si>
  <si>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</si>
  <si>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</si>
  <si>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</si>
  <si>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</si>
  <si>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</si>
  <si>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</si>
  <si>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</si>
  <si>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</si>
  <si>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</si>
  <si>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</si>
  <si>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</si>
  <si>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</si>
  <si>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</si>
  <si>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</si>
  <si>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</si>
  <si>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</si>
  <si>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</si>
  <si>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</si>
  <si>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</si>
  <si>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</si>
  <si>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</si>
  <si>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</si>
  <si>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</si>
  <si>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</si>
  <si>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</si>
  <si>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</si>
  <si>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</si>
  <si>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</si>
  <si>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</si>
  <si>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</si>
  <si>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</si>
  <si>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</si>
  <si>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</si>
  <si>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</si>
  <si>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</si>
  <si>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</si>
  <si>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</si>
  <si>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</si>
  <si>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</si>
  <si>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</si>
  <si>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</si>
  <si>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</si>
  <si>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</si>
  <si>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</si>
  <si>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</si>
  <si>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</si>
  <si>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</si>
  <si>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</si>
  <si>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</si>
  <si>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</si>
  <si>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</si>
  <si>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</si>
  <si>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</si>
  <si>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</si>
  <si>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</si>
  <si>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</si>
  <si>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</si>
  <si>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</si>
  <si>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</si>
  <si>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</si>
  <si>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</si>
  <si>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</si>
  <si>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</si>
  <si>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</si>
  <si>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</si>
  <si>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</si>
  <si>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</si>
  <si>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</si>
  <si>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</si>
  <si>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</si>
  <si>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</si>
  <si>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</si>
  <si>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</si>
  <si>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</si>
  <si>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</si>
  <si>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</si>
  <si>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</si>
  <si>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</si>
  <si>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</si>
  <si>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</si>
  <si>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</si>
  <si>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</si>
  <si>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</si>
  <si>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</si>
  <si>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</si>
  <si>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</si>
  <si>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</si>
  <si>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</si>
  <si>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</si>
  <si>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</si>
  <si>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</si>
  <si>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</si>
  <si>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</si>
  <si>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</si>
  <si>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</si>
  <si>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</si>
  <si>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</si>
  <si>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</si>
  <si>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</si>
  <si>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</si>
  <si>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</si>
  <si>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</si>
  <si>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</si>
  <si>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</si>
  <si>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</si>
  <si>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</si>
  <si>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</si>
  <si>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</si>
  <si>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</si>
  <si>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</si>
  <si>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</si>
  <si>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</si>
  <si>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</si>
  <si>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</si>
  <si>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</si>
  <si>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</si>
  <si>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</si>
  <si>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</si>
  <si>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</si>
  <si>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</si>
  <si>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</si>
  <si>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</si>
  <si>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</si>
  <si>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</si>
  <si>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</si>
  <si>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</si>
  <si>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</si>
  <si>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</si>
  <si>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</si>
  <si>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</si>
  <si>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</si>
  <si>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</si>
  <si>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</si>
  <si>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</si>
  <si>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</si>
  <si>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</si>
  <si>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</si>
  <si>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</si>
  <si>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</si>
  <si>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</si>
  <si>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</si>
  <si>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</si>
  <si>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</si>
  <si>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</si>
  <si>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</si>
  <si>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</si>
  <si>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</si>
  <si>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</si>
  <si>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</si>
  <si>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</si>
  <si>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</si>
  <si>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</si>
  <si>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</si>
  <si>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</si>
  <si>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</si>
  <si>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</si>
  <si>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</si>
  <si>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</si>
  <si>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</si>
  <si>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</si>
  <si>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</si>
  <si>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</si>
  <si>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</si>
  <si>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</si>
  <si>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</si>
  <si>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</si>
  <si>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</si>
  <si>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</si>
  <si>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</si>
  <si>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</si>
  <si>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</si>
  <si>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</si>
  <si>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</si>
  <si>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</si>
  <si>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</si>
  <si>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</si>
  <si>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</si>
  <si>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</si>
  <si>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</si>
  <si>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</si>
  <si>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</si>
  <si>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</si>
  <si>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</si>
  <si>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</si>
  <si>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</si>
  <si>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</si>
  <si>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</si>
  <si>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</si>
  <si>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</si>
  <si>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</si>
  <si>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</si>
  <si>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</si>
  <si>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</si>
  <si>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</si>
  <si>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</si>
  <si>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</si>
  <si>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</si>
  <si>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</si>
  <si>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</si>
  <si>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</si>
  <si>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</si>
  <si>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</si>
  <si>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</si>
  <si>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</si>
  <si>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</si>
  <si>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</si>
  <si>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</si>
  <si>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</si>
  <si>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</si>
  <si>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</si>
  <si>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</si>
  <si>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</si>
  <si>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</si>
  <si>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</si>
  <si>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</si>
  <si>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</si>
  <si>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</si>
  <si>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</si>
  <si>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</si>
  <si>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</si>
  <si>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</si>
  <si>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</si>
  <si>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</si>
  <si>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</si>
  <si>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</si>
  <si>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</si>
  <si>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</si>
  <si>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</si>
  <si>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</si>
  <si>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</si>
  <si>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</si>
  <si>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</si>
  <si>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</si>
  <si>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</si>
  <si>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</si>
  <si>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</si>
  <si>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</si>
  <si>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</si>
  <si>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</si>
  <si>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</si>
  <si>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</si>
  <si>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</si>
  <si>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</si>
  <si>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</si>
  <si>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</si>
  <si>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</si>
  <si>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</si>
  <si>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</si>
  <si>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</si>
  <si>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</si>
  <si>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</si>
  <si>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</si>
  <si>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</si>
  <si>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</si>
  <si>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</si>
  <si>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</si>
  <si>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</si>
  <si>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</si>
  <si>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</si>
  <si>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</si>
  <si>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</si>
  <si>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</si>
  <si>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</si>
  <si>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</si>
  <si>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</si>
  <si>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</si>
  <si>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</si>
  <si>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</si>
  <si>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</si>
  <si>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</si>
  <si>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</si>
  <si>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</si>
  <si>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</si>
  <si>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</si>
  <si>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</si>
  <si>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</si>
  <si>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</si>
  <si>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</si>
  <si>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</si>
  <si>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</si>
  <si>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</si>
  <si>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</si>
  <si>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</si>
  <si>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</si>
  <si>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</si>
  <si>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</si>
  <si>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</si>
  <si>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</si>
  <si>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</si>
  <si>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</si>
  <si>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</si>
  <si>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</si>
  <si>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</si>
  <si>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</si>
  <si>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</si>
  <si>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</si>
  <si>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</si>
  <si>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</si>
  <si>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</si>
  <si>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</si>
  <si>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</si>
  <si>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</si>
  <si>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</si>
  <si>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</si>
  <si>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</si>
  <si>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</si>
  <si>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</si>
  <si>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</si>
  <si>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</si>
  <si>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</si>
  <si>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</si>
  <si>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</si>
  <si>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</si>
  <si>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</si>
  <si>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</si>
  <si>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</si>
  <si>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</si>
  <si>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</si>
  <si>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</si>
  <si>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</si>
  <si>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</si>
  <si>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</si>
  <si>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</si>
  <si>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</si>
  <si>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</si>
  <si>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</si>
  <si>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</si>
  <si>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</si>
  <si>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</si>
  <si>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</si>
  <si>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</si>
  <si>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</si>
  <si>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</si>
  <si>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</si>
  <si>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</si>
  <si>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</si>
  <si>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</si>
  <si>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</si>
  <si>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</si>
  <si>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</si>
  <si>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</si>
  <si>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</si>
  <si>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</si>
  <si>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</si>
  <si>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</si>
  <si>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</si>
  <si>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</si>
  <si>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</si>
  <si>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</si>
  <si>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</si>
  <si>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</si>
  <si>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</si>
  <si>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</si>
  <si>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</si>
  <si>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</si>
  <si>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</si>
  <si>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</si>
  <si>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</si>
  <si>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</si>
  <si>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</si>
  <si>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</si>
  <si>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</si>
  <si>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</si>
  <si>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</si>
  <si>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</si>
  <si>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</si>
  <si>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</si>
  <si>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</si>
  <si>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</si>
  <si>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</si>
  <si>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</si>
  <si>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</si>
  <si>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</si>
  <si>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</si>
  <si>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</si>
  <si>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</si>
  <si>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</si>
  <si>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</si>
  <si>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</si>
  <si>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</si>
  <si>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</si>
  <si>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</si>
  <si>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</si>
  <si>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</si>
  <si>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</si>
  <si>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</si>
  <si>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</si>
  <si>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</si>
  <si>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</si>
  <si>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</si>
  <si>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</si>
  <si>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</si>
  <si>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</si>
  <si>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</si>
  <si>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</si>
  <si>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</si>
  <si>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</si>
  <si>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</si>
  <si>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</si>
  <si>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</si>
  <si>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</si>
  <si>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</si>
  <si>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</si>
  <si>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</si>
  <si>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</si>
  <si>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</si>
  <si>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</si>
  <si>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</si>
  <si>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</si>
  <si>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</si>
  <si>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</si>
  <si>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</si>
  <si>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</si>
  <si>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</si>
  <si>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</si>
  <si>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</si>
  <si>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</si>
  <si>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</si>
  <si>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</si>
  <si>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</si>
  <si>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</si>
  <si>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</si>
  <si>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</si>
  <si>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</si>
  <si>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</si>
  <si>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</si>
  <si>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</si>
  <si>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</si>
  <si>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</si>
  <si>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</si>
  <si>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</si>
  <si>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</si>
  <si>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</si>
  <si>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</si>
  <si>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</si>
  <si>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</si>
  <si>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</si>
  <si>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</si>
  <si>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</si>
  <si>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</si>
  <si>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</si>
  <si>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</si>
  <si>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</si>
  <si>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</si>
  <si>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</si>
  <si>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</si>
  <si>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</si>
  <si>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</si>
  <si>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</si>
  <si>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</si>
  <si>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</si>
  <si>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</si>
  <si>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</si>
  <si>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</si>
  <si>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</si>
  <si>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</si>
  <si>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</si>
  <si>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</si>
  <si>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</si>
  <si>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</si>
  <si>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</si>
  <si>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</si>
  <si>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</si>
  <si>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</si>
  <si>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</si>
  <si>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</si>
  <si>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</si>
  <si>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</si>
  <si>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</si>
  <si>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</si>
  <si>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</si>
  <si>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</si>
  <si>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</si>
  <si>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</si>
  <si>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</si>
  <si>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</si>
  <si>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</si>
  <si>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</si>
  <si>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</si>
  <si>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</si>
  <si>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</si>
  <si>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</si>
  <si>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</si>
  <si>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</si>
  <si>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</si>
  <si>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</si>
  <si>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</si>
  <si>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</si>
  <si>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</si>
  <si>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</si>
  <si>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13003</t>
  </si>
  <si>
    <t>BALEN</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</si>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</sst>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005A9192-3DE1-4F5D-B711-D855039B2662}"/>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193511.99025347692</c:v>
                </c:pt>
                <c:pt idx="1">
                  <c:v>38196.155459427806</c:v>
                </c:pt>
                <c:pt idx="2">
                  <c:v>1412.577</c:v>
                </c:pt>
                <c:pt idx="3">
                  <c:v>7823.8589375960191</c:v>
                </c:pt>
                <c:pt idx="4">
                  <c:v>37661.27212885765</c:v>
                </c:pt>
                <c:pt idx="5">
                  <c:v>74725.782539876178</c:v>
                </c:pt>
                <c:pt idx="6">
                  <c:v>753.52659402474171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193511.99025347692</c:v>
                </c:pt>
                <c:pt idx="1">
                  <c:v>38196.155459427806</c:v>
                </c:pt>
                <c:pt idx="2">
                  <c:v>1412.577</c:v>
                </c:pt>
                <c:pt idx="3">
                  <c:v>7823.8589375960191</c:v>
                </c:pt>
                <c:pt idx="4">
                  <c:v>37661.27212885765</c:v>
                </c:pt>
                <c:pt idx="5">
                  <c:v>74725.782539876178</c:v>
                </c:pt>
                <c:pt idx="6">
                  <c:v>753.52659402474171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39855.12798893571</c:v>
                </c:pt>
                <c:pt idx="2">
                  <c:v>7329.9130520213548</c:v>
                </c:pt>
                <c:pt idx="3">
                  <c:v>268.02677978383872</c:v>
                </c:pt>
                <c:pt idx="4">
                  <c:v>1994.7813747587293</c:v>
                </c:pt>
                <c:pt idx="5">
                  <c:v>7529.2132661511796</c:v>
                </c:pt>
                <c:pt idx="6">
                  <c:v>18671.595814773264</c:v>
                </c:pt>
                <c:pt idx="7">
                  <c:v>189.76550217548007</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39855.12798893571</c:v>
                </c:pt>
                <c:pt idx="2">
                  <c:v>7329.9130520213548</c:v>
                </c:pt>
                <c:pt idx="3">
                  <c:v>268.02677978383872</c:v>
                </c:pt>
                <c:pt idx="4">
                  <c:v>1994.7813747587293</c:v>
                </c:pt>
                <c:pt idx="5">
                  <c:v>7529.2132661511796</c:v>
                </c:pt>
                <c:pt idx="6">
                  <c:v>18671.595814773264</c:v>
                </c:pt>
                <c:pt idx="7">
                  <c:v>189.76550217548007</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13003</v>
      </c>
      <c r="B6" s="380"/>
      <c r="C6" s="381"/>
    </row>
    <row r="7" spans="1:7" s="378" customFormat="1" ht="15.75" customHeight="1">
      <c r="A7" s="382" t="str">
        <f>txtMunicipality</f>
        <v>BALEN</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0.18974312889409831</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0.18974312889409831</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9191</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2909.16</v>
      </c>
      <c r="C14" s="322"/>
      <c r="D14" s="322"/>
      <c r="E14" s="322"/>
      <c r="F14" s="322"/>
    </row>
    <row r="15" spans="1:6">
      <c r="A15" s="1248" t="s">
        <v>177</v>
      </c>
      <c r="B15" s="1249">
        <v>1547</v>
      </c>
      <c r="C15" s="322"/>
      <c r="D15" s="322"/>
      <c r="E15" s="322"/>
      <c r="F15" s="322"/>
    </row>
    <row r="16" spans="1:6">
      <c r="A16" s="1248" t="s">
        <v>6</v>
      </c>
      <c r="B16" s="1249">
        <v>461</v>
      </c>
      <c r="C16" s="322"/>
      <c r="D16" s="322"/>
      <c r="E16" s="322"/>
      <c r="F16" s="322"/>
    </row>
    <row r="17" spans="1:6">
      <c r="A17" s="1248" t="s">
        <v>7</v>
      </c>
      <c r="B17" s="1249">
        <v>174</v>
      </c>
      <c r="C17" s="322"/>
      <c r="D17" s="322"/>
      <c r="E17" s="322"/>
      <c r="F17" s="322"/>
    </row>
    <row r="18" spans="1:6">
      <c r="A18" s="1248" t="s">
        <v>8</v>
      </c>
      <c r="B18" s="1249">
        <v>322</v>
      </c>
      <c r="C18" s="322"/>
      <c r="D18" s="322"/>
      <c r="E18" s="322"/>
      <c r="F18" s="322"/>
    </row>
    <row r="19" spans="1:6">
      <c r="A19" s="1248" t="s">
        <v>9</v>
      </c>
      <c r="B19" s="1249">
        <v>341</v>
      </c>
      <c r="C19" s="322"/>
      <c r="D19" s="322"/>
      <c r="E19" s="322"/>
      <c r="F19" s="322"/>
    </row>
    <row r="20" spans="1:6">
      <c r="A20" s="1248" t="s">
        <v>10</v>
      </c>
      <c r="B20" s="1249">
        <v>201</v>
      </c>
      <c r="C20" s="322"/>
      <c r="D20" s="322"/>
      <c r="E20" s="322"/>
      <c r="F20" s="322"/>
    </row>
    <row r="21" spans="1:6">
      <c r="A21" s="1248" t="s">
        <v>11</v>
      </c>
      <c r="B21" s="1249">
        <v>3898</v>
      </c>
      <c r="C21" s="322"/>
      <c r="D21" s="322"/>
      <c r="E21" s="322"/>
      <c r="F21" s="322"/>
    </row>
    <row r="22" spans="1:6">
      <c r="A22" s="1248" t="s">
        <v>12</v>
      </c>
      <c r="B22" s="1249">
        <v>15500</v>
      </c>
      <c r="C22" s="322"/>
      <c r="D22" s="322"/>
      <c r="E22" s="322"/>
      <c r="F22" s="322"/>
    </row>
    <row r="23" spans="1:6">
      <c r="A23" s="1248" t="s">
        <v>13</v>
      </c>
      <c r="B23" s="1249">
        <v>229</v>
      </c>
      <c r="C23" s="322"/>
      <c r="D23" s="322"/>
      <c r="E23" s="322"/>
      <c r="F23" s="322"/>
    </row>
    <row r="24" spans="1:6">
      <c r="A24" s="1248" t="s">
        <v>14</v>
      </c>
      <c r="B24" s="1249">
        <v>6</v>
      </c>
      <c r="C24" s="322"/>
      <c r="D24" s="322"/>
      <c r="E24" s="322"/>
      <c r="F24" s="322"/>
    </row>
    <row r="25" spans="1:6">
      <c r="A25" s="1248" t="s">
        <v>15</v>
      </c>
      <c r="B25" s="1249">
        <v>749</v>
      </c>
      <c r="C25" s="322"/>
      <c r="D25" s="322"/>
      <c r="E25" s="322"/>
      <c r="F25" s="322"/>
    </row>
    <row r="26" spans="1:6">
      <c r="A26" s="1248" t="s">
        <v>16</v>
      </c>
      <c r="B26" s="1249">
        <v>520</v>
      </c>
      <c r="C26" s="322"/>
      <c r="D26" s="322"/>
      <c r="E26" s="322"/>
      <c r="F26" s="322"/>
    </row>
    <row r="27" spans="1:6">
      <c r="A27" s="1248" t="s">
        <v>17</v>
      </c>
      <c r="B27" s="1249">
        <v>6</v>
      </c>
      <c r="C27" s="322"/>
      <c r="D27" s="322"/>
      <c r="E27" s="322"/>
      <c r="F27" s="322"/>
    </row>
    <row r="28" spans="1:6">
      <c r="A28" s="1248" t="s">
        <v>18</v>
      </c>
      <c r="B28" s="1250">
        <v>94040</v>
      </c>
      <c r="C28" s="322"/>
      <c r="D28" s="322"/>
      <c r="E28" s="322"/>
      <c r="F28" s="322"/>
    </row>
    <row r="29" spans="1:6">
      <c r="A29" s="1248" t="s">
        <v>691</v>
      </c>
      <c r="B29" s="1250">
        <v>242</v>
      </c>
      <c r="C29" s="322"/>
      <c r="D29" s="322"/>
      <c r="E29" s="322"/>
      <c r="F29" s="322"/>
    </row>
    <row r="30" spans="1:6">
      <c r="A30" s="1243" t="s">
        <v>692</v>
      </c>
      <c r="B30" s="1251">
        <v>141</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3</v>
      </c>
      <c r="D36" s="1249">
        <v>414551.54009890801</v>
      </c>
      <c r="E36" s="1249">
        <v>0</v>
      </c>
      <c r="F36" s="1249">
        <v>0</v>
      </c>
    </row>
    <row r="37" spans="1:6">
      <c r="A37" s="1248" t="s">
        <v>24</v>
      </c>
      <c r="B37" s="1248" t="s">
        <v>27</v>
      </c>
      <c r="C37" s="1249">
        <v>0</v>
      </c>
      <c r="D37" s="1249">
        <v>0</v>
      </c>
      <c r="E37" s="1249">
        <v>0</v>
      </c>
      <c r="F37" s="1249">
        <v>0</v>
      </c>
    </row>
    <row r="38" spans="1:6">
      <c r="A38" s="1248" t="s">
        <v>24</v>
      </c>
      <c r="B38" s="1248" t="s">
        <v>28</v>
      </c>
      <c r="C38" s="1249">
        <v>1</v>
      </c>
      <c r="D38" s="1249">
        <v>8205.5046779995992</v>
      </c>
      <c r="E38" s="1249">
        <v>4</v>
      </c>
      <c r="F38" s="1249">
        <v>4792.0069149919</v>
      </c>
    </row>
    <row r="39" spans="1:6">
      <c r="A39" s="1248" t="s">
        <v>29</v>
      </c>
      <c r="B39" s="1248" t="s">
        <v>30</v>
      </c>
      <c r="C39" s="1249">
        <v>3918</v>
      </c>
      <c r="D39" s="1249">
        <v>62863710.788420796</v>
      </c>
      <c r="E39" s="1249">
        <v>9123</v>
      </c>
      <c r="F39" s="1249">
        <v>32241487.813228801</v>
      </c>
    </row>
    <row r="40" spans="1:6">
      <c r="A40" s="1248" t="s">
        <v>29</v>
      </c>
      <c r="B40" s="1248" t="s">
        <v>28</v>
      </c>
      <c r="C40" s="1249">
        <v>0</v>
      </c>
      <c r="D40" s="1249">
        <v>0</v>
      </c>
      <c r="E40" s="1249">
        <v>0</v>
      </c>
      <c r="F40" s="1249">
        <v>0</v>
      </c>
    </row>
    <row r="41" spans="1:6">
      <c r="A41" s="1248" t="s">
        <v>31</v>
      </c>
      <c r="B41" s="1248" t="s">
        <v>32</v>
      </c>
      <c r="C41" s="1249">
        <v>56</v>
      </c>
      <c r="D41" s="1249">
        <v>977357.81637572998</v>
      </c>
      <c r="E41" s="1249">
        <v>168</v>
      </c>
      <c r="F41" s="1249">
        <v>1260627.7645543499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20</v>
      </c>
      <c r="F44" s="1249">
        <v>3460354.0598349301</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5</v>
      </c>
      <c r="F47" s="1249">
        <v>29454.844956076799</v>
      </c>
    </row>
    <row r="48" spans="1:6">
      <c r="A48" s="1248" t="s">
        <v>31</v>
      </c>
      <c r="B48" s="1248" t="s">
        <v>28</v>
      </c>
      <c r="C48" s="1249">
        <v>21</v>
      </c>
      <c r="D48" s="1249">
        <v>11848717.9540394</v>
      </c>
      <c r="E48" s="1249">
        <v>49</v>
      </c>
      <c r="F48" s="1249">
        <v>13917456.5962914</v>
      </c>
    </row>
    <row r="49" spans="1:6">
      <c r="A49" s="1248" t="s">
        <v>31</v>
      </c>
      <c r="B49" s="1248" t="s">
        <v>39</v>
      </c>
      <c r="C49" s="1249">
        <v>0</v>
      </c>
      <c r="D49" s="1249">
        <v>0</v>
      </c>
      <c r="E49" s="1249">
        <v>3</v>
      </c>
      <c r="F49" s="1249">
        <v>13498.6798278311</v>
      </c>
    </row>
    <row r="50" spans="1:6">
      <c r="A50" s="1248" t="s">
        <v>31</v>
      </c>
      <c r="B50" s="1248" t="s">
        <v>40</v>
      </c>
      <c r="C50" s="1249">
        <v>3</v>
      </c>
      <c r="D50" s="1249">
        <v>1327170.5875993799</v>
      </c>
      <c r="E50" s="1249">
        <v>12</v>
      </c>
      <c r="F50" s="1249">
        <v>1196813.48048526</v>
      </c>
    </row>
    <row r="51" spans="1:6">
      <c r="A51" s="1248" t="s">
        <v>41</v>
      </c>
      <c r="B51" s="1248" t="s">
        <v>42</v>
      </c>
      <c r="C51" s="1249">
        <v>0</v>
      </c>
      <c r="D51" s="1249">
        <v>0</v>
      </c>
      <c r="E51" s="1249">
        <v>57</v>
      </c>
      <c r="F51" s="1249">
        <v>1277336.0187967401</v>
      </c>
    </row>
    <row r="52" spans="1:6">
      <c r="A52" s="1248" t="s">
        <v>41</v>
      </c>
      <c r="B52" s="1248" t="s">
        <v>28</v>
      </c>
      <c r="C52" s="1249">
        <v>4</v>
      </c>
      <c r="D52" s="1249">
        <v>140086.483372305</v>
      </c>
      <c r="E52" s="1249">
        <v>17</v>
      </c>
      <c r="F52" s="1249">
        <v>266909.01579457801</v>
      </c>
    </row>
    <row r="53" spans="1:6">
      <c r="A53" s="1248" t="s">
        <v>43</v>
      </c>
      <c r="B53" s="1248" t="s">
        <v>44</v>
      </c>
      <c r="C53" s="1249">
        <v>65</v>
      </c>
      <c r="D53" s="1249">
        <v>1374624.7892580901</v>
      </c>
      <c r="E53" s="1249">
        <v>275</v>
      </c>
      <c r="F53" s="1249">
        <v>944536.55246852105</v>
      </c>
    </row>
    <row r="54" spans="1:6">
      <c r="A54" s="1248" t="s">
        <v>45</v>
      </c>
      <c r="B54" s="1248" t="s">
        <v>46</v>
      </c>
      <c r="C54" s="1249">
        <v>0</v>
      </c>
      <c r="D54" s="1249">
        <v>0</v>
      </c>
      <c r="E54" s="1249">
        <v>1</v>
      </c>
      <c r="F54" s="1249">
        <v>1412577</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37</v>
      </c>
      <c r="D57" s="1249">
        <v>2843969.3420375199</v>
      </c>
      <c r="E57" s="1249">
        <v>149</v>
      </c>
      <c r="F57" s="1249">
        <v>4851939.8059197403</v>
      </c>
    </row>
    <row r="58" spans="1:6">
      <c r="A58" s="1248" t="s">
        <v>48</v>
      </c>
      <c r="B58" s="1248" t="s">
        <v>50</v>
      </c>
      <c r="C58" s="1249">
        <v>18</v>
      </c>
      <c r="D58" s="1249">
        <v>1130443.0741206999</v>
      </c>
      <c r="E58" s="1249">
        <v>30</v>
      </c>
      <c r="F58" s="1249">
        <v>396761.66150053899</v>
      </c>
    </row>
    <row r="59" spans="1:6">
      <c r="A59" s="1248" t="s">
        <v>48</v>
      </c>
      <c r="B59" s="1248" t="s">
        <v>51</v>
      </c>
      <c r="C59" s="1249">
        <v>36</v>
      </c>
      <c r="D59" s="1249">
        <v>1353336.28344841</v>
      </c>
      <c r="E59" s="1249">
        <v>217</v>
      </c>
      <c r="F59" s="1249">
        <v>5166355.7827617396</v>
      </c>
    </row>
    <row r="60" spans="1:6">
      <c r="A60" s="1248" t="s">
        <v>48</v>
      </c>
      <c r="B60" s="1248" t="s">
        <v>52</v>
      </c>
      <c r="C60" s="1249">
        <v>35</v>
      </c>
      <c r="D60" s="1249">
        <v>1749413.82801668</v>
      </c>
      <c r="E60" s="1249">
        <v>84</v>
      </c>
      <c r="F60" s="1249">
        <v>1940370.3719611401</v>
      </c>
    </row>
    <row r="61" spans="1:6">
      <c r="A61" s="1248" t="s">
        <v>48</v>
      </c>
      <c r="B61" s="1248" t="s">
        <v>53</v>
      </c>
      <c r="C61" s="1249">
        <v>30</v>
      </c>
      <c r="D61" s="1249">
        <v>1022565.10495582</v>
      </c>
      <c r="E61" s="1249">
        <v>174</v>
      </c>
      <c r="F61" s="1249">
        <v>2507750.6377963899</v>
      </c>
    </row>
    <row r="62" spans="1:6">
      <c r="A62" s="1248" t="s">
        <v>48</v>
      </c>
      <c r="B62" s="1248" t="s">
        <v>54</v>
      </c>
      <c r="C62" s="1249">
        <v>0</v>
      </c>
      <c r="D62" s="1249">
        <v>0</v>
      </c>
      <c r="E62" s="1249">
        <v>11</v>
      </c>
      <c r="F62" s="1249">
        <v>83447.827618340903</v>
      </c>
    </row>
    <row r="63" spans="1:6">
      <c r="A63" s="1248" t="s">
        <v>48</v>
      </c>
      <c r="B63" s="1248" t="s">
        <v>28</v>
      </c>
      <c r="C63" s="1249">
        <v>129</v>
      </c>
      <c r="D63" s="1249">
        <v>6788133.9385472396</v>
      </c>
      <c r="E63" s="1249">
        <v>138</v>
      </c>
      <c r="F63" s="1249">
        <v>2580800.9903523098</v>
      </c>
    </row>
    <row r="64" spans="1:6">
      <c r="A64" s="1248" t="s">
        <v>55</v>
      </c>
      <c r="B64" s="1248" t="s">
        <v>56</v>
      </c>
      <c r="C64" s="1249">
        <v>0</v>
      </c>
      <c r="D64" s="1249">
        <v>0</v>
      </c>
      <c r="E64" s="1249">
        <v>0</v>
      </c>
      <c r="F64" s="1249">
        <v>0</v>
      </c>
    </row>
    <row r="65" spans="1:6">
      <c r="A65" s="1248" t="s">
        <v>55</v>
      </c>
      <c r="B65" s="1248" t="s">
        <v>28</v>
      </c>
      <c r="C65" s="1249">
        <v>3</v>
      </c>
      <c r="D65" s="1249">
        <v>62967.241341889603</v>
      </c>
      <c r="E65" s="1249">
        <v>5</v>
      </c>
      <c r="F65" s="1249">
        <v>83277.602419218398</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0</v>
      </c>
      <c r="D68" s="1251">
        <v>0</v>
      </c>
      <c r="E68" s="1251">
        <v>3</v>
      </c>
      <c r="F68" s="1251">
        <v>23959.860963358798</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82385727</v>
      </c>
      <c r="E73" s="439"/>
      <c r="F73" s="322"/>
    </row>
    <row r="74" spans="1:6">
      <c r="A74" s="1248" t="s">
        <v>63</v>
      </c>
      <c r="B74" s="1248" t="s">
        <v>617</v>
      </c>
      <c r="C74" s="1261" t="s">
        <v>619</v>
      </c>
      <c r="D74" s="1249">
        <v>2975066.5</v>
      </c>
      <c r="E74" s="439"/>
      <c r="F74" s="322"/>
    </row>
    <row r="75" spans="1:6">
      <c r="A75" s="1248" t="s">
        <v>64</v>
      </c>
      <c r="B75" s="1248" t="s">
        <v>616</v>
      </c>
      <c r="C75" s="1261" t="s">
        <v>620</v>
      </c>
      <c r="D75" s="1249">
        <v>16431938</v>
      </c>
      <c r="E75" s="439"/>
      <c r="F75" s="322"/>
    </row>
    <row r="76" spans="1:6">
      <c r="A76" s="1248" t="s">
        <v>64</v>
      </c>
      <c r="B76" s="1248" t="s">
        <v>617</v>
      </c>
      <c r="C76" s="1261" t="s">
        <v>621</v>
      </c>
      <c r="D76" s="1249">
        <v>264261.5</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204949</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9186.7097127966554</v>
      </c>
      <c r="C91" s="322"/>
      <c r="D91" s="322"/>
      <c r="E91" s="322"/>
      <c r="F91" s="322"/>
    </row>
    <row r="92" spans="1:6">
      <c r="A92" s="1243" t="s">
        <v>68</v>
      </c>
      <c r="B92" s="1244">
        <v>2523.1169117619793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706</v>
      </c>
      <c r="C97" s="322"/>
      <c r="D97" s="322"/>
      <c r="E97" s="322"/>
      <c r="F97" s="322"/>
    </row>
    <row r="98" spans="1:6">
      <c r="A98" s="1248" t="s">
        <v>71</v>
      </c>
      <c r="B98" s="1249">
        <v>9</v>
      </c>
      <c r="C98" s="322"/>
      <c r="D98" s="322"/>
      <c r="E98" s="322"/>
      <c r="F98" s="322"/>
    </row>
    <row r="99" spans="1:6">
      <c r="A99" s="1248" t="s">
        <v>72</v>
      </c>
      <c r="B99" s="1249">
        <v>68</v>
      </c>
      <c r="C99" s="322"/>
      <c r="D99" s="322"/>
      <c r="E99" s="322"/>
      <c r="F99" s="322"/>
    </row>
    <row r="100" spans="1:6">
      <c r="A100" s="1248" t="s">
        <v>73</v>
      </c>
      <c r="B100" s="1249">
        <v>447</v>
      </c>
      <c r="C100" s="322"/>
      <c r="D100" s="322"/>
      <c r="E100" s="322"/>
      <c r="F100" s="322"/>
    </row>
    <row r="101" spans="1:6">
      <c r="A101" s="1248" t="s">
        <v>74</v>
      </c>
      <c r="B101" s="1249">
        <v>116</v>
      </c>
      <c r="C101" s="322"/>
      <c r="D101" s="322"/>
      <c r="E101" s="322"/>
      <c r="F101" s="322"/>
    </row>
    <row r="102" spans="1:6">
      <c r="A102" s="1248" t="s">
        <v>75</v>
      </c>
      <c r="B102" s="1249">
        <v>76</v>
      </c>
      <c r="C102" s="322"/>
      <c r="D102" s="322"/>
      <c r="E102" s="322"/>
      <c r="F102" s="322"/>
    </row>
    <row r="103" spans="1:6">
      <c r="A103" s="1248" t="s">
        <v>76</v>
      </c>
      <c r="B103" s="1249">
        <v>293</v>
      </c>
      <c r="C103" s="322"/>
      <c r="D103" s="322"/>
      <c r="E103" s="322"/>
      <c r="F103" s="322"/>
    </row>
    <row r="104" spans="1:6">
      <c r="A104" s="1248" t="s">
        <v>77</v>
      </c>
      <c r="B104" s="1249">
        <v>5797</v>
      </c>
      <c r="C104" s="322"/>
      <c r="D104" s="322"/>
      <c r="E104" s="322"/>
      <c r="F104" s="322"/>
    </row>
    <row r="105" spans="1:6">
      <c r="A105" s="1243" t="s">
        <v>78</v>
      </c>
      <c r="B105" s="1251">
        <v>9</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70</v>
      </c>
      <c r="C123" s="1249">
        <v>107</v>
      </c>
      <c r="D123" s="322"/>
      <c r="E123" s="322"/>
      <c r="F123" s="322"/>
    </row>
    <row r="124" spans="1:6">
      <c r="A124" s="1248" t="s">
        <v>88</v>
      </c>
      <c r="B124" s="1249">
        <v>1</v>
      </c>
      <c r="C124" s="1249">
        <v>1</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427</v>
      </c>
      <c r="C129" s="322"/>
      <c r="D129" s="322"/>
      <c r="E129" s="322"/>
      <c r="F129" s="322"/>
    </row>
    <row r="130" spans="1:6">
      <c r="A130" s="1248" t="s">
        <v>283</v>
      </c>
      <c r="B130" s="1249">
        <v>3</v>
      </c>
      <c r="C130" s="322"/>
      <c r="D130" s="322"/>
      <c r="E130" s="322"/>
      <c r="F130" s="322"/>
    </row>
    <row r="131" spans="1:6">
      <c r="A131" s="1248" t="s">
        <v>284</v>
      </c>
      <c r="B131" s="1249">
        <v>3</v>
      </c>
      <c r="C131" s="322"/>
      <c r="D131" s="322"/>
      <c r="E131" s="322"/>
      <c r="F131" s="322"/>
    </row>
    <row r="132" spans="1:6">
      <c r="A132" s="1243" t="s">
        <v>285</v>
      </c>
      <c r="B132" s="1244">
        <v>61</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82793.689594184398</v>
      </c>
      <c r="C3" s="43" t="s">
        <v>163</v>
      </c>
      <c r="D3" s="43"/>
      <c r="E3" s="153"/>
      <c r="F3" s="43"/>
      <c r="G3" s="43"/>
      <c r="H3" s="43"/>
      <c r="I3" s="43"/>
      <c r="J3" s="43"/>
      <c r="K3" s="96"/>
    </row>
    <row r="4" spans="1:11">
      <c r="A4" s="348" t="s">
        <v>164</v>
      </c>
      <c r="B4" s="49">
        <f>IF(ISERROR('SEAP template'!B78+'SEAP template'!C78),0,'SEAP template'!B78+'SEAP template'!C78)</f>
        <v>11709.826624558635</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0.18974312889409831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1412.577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1412.577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0.18974312889409831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268.02677978383872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32241.487813228799</v>
      </c>
      <c r="C5" s="17">
        <f>IF(ISERROR('Eigen informatie GS &amp; warmtenet'!B57),0,'Eigen informatie GS &amp; warmtenet'!B57)</f>
        <v>0</v>
      </c>
      <c r="D5" s="30">
        <f>(SUM(HH_hh_gas_kWh,HH_rest_gas_kWh)/1000)*0.902</f>
        <v>56703.067131155556</v>
      </c>
      <c r="E5" s="17">
        <f>B32*B41</f>
        <v>3180.6016920015704</v>
      </c>
      <c r="F5" s="17">
        <f>B36*B45</f>
        <v>73723.872660951936</v>
      </c>
      <c r="G5" s="18"/>
      <c r="H5" s="17"/>
      <c r="I5" s="17"/>
      <c r="J5" s="17">
        <f>B35*B44+C35*C44</f>
        <v>378.87576512131847</v>
      </c>
      <c r="K5" s="17"/>
      <c r="L5" s="17"/>
      <c r="M5" s="17"/>
      <c r="N5" s="17">
        <f>B34*B43+C34*C43</f>
        <v>14744.192144887769</v>
      </c>
      <c r="O5" s="17">
        <f>B52*B53*B54</f>
        <v>836.38333333333333</v>
      </c>
      <c r="P5" s="17">
        <f>B60*B61*B62/1000-B60*B61*B62/1000/B63</f>
        <v>2516.8000000000002</v>
      </c>
    </row>
    <row r="6" spans="1:16">
      <c r="A6" s="16" t="s">
        <v>582</v>
      </c>
      <c r="B6" s="716">
        <f>kWh_PV_kleiner_dan_10kW</f>
        <v>9186.7097127966554</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41428.197526025455</v>
      </c>
      <c r="C8" s="21">
        <f>C5</f>
        <v>0</v>
      </c>
      <c r="D8" s="21">
        <f>D5</f>
        <v>56703.067131155556</v>
      </c>
      <c r="E8" s="21">
        <f>E5</f>
        <v>3180.6016920015704</v>
      </c>
      <c r="F8" s="21">
        <f>F5</f>
        <v>73723.872660951936</v>
      </c>
      <c r="G8" s="21"/>
      <c r="H8" s="21"/>
      <c r="I8" s="21"/>
      <c r="J8" s="21">
        <f>J5</f>
        <v>378.87576512131847</v>
      </c>
      <c r="K8" s="21"/>
      <c r="L8" s="21">
        <f>L5</f>
        <v>0</v>
      </c>
      <c r="M8" s="21">
        <f>M5</f>
        <v>0</v>
      </c>
      <c r="N8" s="21">
        <f>N5</f>
        <v>14744.192144887769</v>
      </c>
      <c r="O8" s="21">
        <f>O5</f>
        <v>836.38333333333333</v>
      </c>
      <c r="P8" s="21">
        <f>P5</f>
        <v>2516.8000000000002</v>
      </c>
    </row>
    <row r="9" spans="1:16">
      <c r="B9" s="19"/>
      <c r="C9" s="19"/>
      <c r="D9" s="253"/>
      <c r="E9" s="19"/>
      <c r="F9" s="19"/>
      <c r="G9" s="19"/>
      <c r="H9" s="19"/>
      <c r="I9" s="19"/>
      <c r="J9" s="19"/>
      <c r="K9" s="19"/>
      <c r="L9" s="19"/>
      <c r="M9" s="19"/>
      <c r="N9" s="19"/>
      <c r="O9" s="19"/>
      <c r="P9" s="19"/>
    </row>
    <row r="10" spans="1:16">
      <c r="A10" s="24" t="s">
        <v>207</v>
      </c>
      <c r="B10" s="25">
        <f ca="1">'EF ele_warmte'!B12</f>
        <v>0.18974312889409831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7860.7158230308123</v>
      </c>
      <c r="C12" s="23">
        <f ca="1">C10*C8</f>
        <v>0</v>
      </c>
      <c r="D12" s="23">
        <f>D8*D10</f>
        <v>11454.019560493423</v>
      </c>
      <c r="E12" s="23">
        <f>E10*E8</f>
        <v>721.99658408435653</v>
      </c>
      <c r="F12" s="23">
        <f>F10*F8</f>
        <v>19684.274000474168</v>
      </c>
      <c r="G12" s="23"/>
      <c r="H12" s="23"/>
      <c r="I12" s="23"/>
      <c r="J12" s="23">
        <f>J10*J8</f>
        <v>134.12202085294672</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9191</v>
      </c>
      <c r="C26" s="36"/>
      <c r="D26" s="224"/>
    </row>
    <row r="27" spans="1:5" s="15" customFormat="1">
      <c r="A27" s="226" t="s">
        <v>736</v>
      </c>
      <c r="B27" s="37">
        <f>SUM(HH_hh_gas_aantal,HH_rest_gas_aantal)</f>
        <v>3918</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3722.1</v>
      </c>
      <c r="C31" s="34" t="s">
        <v>104</v>
      </c>
      <c r="D31" s="170"/>
    </row>
    <row r="32" spans="1:5">
      <c r="A32" s="167" t="s">
        <v>72</v>
      </c>
      <c r="B32" s="33">
        <f>IF((B21*($B$26-($B$27-0.05*$B$27)-$B$60))&lt;0,0,B21*($B$26-($B$27-0.05*$B$27)-$B$60))</f>
        <v>58.774388670133455</v>
      </c>
      <c r="C32" s="34" t="s">
        <v>104</v>
      </c>
      <c r="D32" s="170"/>
    </row>
    <row r="33" spans="1:6">
      <c r="A33" s="167" t="s">
        <v>73</v>
      </c>
      <c r="B33" s="33">
        <f>IF((B22*($B$26-($B$27-0.05*$B$27)-$B$60))&lt;0,0,B22*($B$26-($B$27-0.05*$B$27)-$B$60))</f>
        <v>1221.9688973783307</v>
      </c>
      <c r="C33" s="34" t="s">
        <v>104</v>
      </c>
      <c r="D33" s="170"/>
    </row>
    <row r="34" spans="1:6">
      <c r="A34" s="167" t="s">
        <v>74</v>
      </c>
      <c r="B34" s="33">
        <f>IF((B24*($B$26-($B$27-0.05*$B$27)-$B$60))&lt;0,0,B24*($B$26-($B$27-0.05*$B$27)-$B$60))</f>
        <v>476.93027143967981</v>
      </c>
      <c r="C34" s="33">
        <f>B26*C24</f>
        <v>1627.9525548170107</v>
      </c>
      <c r="D34" s="229"/>
    </row>
    <row r="35" spans="1:6">
      <c r="A35" s="167" t="s">
        <v>76</v>
      </c>
      <c r="B35" s="33">
        <f>IF((B19*($B$26-($B$27-0.05*$B$27)-$B$60))&lt;0,0,B19*($B$26-($B$27-0.05*$B$27)-$B$60))</f>
        <v>44.485874541141925</v>
      </c>
      <c r="C35" s="33">
        <f>B35/2</f>
        <v>22.242937270570962</v>
      </c>
      <c r="D35" s="229"/>
    </row>
    <row r="36" spans="1:6">
      <c r="A36" s="167" t="s">
        <v>77</v>
      </c>
      <c r="B36" s="33">
        <f>IF((B18*($B$26-($B$27-0.05*$B$27)-$B$60))&lt;0,0,B18*($B$26-($B$27-0.05*$B$27)-$B$60))</f>
        <v>3534.740567970714</v>
      </c>
      <c r="C36" s="34" t="s">
        <v>104</v>
      </c>
      <c r="D36" s="170"/>
    </row>
    <row r="37" spans="1:6">
      <c r="A37" s="167" t="s">
        <v>78</v>
      </c>
      <c r="B37" s="33">
        <f>B60</f>
        <v>132</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535</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132</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17527.427077910201</v>
      </c>
      <c r="C5" s="17">
        <f>IF(ISERROR('Eigen informatie GS &amp; warmtenet'!B58),0,'Eigen informatie GS &amp; warmtenet'!B58)</f>
        <v>0</v>
      </c>
      <c r="D5" s="30">
        <f>SUM(D6:D12)</f>
        <v>13428.851137155985</v>
      </c>
      <c r="E5" s="17">
        <f>SUM(E6:E12)</f>
        <v>272.7903908794807</v>
      </c>
      <c r="F5" s="17">
        <f>SUM(F6:F12)</f>
        <v>4605.3637916046555</v>
      </c>
      <c r="G5" s="18"/>
      <c r="H5" s="17"/>
      <c r="I5" s="17"/>
      <c r="J5" s="17">
        <f>SUM(J6:J12)</f>
        <v>5.8519779478189246E-2</v>
      </c>
      <c r="K5" s="17"/>
      <c r="L5" s="17"/>
      <c r="M5" s="17"/>
      <c r="N5" s="17">
        <f>SUM(N6:N12)</f>
        <v>2299.7745420980032</v>
      </c>
      <c r="O5" s="17">
        <f>B38*B39*B40</f>
        <v>4.6900000000000004</v>
      </c>
      <c r="P5" s="17">
        <f>B46*B47*B48/1000-B46*B47*B48/1000/B49</f>
        <v>57.2</v>
      </c>
      <c r="R5" s="32"/>
    </row>
    <row r="6" spans="1:18">
      <c r="A6" s="32" t="s">
        <v>53</v>
      </c>
      <c r="B6" s="37">
        <f>B26</f>
        <v>2507.75063779639</v>
      </c>
      <c r="C6" s="33"/>
      <c r="D6" s="37">
        <f>IF(ISERROR(TER_kantoor_gas_kWh/1000),0,TER_kantoor_gas_kWh/1000)*0.902</f>
        <v>922.35372467014975</v>
      </c>
      <c r="E6" s="33">
        <f>$C$26*'E Balans VL '!I12/100/3.6*1000000</f>
        <v>-2.0591896977329127E-4</v>
      </c>
      <c r="F6" s="33">
        <f>$C$26*('E Balans VL '!L12+'E Balans VL '!N12)/100/3.6*1000000</f>
        <v>317.81070031037871</v>
      </c>
      <c r="G6" s="34"/>
      <c r="H6" s="33"/>
      <c r="I6" s="33"/>
      <c r="J6" s="33">
        <f>$C$26*('E Balans VL '!D12+'E Balans VL '!E12)/100/3.6*1000000</f>
        <v>0</v>
      </c>
      <c r="K6" s="33"/>
      <c r="L6" s="33"/>
      <c r="M6" s="33"/>
      <c r="N6" s="33">
        <f>$C$26*'E Balans VL '!Y12/100/3.6*1000000</f>
        <v>3.0759044888051035</v>
      </c>
      <c r="O6" s="33"/>
      <c r="P6" s="33"/>
      <c r="R6" s="32"/>
    </row>
    <row r="7" spans="1:18">
      <c r="A7" s="32" t="s">
        <v>52</v>
      </c>
      <c r="B7" s="37">
        <f t="shared" ref="B7:B12" si="0">B27</f>
        <v>1940.3703719611401</v>
      </c>
      <c r="C7" s="33"/>
      <c r="D7" s="37">
        <f>IF(ISERROR(TER_horeca_gas_kWh/1000),0,TER_horeca_gas_kWh/1000)*0.902</f>
        <v>1577.9712728710454</v>
      </c>
      <c r="E7" s="33">
        <f>$C$27*'E Balans VL '!I9/100/3.6*1000000</f>
        <v>22.334613254582585</v>
      </c>
      <c r="F7" s="33">
        <f>$C$27*('E Balans VL '!L9+'E Balans VL '!N9)/100/3.6*1000000</f>
        <v>250.17939688535591</v>
      </c>
      <c r="G7" s="34"/>
      <c r="H7" s="33"/>
      <c r="I7" s="33"/>
      <c r="J7" s="33">
        <f>$C$27*('E Balans VL '!D9+'E Balans VL '!E9)/100/3.6*1000000</f>
        <v>0</v>
      </c>
      <c r="K7" s="33"/>
      <c r="L7" s="33"/>
      <c r="M7" s="33"/>
      <c r="N7" s="33">
        <f>$C$27*'E Balans VL '!Y9/100/3.6*1000000</f>
        <v>20.480164619773419</v>
      </c>
      <c r="O7" s="33"/>
      <c r="P7" s="33"/>
      <c r="R7" s="32"/>
    </row>
    <row r="8" spans="1:18">
      <c r="A8" s="6" t="s">
        <v>51</v>
      </c>
      <c r="B8" s="37">
        <f t="shared" si="0"/>
        <v>5166.3557827617396</v>
      </c>
      <c r="C8" s="33"/>
      <c r="D8" s="37">
        <f>IF(ISERROR(TER_handel_gas_kWh/1000),0,TER_handel_gas_kWh/1000)*0.902</f>
        <v>1220.7093276704659</v>
      </c>
      <c r="E8" s="33">
        <f>$C$28*'E Balans VL '!I13/100/3.6*1000000</f>
        <v>145.76565435999905</v>
      </c>
      <c r="F8" s="33">
        <f>$C$28*('E Balans VL '!L13+'E Balans VL '!N13)/100/3.6*1000000</f>
        <v>519.62463126821422</v>
      </c>
      <c r="G8" s="34"/>
      <c r="H8" s="33"/>
      <c r="I8" s="33"/>
      <c r="J8" s="33">
        <f>$C$28*('E Balans VL '!D13+'E Balans VL '!E13)/100/3.6*1000000</f>
        <v>0</v>
      </c>
      <c r="K8" s="33"/>
      <c r="L8" s="33"/>
      <c r="M8" s="33"/>
      <c r="N8" s="33">
        <f>$C$28*'E Balans VL '!Y13/100/3.6*1000000</f>
        <v>7.13157546789071</v>
      </c>
      <c r="O8" s="33"/>
      <c r="P8" s="33"/>
      <c r="R8" s="32"/>
    </row>
    <row r="9" spans="1:18">
      <c r="A9" s="32" t="s">
        <v>50</v>
      </c>
      <c r="B9" s="37">
        <f t="shared" si="0"/>
        <v>396.76166150053899</v>
      </c>
      <c r="C9" s="33"/>
      <c r="D9" s="37">
        <f>IF(ISERROR(TER_gezond_gas_kWh/1000),0,TER_gezond_gas_kWh/1000)*0.902</f>
        <v>1019.6596528568714</v>
      </c>
      <c r="E9" s="33">
        <f>$C$29*'E Balans VL '!I10/100/3.6*1000000</f>
        <v>0.79260765021179813</v>
      </c>
      <c r="F9" s="33">
        <f>$C$29*('E Balans VL '!L10+'E Balans VL '!N10)/100/3.6*1000000</f>
        <v>34.764280199461204</v>
      </c>
      <c r="G9" s="34"/>
      <c r="H9" s="33"/>
      <c r="I9" s="33"/>
      <c r="J9" s="33">
        <f>$C$29*('E Balans VL '!D10+'E Balans VL '!E10)/100/3.6*1000000</f>
        <v>0</v>
      </c>
      <c r="K9" s="33"/>
      <c r="L9" s="33"/>
      <c r="M9" s="33"/>
      <c r="N9" s="33">
        <f>$C$29*'E Balans VL '!Y10/100/3.6*1000000</f>
        <v>6.0015904443450694</v>
      </c>
      <c r="O9" s="33"/>
      <c r="P9" s="33"/>
      <c r="R9" s="32"/>
    </row>
    <row r="10" spans="1:18">
      <c r="A10" s="32" t="s">
        <v>49</v>
      </c>
      <c r="B10" s="37">
        <f t="shared" si="0"/>
        <v>4851.9398059197401</v>
      </c>
      <c r="C10" s="33"/>
      <c r="D10" s="37">
        <f>IF(ISERROR(TER_ander_gas_kWh/1000),0,TER_ander_gas_kWh/1000)*0.902</f>
        <v>2565.2603465178427</v>
      </c>
      <c r="E10" s="33">
        <f>$C$30*'E Balans VL '!I14/100/3.6*1000000</f>
        <v>68.352123625281124</v>
      </c>
      <c r="F10" s="33">
        <f>$C$30*('E Balans VL '!L14+'E Balans VL '!N14)/100/3.6*1000000</f>
        <v>2943.2488923101596</v>
      </c>
      <c r="G10" s="34"/>
      <c r="H10" s="33"/>
      <c r="I10" s="33"/>
      <c r="J10" s="33">
        <f>$C$30*('E Balans VL '!D14+'E Balans VL '!E14)/100/3.6*1000000</f>
        <v>5.3264971820688872E-2</v>
      </c>
      <c r="K10" s="33"/>
      <c r="L10" s="33"/>
      <c r="M10" s="33"/>
      <c r="N10" s="33">
        <f>$C$30*'E Balans VL '!Y14/100/3.6*1000000</f>
        <v>2052.0369483644263</v>
      </c>
      <c r="O10" s="33"/>
      <c r="P10" s="33"/>
      <c r="R10" s="32"/>
    </row>
    <row r="11" spans="1:18">
      <c r="A11" s="32" t="s">
        <v>54</v>
      </c>
      <c r="B11" s="37">
        <f t="shared" si="0"/>
        <v>83.447827618340909</v>
      </c>
      <c r="C11" s="33"/>
      <c r="D11" s="37">
        <f>IF(ISERROR(TER_onderwijs_gas_kWh/1000),0,TER_onderwijs_gas_kWh/1000)*0.902</f>
        <v>0</v>
      </c>
      <c r="E11" s="33">
        <f>$C$31*'E Balans VL '!I11/100/3.6*1000000</f>
        <v>2.1780293182173081</v>
      </c>
      <c r="F11" s="33">
        <f>$C$31*('E Balans VL '!L11+'E Balans VL '!N11)/100/3.6*1000000</f>
        <v>10.268956406136903</v>
      </c>
      <c r="G11" s="34"/>
      <c r="H11" s="33"/>
      <c r="I11" s="33"/>
      <c r="J11" s="33">
        <f>$C$31*('E Balans VL '!D11+'E Balans VL '!E11)/100/3.6*1000000</f>
        <v>0</v>
      </c>
      <c r="K11" s="33"/>
      <c r="L11" s="33"/>
      <c r="M11" s="33"/>
      <c r="N11" s="33">
        <f>$C$31*'E Balans VL '!Y11/100/3.6*1000000</f>
        <v>0.26425465074903087</v>
      </c>
      <c r="O11" s="33"/>
      <c r="P11" s="33"/>
      <c r="R11" s="32"/>
    </row>
    <row r="12" spans="1:18">
      <c r="A12" s="32" t="s">
        <v>248</v>
      </c>
      <c r="B12" s="37">
        <f t="shared" si="0"/>
        <v>2580.8009903523098</v>
      </c>
      <c r="C12" s="33"/>
      <c r="D12" s="37">
        <f>IF(ISERROR(TER_rest_gas_kWh/1000),0,TER_rest_gas_kWh/1000)*0.902</f>
        <v>6122.8968125696101</v>
      </c>
      <c r="E12" s="33">
        <f>$C$32*'E Balans VL '!I8/100/3.6*1000000</f>
        <v>33.367568590158591</v>
      </c>
      <c r="F12" s="33">
        <f>$C$32*('E Balans VL '!L8+'E Balans VL '!N8)/100/3.6*1000000</f>
        <v>529.46693422494877</v>
      </c>
      <c r="G12" s="34"/>
      <c r="H12" s="33"/>
      <c r="I12" s="33"/>
      <c r="J12" s="33">
        <f>$C$32*('E Balans VL '!D8+'E Balans VL '!E8)/100/3.6*1000000</f>
        <v>5.2548076575003721E-3</v>
      </c>
      <c r="K12" s="33"/>
      <c r="L12" s="33"/>
      <c r="M12" s="33"/>
      <c r="N12" s="33">
        <f>$C$32*'E Balans VL '!Y8/100/3.6*1000000</f>
        <v>210.78410406201311</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17527.427077910201</v>
      </c>
      <c r="C16" s="21">
        <f t="shared" ca="1" si="1"/>
        <v>0</v>
      </c>
      <c r="D16" s="21">
        <f t="shared" ca="1" si="1"/>
        <v>13428.851137155985</v>
      </c>
      <c r="E16" s="21">
        <f t="shared" si="1"/>
        <v>272.7903908794807</v>
      </c>
      <c r="F16" s="21">
        <f t="shared" ca="1" si="1"/>
        <v>4605.3637916046555</v>
      </c>
      <c r="G16" s="21">
        <f t="shared" si="1"/>
        <v>0</v>
      </c>
      <c r="H16" s="21">
        <f t="shared" si="1"/>
        <v>0</v>
      </c>
      <c r="I16" s="21">
        <f t="shared" si="1"/>
        <v>0</v>
      </c>
      <c r="J16" s="21">
        <f t="shared" si="1"/>
        <v>5.8519779478189246E-2</v>
      </c>
      <c r="K16" s="21">
        <f t="shared" si="1"/>
        <v>0</v>
      </c>
      <c r="L16" s="21">
        <f t="shared" ca="1" si="1"/>
        <v>0</v>
      </c>
      <c r="M16" s="21">
        <f t="shared" si="1"/>
        <v>0</v>
      </c>
      <c r="N16" s="21">
        <f t="shared" ca="1" si="1"/>
        <v>2299.7745420980032</v>
      </c>
      <c r="O16" s="21">
        <f>O5</f>
        <v>4.6900000000000004</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0.18974312889409831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3325.7088552258242</v>
      </c>
      <c r="C20" s="23">
        <f t="shared" ref="C20:P20" ca="1" si="2">C16*C18</f>
        <v>0</v>
      </c>
      <c r="D20" s="23">
        <f t="shared" ca="1" si="2"/>
        <v>2712.6279297055094</v>
      </c>
      <c r="E20" s="23">
        <f t="shared" si="2"/>
        <v>61.923418729642123</v>
      </c>
      <c r="F20" s="23">
        <f t="shared" ca="1" si="2"/>
        <v>1229.6321323584432</v>
      </c>
      <c r="G20" s="23">
        <f t="shared" si="2"/>
        <v>0</v>
      </c>
      <c r="H20" s="23">
        <f t="shared" si="2"/>
        <v>0</v>
      </c>
      <c r="I20" s="23">
        <f t="shared" si="2"/>
        <v>0</v>
      </c>
      <c r="J20" s="23">
        <f t="shared" si="2"/>
        <v>2.0716001935278991E-2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2507.75063779639</v>
      </c>
      <c r="C26" s="39">
        <f>IF(ISERROR(B26*3.6/1000000/'E Balans VL '!Z12*100),0,B26*3.6/1000000/'E Balans VL '!Z12*100)</f>
        <v>6.7987274946993304E-2</v>
      </c>
      <c r="D26" s="232" t="s">
        <v>700</v>
      </c>
      <c r="F26" s="6"/>
    </row>
    <row r="27" spans="1:18">
      <c r="A27" s="227" t="s">
        <v>52</v>
      </c>
      <c r="B27" s="33">
        <f>IF(ISERROR(TER_horeca_ele_kWh/1000),0,TER_horeca_ele_kWh/1000)</f>
        <v>1940.3703719611401</v>
      </c>
      <c r="C27" s="39">
        <f>IF(ISERROR(B27*3.6/1000000/'E Balans VL '!Z9*100),0,B27*3.6/1000000/'E Balans VL '!Z9*100)</f>
        <v>0.15008968368175513</v>
      </c>
      <c r="D27" s="232" t="s">
        <v>700</v>
      </c>
      <c r="F27" s="6"/>
    </row>
    <row r="28" spans="1:18">
      <c r="A28" s="167" t="s">
        <v>51</v>
      </c>
      <c r="B28" s="33">
        <f>IF(ISERROR(TER_handel_ele_kWh/1000),0,TER_handel_ele_kWh/1000)</f>
        <v>5166.3557827617396</v>
      </c>
      <c r="C28" s="39">
        <f>IF(ISERROR(B28*3.6/1000000/'E Balans VL '!Z13*100),0,B28*3.6/1000000/'E Balans VL '!Z13*100)</f>
        <v>0.14942437101626618</v>
      </c>
      <c r="D28" s="232" t="s">
        <v>700</v>
      </c>
      <c r="F28" s="6"/>
    </row>
    <row r="29" spans="1:18">
      <c r="A29" s="227" t="s">
        <v>50</v>
      </c>
      <c r="B29" s="33">
        <f>IF(ISERROR(TER_gezond_ele_kWh/1000),0,TER_gezond_ele_kWh/1000)</f>
        <v>396.76166150053899</v>
      </c>
      <c r="C29" s="39">
        <f>IF(ISERROR(B29*3.6/1000000/'E Balans VL '!Z10*100),0,B29*3.6/1000000/'E Balans VL '!Z10*100)</f>
        <v>4.0862560098650594E-2</v>
      </c>
      <c r="D29" s="232" t="s">
        <v>700</v>
      </c>
      <c r="F29" s="6"/>
    </row>
    <row r="30" spans="1:18">
      <c r="A30" s="227" t="s">
        <v>49</v>
      </c>
      <c r="B30" s="33">
        <f>IF(ISERROR(TER_ander_ele_kWh/1000),0,TER_ander_ele_kWh/1000)</f>
        <v>4851.9398059197401</v>
      </c>
      <c r="C30" s="39">
        <f>IF(ISERROR(B30*3.6/1000000/'E Balans VL '!Z14*100),0,B30*3.6/1000000/'E Balans VL '!Z14*100)</f>
        <v>0.21815005523831621</v>
      </c>
      <c r="D30" s="232" t="s">
        <v>700</v>
      </c>
      <c r="F30" s="6"/>
    </row>
    <row r="31" spans="1:18">
      <c r="A31" s="227" t="s">
        <v>54</v>
      </c>
      <c r="B31" s="33">
        <f>IF(ISERROR(TER_onderwijs_ele_kWh/1000),0,TER_onderwijs_ele_kWh/1000)</f>
        <v>83.447827618340909</v>
      </c>
      <c r="C31" s="39">
        <f>IF(ISERROR(B31*3.6/1000000/'E Balans VL '!Z11*100),0,B31*3.6/1000000/'E Balans VL '!Z11*100)</f>
        <v>2.3320908057878155E-2</v>
      </c>
      <c r="D31" s="232" t="s">
        <v>700</v>
      </c>
    </row>
    <row r="32" spans="1:18">
      <c r="A32" s="227" t="s">
        <v>248</v>
      </c>
      <c r="B32" s="33">
        <f>IF(ISERROR(TER_rest_ele_kWh/1000),0,TER_rest_ele_kWh/1000)</f>
        <v>2580.8009903523098</v>
      </c>
      <c r="C32" s="39">
        <f>IF(ISERROR(B32*3.6/1000000/'E Balans VL '!Z8*100),0,B32*3.6/1000000/'E Balans VL '!Z8*100)</f>
        <v>2.1521396549489574E-2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3</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3</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19878.205425949847</v>
      </c>
      <c r="C5" s="17">
        <f>IF(ISERROR('Eigen informatie GS &amp; warmtenet'!B59),0,'Eigen informatie GS &amp; warmtenet'!B59)</f>
        <v>0</v>
      </c>
      <c r="D5" s="30">
        <f>SUM(D6:D15)</f>
        <v>12766.22821492909</v>
      </c>
      <c r="E5" s="17">
        <f>SUM(E6:E15)</f>
        <v>794.27466688705192</v>
      </c>
      <c r="F5" s="17">
        <f>SUM(F6:F15)</f>
        <v>3674.2702853596929</v>
      </c>
      <c r="G5" s="18"/>
      <c r="H5" s="17"/>
      <c r="I5" s="17"/>
      <c r="J5" s="17">
        <f>SUM(J6:J15)</f>
        <v>49.0162622647982</v>
      </c>
      <c r="K5" s="17"/>
      <c r="L5" s="17"/>
      <c r="M5" s="17"/>
      <c r="N5" s="17">
        <f>SUM(N6:N15)</f>
        <v>499.27727346716625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3460.35405983493</v>
      </c>
      <c r="C8" s="33"/>
      <c r="D8" s="37">
        <f>IF( ISERROR(IND_metaal_Gas_kWH/1000),0,IND_metaal_Gas_kWH/1000)*0.902</f>
        <v>0</v>
      </c>
      <c r="E8" s="33">
        <f>C30*'E Balans VL '!I18/100/3.6*1000000</f>
        <v>31.403773288022819</v>
      </c>
      <c r="F8" s="33">
        <f>C30*'E Balans VL '!L18/100/3.6*1000000+C30*'E Balans VL '!N18/100/3.6*1000000</f>
        <v>318.49819804319628</v>
      </c>
      <c r="G8" s="34"/>
      <c r="H8" s="33"/>
      <c r="I8" s="33"/>
      <c r="J8" s="40">
        <f>C30*'E Balans VL '!D18/100/3.6*1000000+C30*'E Balans VL '!E18/100/3.6*1000000</f>
        <v>0</v>
      </c>
      <c r="K8" s="33"/>
      <c r="L8" s="33"/>
      <c r="M8" s="33"/>
      <c r="N8" s="33">
        <f>C30*'E Balans VL '!Y18/100/3.6*1000000</f>
        <v>50.518444289419008</v>
      </c>
      <c r="O8" s="33"/>
      <c r="P8" s="33"/>
      <c r="R8" s="32"/>
    </row>
    <row r="9" spans="1:18">
      <c r="A9" s="6" t="s">
        <v>32</v>
      </c>
      <c r="B9" s="37">
        <f t="shared" si="0"/>
        <v>1260.6277645543501</v>
      </c>
      <c r="C9" s="33"/>
      <c r="D9" s="37">
        <f>IF( ISERROR(IND_andere_gas_kWh/1000),0,IND_andere_gas_kWh/1000)*0.902</f>
        <v>881.57675037090848</v>
      </c>
      <c r="E9" s="33">
        <f>C31*'E Balans VL '!I19/100/3.6*1000000</f>
        <v>7.3169684426619019</v>
      </c>
      <c r="F9" s="33">
        <f>C31*'E Balans VL '!L19/100/3.6*1000000+C31*'E Balans VL '!N19/100/3.6*1000000</f>
        <v>831.36985545604841</v>
      </c>
      <c r="G9" s="34"/>
      <c r="H9" s="33"/>
      <c r="I9" s="33"/>
      <c r="J9" s="40">
        <f>C31*'E Balans VL '!D19/100/3.6*1000000+C31*'E Balans VL '!E19/100/3.6*1000000</f>
        <v>0</v>
      </c>
      <c r="K9" s="33"/>
      <c r="L9" s="33"/>
      <c r="M9" s="33"/>
      <c r="N9" s="33">
        <f>C31*'E Balans VL '!Y19/100/3.6*1000000</f>
        <v>58.380767588154576</v>
      </c>
      <c r="O9" s="33"/>
      <c r="P9" s="33"/>
      <c r="R9" s="32"/>
    </row>
    <row r="10" spans="1:18">
      <c r="A10" s="6" t="s">
        <v>40</v>
      </c>
      <c r="B10" s="37">
        <f t="shared" si="0"/>
        <v>1196.81348048526</v>
      </c>
      <c r="C10" s="33"/>
      <c r="D10" s="37">
        <f>IF( ISERROR(IND_voed_gas_kWh/1000),0,IND_voed_gas_kWh/1000)*0.902</f>
        <v>1197.1078700146409</v>
      </c>
      <c r="E10" s="33">
        <f>C32*'E Balans VL '!I20/100/3.6*1000000</f>
        <v>2.5363269304460894</v>
      </c>
      <c r="F10" s="33">
        <f>C32*'E Balans VL '!L20/100/3.6*1000000+C32*'E Balans VL '!N20/100/3.6*1000000</f>
        <v>76.062440525829814</v>
      </c>
      <c r="G10" s="34"/>
      <c r="H10" s="33"/>
      <c r="I10" s="33"/>
      <c r="J10" s="40">
        <f>C32*'E Balans VL '!D20/100/3.6*1000000+C32*'E Balans VL '!E20/100/3.6*1000000</f>
        <v>0</v>
      </c>
      <c r="K10" s="33"/>
      <c r="L10" s="33"/>
      <c r="M10" s="33"/>
      <c r="N10" s="33">
        <f>C32*'E Balans VL '!Y20/100/3.6*1000000</f>
        <v>34.694297223792383</v>
      </c>
      <c r="O10" s="33"/>
      <c r="P10" s="33"/>
      <c r="R10" s="32"/>
    </row>
    <row r="11" spans="1:18">
      <c r="A11" s="6" t="s">
        <v>39</v>
      </c>
      <c r="B11" s="37">
        <f t="shared" si="0"/>
        <v>13.498679827831101</v>
      </c>
      <c r="C11" s="33"/>
      <c r="D11" s="37">
        <f>IF( ISERROR(IND_textiel_gas_kWh/1000),0,IND_textiel_gas_kWh/1000)*0.902</f>
        <v>0</v>
      </c>
      <c r="E11" s="33">
        <f>C33*'E Balans VL '!I21/100/3.6*1000000</f>
        <v>4.2256423250319135E-2</v>
      </c>
      <c r="F11" s="33">
        <f>C33*'E Balans VL '!L21/100/3.6*1000000+C33*'E Balans VL '!N21/100/3.6*1000000</f>
        <v>1.3797873831867546</v>
      </c>
      <c r="G11" s="34"/>
      <c r="H11" s="33"/>
      <c r="I11" s="33"/>
      <c r="J11" s="40">
        <f>C33*'E Balans VL '!D21/100/3.6*1000000+C33*'E Balans VL '!E21/100/3.6*1000000</f>
        <v>0</v>
      </c>
      <c r="K11" s="33"/>
      <c r="L11" s="33"/>
      <c r="M11" s="33"/>
      <c r="N11" s="33">
        <f>C33*'E Balans VL '!Y21/100/3.6*1000000</f>
        <v>1.8636526085101068E-3</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29.454844956076798</v>
      </c>
      <c r="C13" s="33"/>
      <c r="D13" s="37">
        <f>IF( ISERROR(IND_papier_gas_kWh/1000),0,IND_papier_gas_kWh/1000)*0.902</f>
        <v>0</v>
      </c>
      <c r="E13" s="33">
        <f>C35*'E Balans VL '!I23/100/3.6*1000000</f>
        <v>4.3477240078330329E-2</v>
      </c>
      <c r="F13" s="33">
        <f>C35*'E Balans VL '!L23/100/3.6*1000000+C35*'E Balans VL '!N23/100/3.6*1000000</f>
        <v>0.7627915631420058</v>
      </c>
      <c r="G13" s="34"/>
      <c r="H13" s="33"/>
      <c r="I13" s="33"/>
      <c r="J13" s="40">
        <f>C35*'E Balans VL '!D23/100/3.6*1000000+C35*'E Balans VL '!E23/100/3.6*1000000</f>
        <v>4.7394272487069388E-3</v>
      </c>
      <c r="K13" s="33"/>
      <c r="L13" s="33"/>
      <c r="M13" s="33"/>
      <c r="N13" s="33">
        <f>C35*'E Balans VL '!Y23/100/3.6*1000000</f>
        <v>-1.3377497556042448</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13917.4565962914</v>
      </c>
      <c r="C15" s="33"/>
      <c r="D15" s="37">
        <f>IF( ISERROR(IND_rest_gas_kWh/1000),0,IND_rest_gas_kWh/1000)*0.902</f>
        <v>10687.54359454354</v>
      </c>
      <c r="E15" s="33">
        <f>C37*'E Balans VL '!I15/100/3.6*1000000</f>
        <v>752.93186456259241</v>
      </c>
      <c r="F15" s="33">
        <f>C37*'E Balans VL '!L15/100/3.6*1000000+C37*'E Balans VL '!N15/100/3.6*1000000</f>
        <v>2446.1972123882897</v>
      </c>
      <c r="G15" s="34"/>
      <c r="H15" s="33"/>
      <c r="I15" s="33"/>
      <c r="J15" s="40">
        <f>C37*'E Balans VL '!D15/100/3.6*1000000+C37*'E Balans VL '!E15/100/3.6*1000000</f>
        <v>49.011522837549492</v>
      </c>
      <c r="K15" s="33"/>
      <c r="L15" s="33"/>
      <c r="M15" s="33"/>
      <c r="N15" s="33">
        <f>C37*'E Balans VL '!Y15/100/3.6*1000000</f>
        <v>357.01965046879604</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19878.205425949847</v>
      </c>
      <c r="C18" s="21">
        <f>C5+C16</f>
        <v>0</v>
      </c>
      <c r="D18" s="21">
        <f>MAX((D5+D16),0)</f>
        <v>12766.22821492909</v>
      </c>
      <c r="E18" s="21">
        <f>MAX((E5+E16),0)</f>
        <v>794.27466688705192</v>
      </c>
      <c r="F18" s="21">
        <f>MAX((F5+F16),0)</f>
        <v>3674.2702853596929</v>
      </c>
      <c r="G18" s="21"/>
      <c r="H18" s="21"/>
      <c r="I18" s="21"/>
      <c r="J18" s="21">
        <f>MAX((J5+J16),0)</f>
        <v>49.0162622647982</v>
      </c>
      <c r="K18" s="21"/>
      <c r="L18" s="21">
        <f>MAX((L5+L16),0)</f>
        <v>0</v>
      </c>
      <c r="M18" s="21"/>
      <c r="N18" s="21">
        <f>MAX((N5+N16),0)</f>
        <v>499.27727346716625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0.18974312889409831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3771.7528943193661</v>
      </c>
      <c r="C22" s="23">
        <f ca="1">C18*C20</f>
        <v>0</v>
      </c>
      <c r="D22" s="23">
        <f>D18*D20</f>
        <v>2578.778099415676</v>
      </c>
      <c r="E22" s="23">
        <f>E18*E20</f>
        <v>180.30034938336078</v>
      </c>
      <c r="F22" s="23">
        <f>F18*F20</f>
        <v>981.03016619103812</v>
      </c>
      <c r="G22" s="23"/>
      <c r="H22" s="23"/>
      <c r="I22" s="23"/>
      <c r="J22" s="23">
        <f>J18*J20</f>
        <v>17.351756841738563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3460.35405983493</v>
      </c>
      <c r="C30" s="39">
        <f>IF(ISERROR(B30*3.6/1000000/'E Balans VL '!Z18*100),0,B30*3.6/1000000/'E Balans VL '!Z18*100)</f>
        <v>0.20067845359515332</v>
      </c>
      <c r="D30" s="232" t="s">
        <v>700</v>
      </c>
    </row>
    <row r="31" spans="1:18">
      <c r="A31" s="6" t="s">
        <v>32</v>
      </c>
      <c r="B31" s="37">
        <f>IF( ISERROR(IND_ander_ele_kWh/1000),0,IND_ander_ele_kWh/1000)</f>
        <v>1260.6277645543501</v>
      </c>
      <c r="C31" s="39">
        <f>IF(ISERROR(B31*3.6/1000000/'E Balans VL '!Z19*100),0,B31*3.6/1000000/'E Balans VL '!Z19*100)</f>
        <v>5.2648559294305085E-2</v>
      </c>
      <c r="D31" s="232" t="s">
        <v>700</v>
      </c>
    </row>
    <row r="32" spans="1:18">
      <c r="A32" s="167" t="s">
        <v>40</v>
      </c>
      <c r="B32" s="37">
        <f>IF( ISERROR(IND_voed_ele_kWh/1000),0,IND_voed_ele_kWh/1000)</f>
        <v>1196.81348048526</v>
      </c>
      <c r="C32" s="39">
        <f>IF(ISERROR(B32*3.6/1000000/'E Balans VL '!Z20*100),0,B32*3.6/1000000/'E Balans VL '!Z20*100)</f>
        <v>3.712043858672591E-2</v>
      </c>
      <c r="D32" s="232" t="s">
        <v>700</v>
      </c>
    </row>
    <row r="33" spans="1:5">
      <c r="A33" s="167" t="s">
        <v>39</v>
      </c>
      <c r="B33" s="37">
        <f>IF( ISERROR(IND_textiel_ele_kWh/1000),0,IND_textiel_ele_kWh/1000)</f>
        <v>13.498679827831101</v>
      </c>
      <c r="C33" s="39">
        <f>IF(ISERROR(B33*3.6/1000000/'E Balans VL '!Z21*100),0,B33*3.6/1000000/'E Balans VL '!Z21*100)</f>
        <v>1.8709284413375301E-3</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29.454844956076798</v>
      </c>
      <c r="C35" s="39">
        <f>IF(ISERROR(B35*3.6/1000000/'E Balans VL '!Z22*100),0,B35*3.6/1000000/'E Balans VL '!Z22*100)</f>
        <v>5.5119517895786119E-3</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13917.4565962914</v>
      </c>
      <c r="C37" s="39">
        <f>IF(ISERROR(B37*3.6/1000000/'E Balans VL '!Z15*100),0,B37*3.6/1000000/'E Balans VL '!Z15*100)</f>
        <v>0.10851356810496643</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1544.245034591318</v>
      </c>
      <c r="C5" s="17">
        <f>'Eigen informatie GS &amp; warmtenet'!B60</f>
        <v>0</v>
      </c>
      <c r="D5" s="30">
        <f>IF(ISERROR(SUM(LB_lb_gas_kWh,LB_rest_gas_kWh)/1000),0,SUM(LB_lb_gas_kWh,LB_rest_gas_kWh)/1000)*0.902</f>
        <v>126.35800800181912</v>
      </c>
      <c r="E5" s="17">
        <f>B17*'E Balans VL '!I25/3.6*1000000/100</f>
        <v>50.115827714265023</v>
      </c>
      <c r="F5" s="17">
        <f>B17*('E Balans VL '!L25/3.6*1000000+'E Balans VL '!N25/3.6*1000000)/100</f>
        <v>5697.0195886376887</v>
      </c>
      <c r="G5" s="18"/>
      <c r="H5" s="17"/>
      <c r="I5" s="17"/>
      <c r="J5" s="17">
        <f>('E Balans VL '!D25+'E Balans VL '!E25)/3.6*1000000*landbouw!B17/100</f>
        <v>406.12047865092904</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1544.245034591318</v>
      </c>
      <c r="C8" s="21">
        <f>C5+C6</f>
        <v>0</v>
      </c>
      <c r="D8" s="21">
        <f>MAX((D5+D6),0)</f>
        <v>126.35800800181912</v>
      </c>
      <c r="E8" s="21">
        <f>MAX((E5+E6),0)</f>
        <v>50.115827714265023</v>
      </c>
      <c r="F8" s="21">
        <f>MAX((F5+F6),0)</f>
        <v>5697.0195886376887</v>
      </c>
      <c r="G8" s="21"/>
      <c r="H8" s="21"/>
      <c r="I8" s="21"/>
      <c r="J8" s="21">
        <f>MAX((J5+J6),0)</f>
        <v>406.12047865092904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0.18974312889409831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293.00988464253174</v>
      </c>
      <c r="C12" s="23">
        <f ca="1">C8*C10</f>
        <v>0</v>
      </c>
      <c r="D12" s="23">
        <f>D8*D10</f>
        <v>25.524317616367462</v>
      </c>
      <c r="E12" s="23">
        <f>E8*E10</f>
        <v>11.37629289113816</v>
      </c>
      <c r="F12" s="23">
        <f>F8*F10</f>
        <v>1521.1042301662631</v>
      </c>
      <c r="G12" s="23"/>
      <c r="H12" s="23"/>
      <c r="I12" s="23"/>
      <c r="J12" s="23">
        <f>J8*J10</f>
        <v>143.76664944242887</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0.21913321532954907</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153.06037853548258</v>
      </c>
      <c r="C26" s="242">
        <f>B26*'GWP N2O_CH4'!B5</f>
        <v>3214.2679492451343</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118.93742920471101</v>
      </c>
      <c r="C27" s="242">
        <f>B27*'GWP N2O_CH4'!B5</f>
        <v>2497.6860132989314</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3.473965374976125</v>
      </c>
      <c r="C28" s="242">
        <f>B28*'GWP N2O_CH4'!B4</f>
        <v>1076.9292662425987</v>
      </c>
      <c r="D28" s="50"/>
    </row>
    <row r="29" spans="1:4">
      <c r="A29" s="41" t="s">
        <v>265</v>
      </c>
      <c r="B29" s="242">
        <f>B34*'ha_N2O bodem landbouw'!B4</f>
        <v>18.927694278482601</v>
      </c>
      <c r="C29" s="242">
        <f>B29*'GWP N2O_CH4'!B4</f>
        <v>5867.5852263296065</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4.3192346066134547E-3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1.8357112074615466E-4</v>
      </c>
      <c r="C5" s="427" t="s">
        <v>204</v>
      </c>
      <c r="D5" s="412">
        <f>SUM(D6:D11)</f>
        <v>3.2662451341504981E-4</v>
      </c>
      <c r="E5" s="412">
        <f>SUM(E6:E11)</f>
        <v>5.6127317453812911E-4</v>
      </c>
      <c r="F5" s="425" t="s">
        <v>204</v>
      </c>
      <c r="G5" s="412">
        <f>SUM(G6:G11)</f>
        <v>0.19839145664406405</v>
      </c>
      <c r="H5" s="412">
        <f>SUM(H6:H11)</f>
        <v>5.6301234891822025E-2</v>
      </c>
      <c r="I5" s="427" t="s">
        <v>204</v>
      </c>
      <c r="J5" s="427" t="s">
        <v>204</v>
      </c>
      <c r="K5" s="427" t="s">
        <v>204</v>
      </c>
      <c r="L5" s="427" t="s">
        <v>204</v>
      </c>
      <c r="M5" s="412">
        <f>SUM(M6:M11)</f>
        <v>1.3248656798968831E-2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1.4450830207026093E-4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2.4417011772737954E-4</v>
      </c>
      <c r="E6" s="818">
        <f>vkm_GW_PW*SUMIFS(TableVerdeelsleutelVkm[LPG],TableVerdeelsleutelVkm[Voertuigtype],"Lichte voertuigen")*SUMIFS(TableECFTransport[EnergieConsumptieFactor (PJ per km)],TableECFTransport[Index],CONCATENATE($A6,"_LPG_LPG"))</f>
        <v>4.2444104769141989E-4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0.12855193675358387</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4.2334511120335705E-2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8.757069540522704E-3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8.7016359556069179E-7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2.7949864194815693E-2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5.5762540405341708E-7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1.6329890081831107E-3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3.8115362442669895E-5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8.2454395687670272E-5</v>
      </c>
      <c r="E8" s="415">
        <f>vkm_NGW_PW*SUMIFS(TableVerdeelsleutelVkm[LPG],TableVerdeelsleutelVkm[Voertuigtype],"Lichte voertuigen")*SUMIFS(TableECFTransport[EnergieConsumptieFactor (PJ per km)],TableECFTransport[Index],CONCATENATE($A8,"_LPG_LPG"))</f>
        <v>1.3683212684670922E-4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3.8704240946262188E-2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1.3966106360534141E-2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2.6724884310291739E-3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7.7292637663145267E-8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3.1854147494023233E-3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5.978554812063363E-8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1.8610981923384269E-4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50.991977985042958</v>
      </c>
      <c r="C14" s="21"/>
      <c r="D14" s="21">
        <f t="shared" ref="D14:M14" si="0">((D5)*10^9/3600)+D12</f>
        <v>90.729031504180512</v>
      </c>
      <c r="E14" s="21">
        <f t="shared" si="0"/>
        <v>155.9092151494803</v>
      </c>
      <c r="F14" s="21"/>
      <c r="G14" s="21">
        <f t="shared" si="0"/>
        <v>55108.737956684454</v>
      </c>
      <c r="H14" s="21">
        <f t="shared" si="0"/>
        <v>15639.231914395006</v>
      </c>
      <c r="I14" s="21"/>
      <c r="J14" s="21"/>
      <c r="K14" s="21"/>
      <c r="L14" s="21"/>
      <c r="M14" s="21">
        <f t="shared" si="0"/>
        <v>3680.1824441580088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0.18974312889409831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9.6753774513810296</v>
      </c>
      <c r="C18" s="23"/>
      <c r="D18" s="23">
        <f t="shared" ref="D18:M18" si="1">D14*D16</f>
        <v>18.327264363844463</v>
      </c>
      <c r="E18" s="23">
        <f t="shared" si="1"/>
        <v>35.39139183893203</v>
      </c>
      <c r="F18" s="23"/>
      <c r="G18" s="23">
        <f t="shared" si="1"/>
        <v>14714.033034434749</v>
      </c>
      <c r="H18" s="23">
        <f t="shared" si="1"/>
        <v>3894.1687466843564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2.7032397314428873E-5</v>
      </c>
      <c r="C50" s="311">
        <f t="shared" ref="C50:P50" si="2">SUM(C51:C52)</f>
        <v>0</v>
      </c>
      <c r="D50" s="311">
        <f t="shared" si="2"/>
        <v>0</v>
      </c>
      <c r="E50" s="311">
        <f t="shared" si="2"/>
        <v>0</v>
      </c>
      <c r="F50" s="311">
        <f t="shared" si="2"/>
        <v>0</v>
      </c>
      <c r="G50" s="311">
        <f t="shared" si="2"/>
        <v>2.5394254538718356E-3</v>
      </c>
      <c r="H50" s="311">
        <f t="shared" si="2"/>
        <v>0</v>
      </c>
      <c r="I50" s="311">
        <f t="shared" si="2"/>
        <v>0</v>
      </c>
      <c r="J50" s="311">
        <f t="shared" si="2"/>
        <v>0</v>
      </c>
      <c r="K50" s="311">
        <f t="shared" si="2"/>
        <v>0</v>
      </c>
      <c r="L50" s="311">
        <f t="shared" si="2"/>
        <v>0</v>
      </c>
      <c r="M50" s="311">
        <f t="shared" si="2"/>
        <v>1.4623788730280574E-4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2.7032397314428873E-5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2.5394254538718356E-3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1.4623788730280574E-4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7.5089992540080202</v>
      </c>
      <c r="C54" s="21">
        <f t="shared" ref="C54:P54" si="3">(C50)*10^9/3600</f>
        <v>0</v>
      </c>
      <c r="D54" s="21">
        <f t="shared" si="3"/>
        <v>0</v>
      </c>
      <c r="E54" s="21">
        <f t="shared" si="3"/>
        <v>0</v>
      </c>
      <c r="F54" s="21">
        <f t="shared" si="3"/>
        <v>0</v>
      </c>
      <c r="G54" s="21">
        <f t="shared" si="3"/>
        <v>705.39595940884317</v>
      </c>
      <c r="H54" s="21">
        <f t="shared" si="3"/>
        <v>0</v>
      </c>
      <c r="I54" s="21">
        <f t="shared" si="3"/>
        <v>0</v>
      </c>
      <c r="J54" s="21">
        <f t="shared" si="3"/>
        <v>0</v>
      </c>
      <c r="K54" s="21">
        <f t="shared" si="3"/>
        <v>0</v>
      </c>
      <c r="L54" s="21">
        <f t="shared" si="3"/>
        <v>0</v>
      </c>
      <c r="M54" s="21">
        <f t="shared" si="3"/>
        <v>40.621635361890483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0.18974312889409831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1.4247810133189318</v>
      </c>
      <c r="C58" s="23">
        <f t="shared" ref="C58:P58" ca="1" si="4">C54*C56</f>
        <v>0</v>
      </c>
      <c r="D58" s="23">
        <f t="shared" si="4"/>
        <v>0</v>
      </c>
      <c r="E58" s="23">
        <f t="shared" si="4"/>
        <v>0</v>
      </c>
      <c r="F58" s="23">
        <f t="shared" si="4"/>
        <v>0</v>
      </c>
      <c r="G58" s="23">
        <f t="shared" si="4"/>
        <v>188.34072116216115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11709.826624558635</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11709.826624558635</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18940.004077910202</v>
      </c>
      <c r="D10" s="931">
        <f ca="1">tertiair!C16</f>
        <v>0</v>
      </c>
      <c r="E10" s="931">
        <f ca="1">tertiair!D16</f>
        <v>13428.851137155985</v>
      </c>
      <c r="F10" s="931">
        <f>tertiair!E16</f>
        <v>272.7903908794807</v>
      </c>
      <c r="G10" s="931">
        <f ca="1">tertiair!F16</f>
        <v>4605.3637916046555</v>
      </c>
      <c r="H10" s="931">
        <f>tertiair!G16</f>
        <v>0</v>
      </c>
      <c r="I10" s="931">
        <f>tertiair!H16</f>
        <v>0</v>
      </c>
      <c r="J10" s="931">
        <f>tertiair!I16</f>
        <v>0</v>
      </c>
      <c r="K10" s="931">
        <f>tertiair!J16</f>
        <v>5.8519779478189246E-2</v>
      </c>
      <c r="L10" s="931">
        <f>tertiair!K16</f>
        <v>0</v>
      </c>
      <c r="M10" s="931">
        <f ca="1">tertiair!L16</f>
        <v>0</v>
      </c>
      <c r="N10" s="931">
        <f>tertiair!M16</f>
        <v>0</v>
      </c>
      <c r="O10" s="931">
        <f ca="1">tertiair!N16</f>
        <v>2299.7745420980032</v>
      </c>
      <c r="P10" s="931">
        <f>tertiair!O16</f>
        <v>4.6900000000000004</v>
      </c>
      <c r="Q10" s="932">
        <f>tertiair!P16</f>
        <v>57.2</v>
      </c>
      <c r="R10" s="628">
        <f ca="1">SUM(C10:Q10)</f>
        <v>39608.732459427803</v>
      </c>
      <c r="S10" s="67"/>
    </row>
    <row r="11" spans="1:19" s="437" customFormat="1">
      <c r="A11" s="736" t="s">
        <v>213</v>
      </c>
      <c r="B11" s="741"/>
      <c r="C11" s="931">
        <f>huishoudens!B8</f>
        <v>41428.197526025455</v>
      </c>
      <c r="D11" s="931">
        <f>huishoudens!C8</f>
        <v>0</v>
      </c>
      <c r="E11" s="931">
        <f>huishoudens!D8</f>
        <v>56703.067131155556</v>
      </c>
      <c r="F11" s="931">
        <f>huishoudens!E8</f>
        <v>3180.6016920015704</v>
      </c>
      <c r="G11" s="931">
        <f>huishoudens!F8</f>
        <v>73723.872660951936</v>
      </c>
      <c r="H11" s="931">
        <f>huishoudens!G8</f>
        <v>0</v>
      </c>
      <c r="I11" s="931">
        <f>huishoudens!H8</f>
        <v>0</v>
      </c>
      <c r="J11" s="931">
        <f>huishoudens!I8</f>
        <v>0</v>
      </c>
      <c r="K11" s="931">
        <f>huishoudens!J8</f>
        <v>378.87576512131847</v>
      </c>
      <c r="L11" s="931">
        <f>huishoudens!K8</f>
        <v>0</v>
      </c>
      <c r="M11" s="931">
        <f>huishoudens!L8</f>
        <v>0</v>
      </c>
      <c r="N11" s="931">
        <f>huishoudens!M8</f>
        <v>0</v>
      </c>
      <c r="O11" s="931">
        <f>huishoudens!N8</f>
        <v>14744.192144887769</v>
      </c>
      <c r="P11" s="931">
        <f>huishoudens!O8</f>
        <v>836.38333333333333</v>
      </c>
      <c r="Q11" s="932">
        <f>huishoudens!P8</f>
        <v>2516.8000000000002</v>
      </c>
      <c r="R11" s="628">
        <f>SUM(C11:Q11)</f>
        <v>193511.99025347692</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19878.205425949847</v>
      </c>
      <c r="D13" s="931">
        <f>industrie!C18</f>
        <v>0</v>
      </c>
      <c r="E13" s="931">
        <f>industrie!D18</f>
        <v>12766.22821492909</v>
      </c>
      <c r="F13" s="931">
        <f>industrie!E18</f>
        <v>794.27466688705192</v>
      </c>
      <c r="G13" s="931">
        <f>industrie!F18</f>
        <v>3674.2702853596929</v>
      </c>
      <c r="H13" s="931">
        <f>industrie!G18</f>
        <v>0</v>
      </c>
      <c r="I13" s="931">
        <f>industrie!H18</f>
        <v>0</v>
      </c>
      <c r="J13" s="931">
        <f>industrie!I18</f>
        <v>0</v>
      </c>
      <c r="K13" s="931">
        <f>industrie!J18</f>
        <v>49.0162622647982</v>
      </c>
      <c r="L13" s="931">
        <f>industrie!K18</f>
        <v>0</v>
      </c>
      <c r="M13" s="931">
        <f>industrie!L18</f>
        <v>0</v>
      </c>
      <c r="N13" s="931">
        <f>industrie!M18</f>
        <v>0</v>
      </c>
      <c r="O13" s="931">
        <f>industrie!N18</f>
        <v>499.27727346716625</v>
      </c>
      <c r="P13" s="931">
        <f>industrie!O18</f>
        <v>0</v>
      </c>
      <c r="Q13" s="932">
        <f>industrie!P18</f>
        <v>0</v>
      </c>
      <c r="R13" s="628">
        <f>SUM(C13:Q13)</f>
        <v>37661.27212885765</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80246.407029885508</v>
      </c>
      <c r="D16" s="660">
        <f t="shared" ref="D16:R16" ca="1" si="0">SUM(D9:D15)</f>
        <v>0</v>
      </c>
      <c r="E16" s="660">
        <f t="shared" ca="1" si="0"/>
        <v>82898.14648324062</v>
      </c>
      <c r="F16" s="660">
        <f t="shared" si="0"/>
        <v>4247.6667497681028</v>
      </c>
      <c r="G16" s="660">
        <f t="shared" ca="1" si="0"/>
        <v>82003.506737916294</v>
      </c>
      <c r="H16" s="660">
        <f t="shared" si="0"/>
        <v>0</v>
      </c>
      <c r="I16" s="660">
        <f t="shared" si="0"/>
        <v>0</v>
      </c>
      <c r="J16" s="660">
        <f t="shared" si="0"/>
        <v>0</v>
      </c>
      <c r="K16" s="660">
        <f t="shared" si="0"/>
        <v>427.95054716559491</v>
      </c>
      <c r="L16" s="660">
        <f t="shared" si="0"/>
        <v>0</v>
      </c>
      <c r="M16" s="660">
        <f t="shared" ca="1" si="0"/>
        <v>0</v>
      </c>
      <c r="N16" s="660">
        <f t="shared" si="0"/>
        <v>0</v>
      </c>
      <c r="O16" s="660">
        <f t="shared" ca="1" si="0"/>
        <v>17543.243960452939</v>
      </c>
      <c r="P16" s="660">
        <f t="shared" si="0"/>
        <v>841.07333333333338</v>
      </c>
      <c r="Q16" s="660">
        <f t="shared" si="0"/>
        <v>2574</v>
      </c>
      <c r="R16" s="660">
        <f t="shared" ca="1" si="0"/>
        <v>270781.99484176241</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7.5089992540080202</v>
      </c>
      <c r="D19" s="931">
        <f>transport!C54</f>
        <v>0</v>
      </c>
      <c r="E19" s="931">
        <f>transport!D54</f>
        <v>0</v>
      </c>
      <c r="F19" s="931">
        <f>transport!E54</f>
        <v>0</v>
      </c>
      <c r="G19" s="931">
        <f>transport!F54</f>
        <v>0</v>
      </c>
      <c r="H19" s="931">
        <f>transport!G54</f>
        <v>705.39595940884317</v>
      </c>
      <c r="I19" s="931">
        <f>transport!H54</f>
        <v>0</v>
      </c>
      <c r="J19" s="931">
        <f>transport!I54</f>
        <v>0</v>
      </c>
      <c r="K19" s="931">
        <f>transport!J54</f>
        <v>0</v>
      </c>
      <c r="L19" s="931">
        <f>transport!K54</f>
        <v>0</v>
      </c>
      <c r="M19" s="931">
        <f>transport!L54</f>
        <v>0</v>
      </c>
      <c r="N19" s="931">
        <f>transport!M54</f>
        <v>40.621635361890483</v>
      </c>
      <c r="O19" s="931">
        <f>transport!N54</f>
        <v>0</v>
      </c>
      <c r="P19" s="931">
        <f>transport!O54</f>
        <v>0</v>
      </c>
      <c r="Q19" s="932">
        <f>transport!P54</f>
        <v>0</v>
      </c>
      <c r="R19" s="628">
        <f>SUM(C19:Q19)</f>
        <v>753.52659402474171</v>
      </c>
      <c r="S19" s="67"/>
    </row>
    <row r="20" spans="1:19" s="437" customFormat="1">
      <c r="A20" s="736" t="s">
        <v>295</v>
      </c>
      <c r="B20" s="741"/>
      <c r="C20" s="931">
        <f>transport!B14</f>
        <v>50.991977985042958</v>
      </c>
      <c r="D20" s="931">
        <f>transport!C14</f>
        <v>0</v>
      </c>
      <c r="E20" s="931">
        <f>transport!D14</f>
        <v>90.729031504180512</v>
      </c>
      <c r="F20" s="931">
        <f>transport!E14</f>
        <v>155.9092151494803</v>
      </c>
      <c r="G20" s="931">
        <f>transport!F14</f>
        <v>0</v>
      </c>
      <c r="H20" s="931">
        <f>transport!G14</f>
        <v>55108.737956684454</v>
      </c>
      <c r="I20" s="931">
        <f>transport!H14</f>
        <v>15639.231914395006</v>
      </c>
      <c r="J20" s="931">
        <f>transport!I14</f>
        <v>0</v>
      </c>
      <c r="K20" s="931">
        <f>transport!J14</f>
        <v>0</v>
      </c>
      <c r="L20" s="931">
        <f>transport!K14</f>
        <v>0</v>
      </c>
      <c r="M20" s="931">
        <f>transport!L14</f>
        <v>0</v>
      </c>
      <c r="N20" s="931">
        <f>transport!M14</f>
        <v>3680.1824441580088</v>
      </c>
      <c r="O20" s="931">
        <f>transport!N14</f>
        <v>0</v>
      </c>
      <c r="P20" s="931">
        <f>transport!O14</f>
        <v>0</v>
      </c>
      <c r="Q20" s="932">
        <f>transport!P14</f>
        <v>0</v>
      </c>
      <c r="R20" s="628">
        <f>SUM(C20:Q20)</f>
        <v>74725.782539876178</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58.500977239050975</v>
      </c>
      <c r="D22" s="739">
        <f t="shared" ref="D22:R22" si="1">SUM(D18:D21)</f>
        <v>0</v>
      </c>
      <c r="E22" s="739">
        <f t="shared" si="1"/>
        <v>90.729031504180512</v>
      </c>
      <c r="F22" s="739">
        <f t="shared" si="1"/>
        <v>155.9092151494803</v>
      </c>
      <c r="G22" s="739">
        <f t="shared" si="1"/>
        <v>0</v>
      </c>
      <c r="H22" s="739">
        <f t="shared" si="1"/>
        <v>55814.133916093298</v>
      </c>
      <c r="I22" s="739">
        <f t="shared" si="1"/>
        <v>15639.231914395006</v>
      </c>
      <c r="J22" s="739">
        <f t="shared" si="1"/>
        <v>0</v>
      </c>
      <c r="K22" s="739">
        <f t="shared" si="1"/>
        <v>0</v>
      </c>
      <c r="L22" s="739">
        <f t="shared" si="1"/>
        <v>0</v>
      </c>
      <c r="M22" s="739">
        <f t="shared" si="1"/>
        <v>0</v>
      </c>
      <c r="N22" s="739">
        <f t="shared" si="1"/>
        <v>3720.8040795198995</v>
      </c>
      <c r="O22" s="739">
        <f t="shared" si="1"/>
        <v>0</v>
      </c>
      <c r="P22" s="739">
        <f t="shared" si="1"/>
        <v>0</v>
      </c>
      <c r="Q22" s="739">
        <f t="shared" si="1"/>
        <v>0</v>
      </c>
      <c r="R22" s="739">
        <f t="shared" si="1"/>
        <v>75479.309133900926</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1544.245034591318</v>
      </c>
      <c r="D24" s="931">
        <f>+landbouw!C8</f>
        <v>0</v>
      </c>
      <c r="E24" s="931">
        <f>+landbouw!D8</f>
        <v>126.35800800181912</v>
      </c>
      <c r="F24" s="931">
        <f>+landbouw!E8</f>
        <v>50.115827714265023</v>
      </c>
      <c r="G24" s="931">
        <f>+landbouw!F8</f>
        <v>5697.0195886376887</v>
      </c>
      <c r="H24" s="931">
        <f>+landbouw!G8</f>
        <v>0</v>
      </c>
      <c r="I24" s="931">
        <f>+landbouw!H8</f>
        <v>0</v>
      </c>
      <c r="J24" s="931">
        <f>+landbouw!I8</f>
        <v>0</v>
      </c>
      <c r="K24" s="931">
        <f>+landbouw!J8</f>
        <v>406.12047865092904</v>
      </c>
      <c r="L24" s="931">
        <f>+landbouw!K8</f>
        <v>0</v>
      </c>
      <c r="M24" s="931">
        <f>+landbouw!L8</f>
        <v>0</v>
      </c>
      <c r="N24" s="931">
        <f>+landbouw!M8</f>
        <v>0</v>
      </c>
      <c r="O24" s="931">
        <f>+landbouw!N8</f>
        <v>0</v>
      </c>
      <c r="P24" s="931">
        <f>+landbouw!O8</f>
        <v>0</v>
      </c>
      <c r="Q24" s="932">
        <f>+landbouw!P8</f>
        <v>0</v>
      </c>
      <c r="R24" s="628">
        <f>SUM(C24:Q24)</f>
        <v>7823.8589375960191</v>
      </c>
      <c r="S24" s="67"/>
    </row>
    <row r="25" spans="1:19" s="437" customFormat="1" ht="15" thickBot="1">
      <c r="A25" s="758" t="s">
        <v>775</v>
      </c>
      <c r="B25" s="934"/>
      <c r="C25" s="935">
        <f>IF(Onbekend_ele_kWh="---",0,Onbekend_ele_kWh)/1000+IF(REST_rest_ele_kWh="---",0,REST_rest_ele_kWh)/1000</f>
        <v>944.53655246852111</v>
      </c>
      <c r="D25" s="935"/>
      <c r="E25" s="935">
        <f>IF(onbekend_gas_kWh="---",0,onbekend_gas_kWh)/1000+IF(REST_rest_gas_kWh="---",0,REST_rest_gas_kWh)/1000</f>
        <v>1374.62478925809</v>
      </c>
      <c r="F25" s="935"/>
      <c r="G25" s="935"/>
      <c r="H25" s="935"/>
      <c r="I25" s="935"/>
      <c r="J25" s="935"/>
      <c r="K25" s="935"/>
      <c r="L25" s="935"/>
      <c r="M25" s="935"/>
      <c r="N25" s="935"/>
      <c r="O25" s="935"/>
      <c r="P25" s="935"/>
      <c r="Q25" s="936"/>
      <c r="R25" s="628">
        <f>SUM(C25:Q25)</f>
        <v>2319.1613417266112</v>
      </c>
      <c r="S25" s="67"/>
    </row>
    <row r="26" spans="1:19" s="437" customFormat="1" ht="15.75" thickBot="1">
      <c r="A26" s="633" t="s">
        <v>776</v>
      </c>
      <c r="B26" s="744"/>
      <c r="C26" s="739">
        <f>SUM(C24:C25)</f>
        <v>2488.7815870598392</v>
      </c>
      <c r="D26" s="739">
        <f t="shared" ref="D26:R26" si="2">SUM(D24:D25)</f>
        <v>0</v>
      </c>
      <c r="E26" s="739">
        <f t="shared" si="2"/>
        <v>1500.9827972599091</v>
      </c>
      <c r="F26" s="739">
        <f t="shared" si="2"/>
        <v>50.115827714265023</v>
      </c>
      <c r="G26" s="739">
        <f t="shared" si="2"/>
        <v>5697.0195886376887</v>
      </c>
      <c r="H26" s="739">
        <f t="shared" si="2"/>
        <v>0</v>
      </c>
      <c r="I26" s="739">
        <f t="shared" si="2"/>
        <v>0</v>
      </c>
      <c r="J26" s="739">
        <f t="shared" si="2"/>
        <v>0</v>
      </c>
      <c r="K26" s="739">
        <f t="shared" si="2"/>
        <v>406.12047865092904</v>
      </c>
      <c r="L26" s="739">
        <f t="shared" si="2"/>
        <v>0</v>
      </c>
      <c r="M26" s="739">
        <f t="shared" si="2"/>
        <v>0</v>
      </c>
      <c r="N26" s="739">
        <f t="shared" si="2"/>
        <v>0</v>
      </c>
      <c r="O26" s="739">
        <f t="shared" si="2"/>
        <v>0</v>
      </c>
      <c r="P26" s="739">
        <f t="shared" si="2"/>
        <v>0</v>
      </c>
      <c r="Q26" s="739">
        <f t="shared" si="2"/>
        <v>0</v>
      </c>
      <c r="R26" s="739">
        <f t="shared" si="2"/>
        <v>10143.020279322631</v>
      </c>
      <c r="S26" s="67"/>
    </row>
    <row r="27" spans="1:19" s="437" customFormat="1" ht="17.25" thickTop="1" thickBot="1">
      <c r="A27" s="634" t="s">
        <v>109</v>
      </c>
      <c r="B27" s="732"/>
      <c r="C27" s="635">
        <f ca="1">C22+C16+C26</f>
        <v>82793.689594184398</v>
      </c>
      <c r="D27" s="635">
        <f t="shared" ref="D27:R27" ca="1" si="3">D22+D16+D26</f>
        <v>0</v>
      </c>
      <c r="E27" s="635">
        <f t="shared" ca="1" si="3"/>
        <v>84489.858312004711</v>
      </c>
      <c r="F27" s="635">
        <f t="shared" si="3"/>
        <v>4453.6917926318483</v>
      </c>
      <c r="G27" s="635">
        <f t="shared" ca="1" si="3"/>
        <v>87700.526326553983</v>
      </c>
      <c r="H27" s="635">
        <f t="shared" si="3"/>
        <v>55814.133916093298</v>
      </c>
      <c r="I27" s="635">
        <f t="shared" si="3"/>
        <v>15639.231914395006</v>
      </c>
      <c r="J27" s="635">
        <f t="shared" si="3"/>
        <v>0</v>
      </c>
      <c r="K27" s="635">
        <f t="shared" si="3"/>
        <v>834.07102581652396</v>
      </c>
      <c r="L27" s="635">
        <f t="shared" si="3"/>
        <v>0</v>
      </c>
      <c r="M27" s="635">
        <f t="shared" ca="1" si="3"/>
        <v>0</v>
      </c>
      <c r="N27" s="635">
        <f t="shared" si="3"/>
        <v>3720.8040795198995</v>
      </c>
      <c r="O27" s="635">
        <f t="shared" ca="1" si="3"/>
        <v>17543.243960452939</v>
      </c>
      <c r="P27" s="635">
        <f t="shared" si="3"/>
        <v>841.07333333333338</v>
      </c>
      <c r="Q27" s="635">
        <f t="shared" si="3"/>
        <v>2574</v>
      </c>
      <c r="R27" s="635">
        <f t="shared" ca="1" si="3"/>
        <v>356404.32425498596</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3593.7356350096629</v>
      </c>
      <c r="D40" s="931">
        <f ca="1">tertiair!C20</f>
        <v>0</v>
      </c>
      <c r="E40" s="931">
        <f ca="1">tertiair!D20</f>
        <v>2712.6279297055094</v>
      </c>
      <c r="F40" s="931">
        <f>tertiair!E20</f>
        <v>61.923418729642123</v>
      </c>
      <c r="G40" s="931">
        <f ca="1">tertiair!F20</f>
        <v>1229.6321323584432</v>
      </c>
      <c r="H40" s="931">
        <f>tertiair!G20</f>
        <v>0</v>
      </c>
      <c r="I40" s="931">
        <f>tertiair!H20</f>
        <v>0</v>
      </c>
      <c r="J40" s="931">
        <f>tertiair!I20</f>
        <v>0</v>
      </c>
      <c r="K40" s="931">
        <f>tertiair!J20</f>
        <v>2.0716001935278991E-2</v>
      </c>
      <c r="L40" s="931">
        <f>tertiair!K20</f>
        <v>0</v>
      </c>
      <c r="M40" s="931">
        <f ca="1">tertiair!L20</f>
        <v>0</v>
      </c>
      <c r="N40" s="931">
        <f>tertiair!M20</f>
        <v>0</v>
      </c>
      <c r="O40" s="931">
        <f ca="1">tertiair!N20</f>
        <v>0</v>
      </c>
      <c r="P40" s="931">
        <f>tertiair!O20</f>
        <v>0</v>
      </c>
      <c r="Q40" s="702">
        <f>tertiair!P20</f>
        <v>0</v>
      </c>
      <c r="R40" s="777">
        <f t="shared" ca="1" si="4"/>
        <v>7597.9398318051935</v>
      </c>
    </row>
    <row r="41" spans="1:18">
      <c r="A41" s="749" t="s">
        <v>213</v>
      </c>
      <c r="B41" s="756"/>
      <c r="C41" s="931">
        <f ca="1">huishoudens!B12</f>
        <v>7860.7158230308123</v>
      </c>
      <c r="D41" s="931">
        <f ca="1">huishoudens!C12</f>
        <v>0</v>
      </c>
      <c r="E41" s="931">
        <f>huishoudens!D12</f>
        <v>11454.019560493423</v>
      </c>
      <c r="F41" s="931">
        <f>huishoudens!E12</f>
        <v>721.99658408435653</v>
      </c>
      <c r="G41" s="931">
        <f>huishoudens!F12</f>
        <v>19684.274000474168</v>
      </c>
      <c r="H41" s="931">
        <f>huishoudens!G12</f>
        <v>0</v>
      </c>
      <c r="I41" s="931">
        <f>huishoudens!H12</f>
        <v>0</v>
      </c>
      <c r="J41" s="931">
        <f>huishoudens!I12</f>
        <v>0</v>
      </c>
      <c r="K41" s="931">
        <f>huishoudens!J12</f>
        <v>134.12202085294672</v>
      </c>
      <c r="L41" s="931">
        <f>huishoudens!K12</f>
        <v>0</v>
      </c>
      <c r="M41" s="931">
        <f>huishoudens!L12</f>
        <v>0</v>
      </c>
      <c r="N41" s="931">
        <f>huishoudens!M12</f>
        <v>0</v>
      </c>
      <c r="O41" s="931">
        <f>huishoudens!N12</f>
        <v>0</v>
      </c>
      <c r="P41" s="931">
        <f>huishoudens!O12</f>
        <v>0</v>
      </c>
      <c r="Q41" s="702">
        <f>huishoudens!P12</f>
        <v>0</v>
      </c>
      <c r="R41" s="777">
        <f t="shared" ca="1" si="4"/>
        <v>39855.12798893571</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3771.7528943193661</v>
      </c>
      <c r="D43" s="931">
        <f ca="1">industrie!C22</f>
        <v>0</v>
      </c>
      <c r="E43" s="931">
        <f>industrie!D22</f>
        <v>2578.778099415676</v>
      </c>
      <c r="F43" s="931">
        <f>industrie!E22</f>
        <v>180.30034938336078</v>
      </c>
      <c r="G43" s="931">
        <f>industrie!F22</f>
        <v>981.03016619103812</v>
      </c>
      <c r="H43" s="931">
        <f>industrie!G22</f>
        <v>0</v>
      </c>
      <c r="I43" s="931">
        <f>industrie!H22</f>
        <v>0</v>
      </c>
      <c r="J43" s="931">
        <f>industrie!I22</f>
        <v>0</v>
      </c>
      <c r="K43" s="931">
        <f>industrie!J22</f>
        <v>17.351756841738563</v>
      </c>
      <c r="L43" s="931">
        <f>industrie!K22</f>
        <v>0</v>
      </c>
      <c r="M43" s="931">
        <f>industrie!L22</f>
        <v>0</v>
      </c>
      <c r="N43" s="931">
        <f>industrie!M22</f>
        <v>0</v>
      </c>
      <c r="O43" s="931">
        <f>industrie!N22</f>
        <v>0</v>
      </c>
      <c r="P43" s="931">
        <f>industrie!O22</f>
        <v>0</v>
      </c>
      <c r="Q43" s="702">
        <f>industrie!P22</f>
        <v>0</v>
      </c>
      <c r="R43" s="776">
        <f t="shared" ca="1" si="4"/>
        <v>7529.2132661511796</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15226.204352359842</v>
      </c>
      <c r="D46" s="660">
        <f t="shared" ref="D46:Q46" ca="1" si="5">SUM(D39:D45)</f>
        <v>0</v>
      </c>
      <c r="E46" s="660">
        <f t="shared" ca="1" si="5"/>
        <v>16745.42558961461</v>
      </c>
      <c r="F46" s="660">
        <f t="shared" si="5"/>
        <v>964.22035219735938</v>
      </c>
      <c r="G46" s="660">
        <f t="shared" ca="1" si="5"/>
        <v>21894.936299023648</v>
      </c>
      <c r="H46" s="660">
        <f t="shared" si="5"/>
        <v>0</v>
      </c>
      <c r="I46" s="660">
        <f t="shared" si="5"/>
        <v>0</v>
      </c>
      <c r="J46" s="660">
        <f t="shared" si="5"/>
        <v>0</v>
      </c>
      <c r="K46" s="660">
        <f t="shared" si="5"/>
        <v>151.49449369662057</v>
      </c>
      <c r="L46" s="660">
        <f t="shared" si="5"/>
        <v>0</v>
      </c>
      <c r="M46" s="660">
        <f t="shared" ca="1" si="5"/>
        <v>0</v>
      </c>
      <c r="N46" s="660">
        <f t="shared" si="5"/>
        <v>0</v>
      </c>
      <c r="O46" s="660">
        <f t="shared" ca="1" si="5"/>
        <v>0</v>
      </c>
      <c r="P46" s="660">
        <f t="shared" si="5"/>
        <v>0</v>
      </c>
      <c r="Q46" s="660">
        <f t="shared" si="5"/>
        <v>0</v>
      </c>
      <c r="R46" s="660">
        <f ca="1">SUM(R39:R45)</f>
        <v>54982.281086892086</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1.4247810133189318</v>
      </c>
      <c r="D49" s="931">
        <f ca="1">transport!C58</f>
        <v>0</v>
      </c>
      <c r="E49" s="931">
        <f>transport!D58</f>
        <v>0</v>
      </c>
      <c r="F49" s="931">
        <f>transport!E58</f>
        <v>0</v>
      </c>
      <c r="G49" s="931">
        <f>transport!F58</f>
        <v>0</v>
      </c>
      <c r="H49" s="931">
        <f>transport!G58</f>
        <v>188.34072116216115</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189.76550217548007</v>
      </c>
    </row>
    <row r="50" spans="1:18">
      <c r="A50" s="752" t="s">
        <v>295</v>
      </c>
      <c r="B50" s="762"/>
      <c r="C50" s="631">
        <f ca="1">transport!B18</f>
        <v>9.6753774513810296</v>
      </c>
      <c r="D50" s="631">
        <f>transport!C18</f>
        <v>0</v>
      </c>
      <c r="E50" s="631">
        <f>transport!D18</f>
        <v>18.327264363844463</v>
      </c>
      <c r="F50" s="631">
        <f>transport!E18</f>
        <v>35.39139183893203</v>
      </c>
      <c r="G50" s="631">
        <f>transport!F18</f>
        <v>0</v>
      </c>
      <c r="H50" s="631">
        <f>transport!G18</f>
        <v>14714.033034434749</v>
      </c>
      <c r="I50" s="631">
        <f>transport!H18</f>
        <v>3894.1687466843564</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18671.595814773264</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11.100158464699961</v>
      </c>
      <c r="D52" s="660">
        <f t="shared" ref="D52:Q52" ca="1" si="6">SUM(D48:D51)</f>
        <v>0</v>
      </c>
      <c r="E52" s="660">
        <f t="shared" si="6"/>
        <v>18.327264363844463</v>
      </c>
      <c r="F52" s="660">
        <f t="shared" si="6"/>
        <v>35.39139183893203</v>
      </c>
      <c r="G52" s="660">
        <f t="shared" si="6"/>
        <v>0</v>
      </c>
      <c r="H52" s="660">
        <f t="shared" si="6"/>
        <v>14902.373755596911</v>
      </c>
      <c r="I52" s="660">
        <f t="shared" si="6"/>
        <v>3894.1687466843564</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18861.361316948743</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293.00988464253174</v>
      </c>
      <c r="D54" s="631">
        <f ca="1">+landbouw!C12</f>
        <v>0</v>
      </c>
      <c r="E54" s="631">
        <f>+landbouw!D12</f>
        <v>25.524317616367462</v>
      </c>
      <c r="F54" s="631">
        <f>+landbouw!E12</f>
        <v>11.37629289113816</v>
      </c>
      <c r="G54" s="631">
        <f>+landbouw!F12</f>
        <v>1521.1042301662631</v>
      </c>
      <c r="H54" s="631">
        <f>+landbouw!G12</f>
        <v>0</v>
      </c>
      <c r="I54" s="631">
        <f>+landbouw!H12</f>
        <v>0</v>
      </c>
      <c r="J54" s="631">
        <f>+landbouw!I12</f>
        <v>0</v>
      </c>
      <c r="K54" s="631">
        <f>+landbouw!J12</f>
        <v>143.76664944242887</v>
      </c>
      <c r="L54" s="631">
        <f>+landbouw!K12</f>
        <v>0</v>
      </c>
      <c r="M54" s="631">
        <f>+landbouw!L12</f>
        <v>0</v>
      </c>
      <c r="N54" s="631">
        <f>+landbouw!M12</f>
        <v>0</v>
      </c>
      <c r="O54" s="631">
        <f>+landbouw!N12</f>
        <v>0</v>
      </c>
      <c r="P54" s="631">
        <f>+landbouw!O12</f>
        <v>0</v>
      </c>
      <c r="Q54" s="632">
        <f>+landbouw!P12</f>
        <v>0</v>
      </c>
      <c r="R54" s="659">
        <f ca="1">SUM(C54:Q54)</f>
        <v>1994.7813747587293</v>
      </c>
    </row>
    <row r="55" spans="1:18" ht="15" thickBot="1">
      <c r="A55" s="752" t="s">
        <v>775</v>
      </c>
      <c r="B55" s="762"/>
      <c r="C55" s="631">
        <f ca="1">C25*'EF ele_warmte'!B12</f>
        <v>179.21932082022184</v>
      </c>
      <c r="D55" s="631"/>
      <c r="E55" s="631">
        <f>E25*EF_CO2_aardgas</f>
        <v>277.67420743013417</v>
      </c>
      <c r="F55" s="631"/>
      <c r="G55" s="631"/>
      <c r="H55" s="631"/>
      <c r="I55" s="631"/>
      <c r="J55" s="631"/>
      <c r="K55" s="631"/>
      <c r="L55" s="631"/>
      <c r="M55" s="631"/>
      <c r="N55" s="631"/>
      <c r="O55" s="631"/>
      <c r="P55" s="631"/>
      <c r="Q55" s="632"/>
      <c r="R55" s="659">
        <f ca="1">SUM(C55:Q55)</f>
        <v>456.89352825035598</v>
      </c>
    </row>
    <row r="56" spans="1:18" ht="15.75" thickBot="1">
      <c r="A56" s="750" t="s">
        <v>776</v>
      </c>
      <c r="B56" s="763"/>
      <c r="C56" s="660">
        <f ca="1">SUM(C54:C55)</f>
        <v>472.22920546275361</v>
      </c>
      <c r="D56" s="660">
        <f t="shared" ref="D56:Q56" ca="1" si="7">SUM(D54:D55)</f>
        <v>0</v>
      </c>
      <c r="E56" s="660">
        <f t="shared" si="7"/>
        <v>303.19852504650163</v>
      </c>
      <c r="F56" s="660">
        <f t="shared" si="7"/>
        <v>11.37629289113816</v>
      </c>
      <c r="G56" s="660">
        <f t="shared" si="7"/>
        <v>1521.1042301662631</v>
      </c>
      <c r="H56" s="660">
        <f t="shared" si="7"/>
        <v>0</v>
      </c>
      <c r="I56" s="660">
        <f t="shared" si="7"/>
        <v>0</v>
      </c>
      <c r="J56" s="660">
        <f t="shared" si="7"/>
        <v>0</v>
      </c>
      <c r="K56" s="660">
        <f t="shared" si="7"/>
        <v>143.76664944242887</v>
      </c>
      <c r="L56" s="660">
        <f t="shared" si="7"/>
        <v>0</v>
      </c>
      <c r="M56" s="660">
        <f t="shared" si="7"/>
        <v>0</v>
      </c>
      <c r="N56" s="660">
        <f t="shared" si="7"/>
        <v>0</v>
      </c>
      <c r="O56" s="660">
        <f t="shared" si="7"/>
        <v>0</v>
      </c>
      <c r="P56" s="660">
        <f t="shared" si="7"/>
        <v>0</v>
      </c>
      <c r="Q56" s="661">
        <f t="shared" si="7"/>
        <v>0</v>
      </c>
      <c r="R56" s="662">
        <f ca="1">SUM(R54:R55)</f>
        <v>2451.674903009085</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15709.533716287297</v>
      </c>
      <c r="D61" s="668">
        <f t="shared" ref="D61:Q61" ca="1" si="8">D46+D52+D56</f>
        <v>0</v>
      </c>
      <c r="E61" s="668">
        <f t="shared" ca="1" si="8"/>
        <v>17066.951379024955</v>
      </c>
      <c r="F61" s="668">
        <f t="shared" si="8"/>
        <v>1010.9880369274296</v>
      </c>
      <c r="G61" s="668">
        <f t="shared" ca="1" si="8"/>
        <v>23416.040529189911</v>
      </c>
      <c r="H61" s="668">
        <f t="shared" si="8"/>
        <v>14902.373755596911</v>
      </c>
      <c r="I61" s="668">
        <f t="shared" si="8"/>
        <v>3894.1687466843564</v>
      </c>
      <c r="J61" s="668">
        <f t="shared" si="8"/>
        <v>0</v>
      </c>
      <c r="K61" s="668">
        <f t="shared" si="8"/>
        <v>295.26114313904941</v>
      </c>
      <c r="L61" s="668">
        <f t="shared" si="8"/>
        <v>0</v>
      </c>
      <c r="M61" s="668">
        <f t="shared" ca="1" si="8"/>
        <v>0</v>
      </c>
      <c r="N61" s="668">
        <f t="shared" si="8"/>
        <v>0</v>
      </c>
      <c r="O61" s="668">
        <f t="shared" ca="1" si="8"/>
        <v>0</v>
      </c>
      <c r="P61" s="668">
        <f t="shared" si="8"/>
        <v>0</v>
      </c>
      <c r="Q61" s="668">
        <f t="shared" si="8"/>
        <v>0</v>
      </c>
      <c r="R61" s="668">
        <f ca="1">R46+R52+R56</f>
        <v>76295.317306849916</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0.18974312889409831</v>
      </c>
      <c r="D63" s="709">
        <f t="shared" ca="1" si="9"/>
        <v>0</v>
      </c>
      <c r="E63" s="942">
        <f t="shared" ca="1" si="9"/>
        <v>0.20200000000000004</v>
      </c>
      <c r="F63" s="709">
        <f t="shared" si="9"/>
        <v>0.22700000000000001</v>
      </c>
      <c r="G63" s="709">
        <f t="shared" ca="1" si="9"/>
        <v>0.26699999999999996</v>
      </c>
      <c r="H63" s="709">
        <f t="shared" si="9"/>
        <v>0.26700000000000002</v>
      </c>
      <c r="I63" s="709">
        <f t="shared" si="9"/>
        <v>0.249</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11709.826624558635</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11709.826624558635</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41428.197526025455</v>
      </c>
      <c r="C4" s="441">
        <f>huishoudens!C8</f>
        <v>0</v>
      </c>
      <c r="D4" s="441">
        <f>huishoudens!D8</f>
        <v>56703.067131155556</v>
      </c>
      <c r="E4" s="441">
        <f>huishoudens!E8</f>
        <v>3180.6016920015704</v>
      </c>
      <c r="F4" s="441">
        <f>huishoudens!F8</f>
        <v>73723.872660951936</v>
      </c>
      <c r="G4" s="441">
        <f>huishoudens!G8</f>
        <v>0</v>
      </c>
      <c r="H4" s="441">
        <f>huishoudens!H8</f>
        <v>0</v>
      </c>
      <c r="I4" s="441">
        <f>huishoudens!I8</f>
        <v>0</v>
      </c>
      <c r="J4" s="441">
        <f>huishoudens!J8</f>
        <v>378.87576512131847</v>
      </c>
      <c r="K4" s="441">
        <f>huishoudens!K8</f>
        <v>0</v>
      </c>
      <c r="L4" s="441">
        <f>huishoudens!L8</f>
        <v>0</v>
      </c>
      <c r="M4" s="441">
        <f>huishoudens!M8</f>
        <v>0</v>
      </c>
      <c r="N4" s="441">
        <f>huishoudens!N8</f>
        <v>14744.192144887769</v>
      </c>
      <c r="O4" s="441">
        <f>huishoudens!O8</f>
        <v>836.38333333333333</v>
      </c>
      <c r="P4" s="442">
        <f>huishoudens!P8</f>
        <v>2516.8000000000002</v>
      </c>
      <c r="Q4" s="443">
        <f>SUM(B4:P4)</f>
        <v>193511.99025347692</v>
      </c>
    </row>
    <row r="5" spans="1:17">
      <c r="A5" s="440" t="s">
        <v>149</v>
      </c>
      <c r="B5" s="441">
        <f ca="1">tertiair!B16</f>
        <v>17527.427077910201</v>
      </c>
      <c r="C5" s="441">
        <f ca="1">tertiair!C16</f>
        <v>0</v>
      </c>
      <c r="D5" s="441">
        <f ca="1">tertiair!D16</f>
        <v>13428.851137155985</v>
      </c>
      <c r="E5" s="441">
        <f>tertiair!E16</f>
        <v>272.7903908794807</v>
      </c>
      <c r="F5" s="441">
        <f ca="1">tertiair!F16</f>
        <v>4605.3637916046555</v>
      </c>
      <c r="G5" s="441">
        <f>tertiair!G16</f>
        <v>0</v>
      </c>
      <c r="H5" s="441">
        <f>tertiair!H16</f>
        <v>0</v>
      </c>
      <c r="I5" s="441">
        <f>tertiair!I16</f>
        <v>0</v>
      </c>
      <c r="J5" s="441">
        <f>tertiair!J16</f>
        <v>5.8519779478189246E-2</v>
      </c>
      <c r="K5" s="441">
        <f>tertiair!K16</f>
        <v>0</v>
      </c>
      <c r="L5" s="441">
        <f ca="1">tertiair!L16</f>
        <v>0</v>
      </c>
      <c r="M5" s="441">
        <f>tertiair!M16</f>
        <v>0</v>
      </c>
      <c r="N5" s="441">
        <f ca="1">tertiair!N16</f>
        <v>2299.7745420980032</v>
      </c>
      <c r="O5" s="441">
        <f>tertiair!O16</f>
        <v>4.6900000000000004</v>
      </c>
      <c r="P5" s="442">
        <f>tertiair!P16</f>
        <v>57.2</v>
      </c>
      <c r="Q5" s="440">
        <f t="shared" ref="Q5:Q14" ca="1" si="0">SUM(B5:P5)</f>
        <v>38196.155459427806</v>
      </c>
    </row>
    <row r="6" spans="1:17">
      <c r="A6" s="440" t="s">
        <v>187</v>
      </c>
      <c r="B6" s="441">
        <f>'openbare verlichting'!B8</f>
        <v>1412.577</v>
      </c>
      <c r="C6" s="441"/>
      <c r="D6" s="441"/>
      <c r="E6" s="441"/>
      <c r="F6" s="441"/>
      <c r="G6" s="441"/>
      <c r="H6" s="441"/>
      <c r="I6" s="441"/>
      <c r="J6" s="441"/>
      <c r="K6" s="441"/>
      <c r="L6" s="441"/>
      <c r="M6" s="441"/>
      <c r="N6" s="441"/>
      <c r="O6" s="441"/>
      <c r="P6" s="442"/>
      <c r="Q6" s="440">
        <f t="shared" si="0"/>
        <v>1412.577</v>
      </c>
    </row>
    <row r="7" spans="1:17">
      <c r="A7" s="440" t="s">
        <v>105</v>
      </c>
      <c r="B7" s="441">
        <f>landbouw!B8</f>
        <v>1544.245034591318</v>
      </c>
      <c r="C7" s="441">
        <f>landbouw!C8</f>
        <v>0</v>
      </c>
      <c r="D7" s="441">
        <f>landbouw!D8</f>
        <v>126.35800800181912</v>
      </c>
      <c r="E7" s="441">
        <f>landbouw!E8</f>
        <v>50.115827714265023</v>
      </c>
      <c r="F7" s="441">
        <f>landbouw!F8</f>
        <v>5697.0195886376887</v>
      </c>
      <c r="G7" s="441">
        <f>landbouw!G8</f>
        <v>0</v>
      </c>
      <c r="H7" s="441">
        <f>landbouw!H8</f>
        <v>0</v>
      </c>
      <c r="I7" s="441">
        <f>landbouw!I8</f>
        <v>0</v>
      </c>
      <c r="J7" s="441">
        <f>landbouw!J8</f>
        <v>406.12047865092904</v>
      </c>
      <c r="K7" s="441">
        <f>landbouw!K8</f>
        <v>0</v>
      </c>
      <c r="L7" s="441">
        <f>landbouw!L8</f>
        <v>0</v>
      </c>
      <c r="M7" s="441">
        <f>landbouw!M8</f>
        <v>0</v>
      </c>
      <c r="N7" s="441">
        <f>landbouw!N8</f>
        <v>0</v>
      </c>
      <c r="O7" s="441">
        <f>landbouw!O8</f>
        <v>0</v>
      </c>
      <c r="P7" s="442">
        <f>landbouw!P8</f>
        <v>0</v>
      </c>
      <c r="Q7" s="440">
        <f t="shared" si="0"/>
        <v>7823.8589375960191</v>
      </c>
    </row>
    <row r="8" spans="1:17">
      <c r="A8" s="440" t="s">
        <v>596</v>
      </c>
      <c r="B8" s="441">
        <f>industrie!B18</f>
        <v>19878.205425949847</v>
      </c>
      <c r="C8" s="441">
        <f>industrie!C18</f>
        <v>0</v>
      </c>
      <c r="D8" s="441">
        <f>industrie!D18</f>
        <v>12766.22821492909</v>
      </c>
      <c r="E8" s="441">
        <f>industrie!E18</f>
        <v>794.27466688705192</v>
      </c>
      <c r="F8" s="441">
        <f>industrie!F18</f>
        <v>3674.2702853596929</v>
      </c>
      <c r="G8" s="441">
        <f>industrie!G18</f>
        <v>0</v>
      </c>
      <c r="H8" s="441">
        <f>industrie!H18</f>
        <v>0</v>
      </c>
      <c r="I8" s="441">
        <f>industrie!I18</f>
        <v>0</v>
      </c>
      <c r="J8" s="441">
        <f>industrie!J18</f>
        <v>49.0162622647982</v>
      </c>
      <c r="K8" s="441">
        <f>industrie!K18</f>
        <v>0</v>
      </c>
      <c r="L8" s="441">
        <f>industrie!L18</f>
        <v>0</v>
      </c>
      <c r="M8" s="441">
        <f>industrie!M18</f>
        <v>0</v>
      </c>
      <c r="N8" s="441">
        <f>industrie!N18</f>
        <v>499.27727346716625</v>
      </c>
      <c r="O8" s="441">
        <f>industrie!O18</f>
        <v>0</v>
      </c>
      <c r="P8" s="442">
        <f>industrie!P18</f>
        <v>0</v>
      </c>
      <c r="Q8" s="440">
        <f t="shared" si="0"/>
        <v>37661.27212885765</v>
      </c>
    </row>
    <row r="9" spans="1:17" s="446" customFormat="1">
      <c r="A9" s="444" t="s">
        <v>545</v>
      </c>
      <c r="B9" s="445">
        <f>transport!B14</f>
        <v>50.991977985042958</v>
      </c>
      <c r="C9" s="445">
        <f>transport!C14</f>
        <v>0</v>
      </c>
      <c r="D9" s="445">
        <f>transport!D14</f>
        <v>90.729031504180512</v>
      </c>
      <c r="E9" s="445">
        <f>transport!E14</f>
        <v>155.9092151494803</v>
      </c>
      <c r="F9" s="445">
        <f>transport!F14</f>
        <v>0</v>
      </c>
      <c r="G9" s="445">
        <f>transport!G14</f>
        <v>55108.737956684454</v>
      </c>
      <c r="H9" s="445">
        <f>transport!H14</f>
        <v>15639.231914395006</v>
      </c>
      <c r="I9" s="445">
        <f>transport!I14</f>
        <v>0</v>
      </c>
      <c r="J9" s="445">
        <f>transport!J14</f>
        <v>0</v>
      </c>
      <c r="K9" s="445">
        <f>transport!K14</f>
        <v>0</v>
      </c>
      <c r="L9" s="445">
        <f>transport!L14</f>
        <v>0</v>
      </c>
      <c r="M9" s="445">
        <f>transport!M14</f>
        <v>3680.1824441580088</v>
      </c>
      <c r="N9" s="445">
        <f>transport!N14</f>
        <v>0</v>
      </c>
      <c r="O9" s="445">
        <f>transport!O14</f>
        <v>0</v>
      </c>
      <c r="P9" s="445">
        <f>transport!P14</f>
        <v>0</v>
      </c>
      <c r="Q9" s="444">
        <f>SUM(B9:P9)</f>
        <v>74725.782539876178</v>
      </c>
    </row>
    <row r="10" spans="1:17">
      <c r="A10" s="440" t="s">
        <v>535</v>
      </c>
      <c r="B10" s="441">
        <f>transport!B54</f>
        <v>7.5089992540080202</v>
      </c>
      <c r="C10" s="441">
        <f>transport!C54</f>
        <v>0</v>
      </c>
      <c r="D10" s="441">
        <f>transport!D54</f>
        <v>0</v>
      </c>
      <c r="E10" s="441">
        <f>transport!E54</f>
        <v>0</v>
      </c>
      <c r="F10" s="441">
        <f>transport!F54</f>
        <v>0</v>
      </c>
      <c r="G10" s="441">
        <f>transport!G54</f>
        <v>705.39595940884317</v>
      </c>
      <c r="H10" s="441">
        <f>transport!H54</f>
        <v>0</v>
      </c>
      <c r="I10" s="441">
        <f>transport!I54</f>
        <v>0</v>
      </c>
      <c r="J10" s="441">
        <f>transport!J54</f>
        <v>0</v>
      </c>
      <c r="K10" s="441">
        <f>transport!K54</f>
        <v>0</v>
      </c>
      <c r="L10" s="441">
        <f>transport!L54</f>
        <v>0</v>
      </c>
      <c r="M10" s="441">
        <f>transport!M54</f>
        <v>40.621635361890483</v>
      </c>
      <c r="N10" s="441">
        <f>transport!N54</f>
        <v>0</v>
      </c>
      <c r="O10" s="441">
        <f>transport!O54</f>
        <v>0</v>
      </c>
      <c r="P10" s="442">
        <f>transport!P54</f>
        <v>0</v>
      </c>
      <c r="Q10" s="440">
        <f t="shared" si="0"/>
        <v>753.52659402474171</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944.53655246852111</v>
      </c>
      <c r="C14" s="448"/>
      <c r="D14" s="448">
        <f>'SEAP template'!E25</f>
        <v>1374.62478925809</v>
      </c>
      <c r="E14" s="448"/>
      <c r="F14" s="448"/>
      <c r="G14" s="448"/>
      <c r="H14" s="448"/>
      <c r="I14" s="448"/>
      <c r="J14" s="448"/>
      <c r="K14" s="448"/>
      <c r="L14" s="448"/>
      <c r="M14" s="448"/>
      <c r="N14" s="448"/>
      <c r="O14" s="448"/>
      <c r="P14" s="449"/>
      <c r="Q14" s="440">
        <f t="shared" si="0"/>
        <v>2319.1613417266112</v>
      </c>
    </row>
    <row r="15" spans="1:17" s="450" customFormat="1">
      <c r="A15" s="957" t="s">
        <v>539</v>
      </c>
      <c r="B15" s="905">
        <f ca="1">SUM(B4:B14)</f>
        <v>82793.689594184383</v>
      </c>
      <c r="C15" s="905">
        <f t="shared" ref="C15:Q15" ca="1" si="1">SUM(C4:C14)</f>
        <v>0</v>
      </c>
      <c r="D15" s="905">
        <f t="shared" ca="1" si="1"/>
        <v>84489.858312004697</v>
      </c>
      <c r="E15" s="905">
        <f t="shared" si="1"/>
        <v>4453.6917926318483</v>
      </c>
      <c r="F15" s="905">
        <f t="shared" ca="1" si="1"/>
        <v>87700.526326553983</v>
      </c>
      <c r="G15" s="905">
        <f t="shared" si="1"/>
        <v>55814.133916093298</v>
      </c>
      <c r="H15" s="905">
        <f t="shared" si="1"/>
        <v>15639.231914395006</v>
      </c>
      <c r="I15" s="905">
        <f t="shared" si="1"/>
        <v>0</v>
      </c>
      <c r="J15" s="905">
        <f t="shared" si="1"/>
        <v>834.07102581652396</v>
      </c>
      <c r="K15" s="905">
        <f t="shared" si="1"/>
        <v>0</v>
      </c>
      <c r="L15" s="905">
        <f t="shared" ca="1" si="1"/>
        <v>0</v>
      </c>
      <c r="M15" s="905">
        <f t="shared" si="1"/>
        <v>3720.8040795198995</v>
      </c>
      <c r="N15" s="905">
        <f t="shared" ca="1" si="1"/>
        <v>17543.243960452939</v>
      </c>
      <c r="O15" s="905">
        <f t="shared" si="1"/>
        <v>841.07333333333338</v>
      </c>
      <c r="P15" s="905">
        <f t="shared" si="1"/>
        <v>2574</v>
      </c>
      <c r="Q15" s="905">
        <f t="shared" ca="1" si="1"/>
        <v>356404.3242549859</v>
      </c>
    </row>
    <row r="17" spans="1:17">
      <c r="A17" s="451" t="s">
        <v>540</v>
      </c>
      <c r="B17" s="714">
        <f ca="1">huishoudens!B10</f>
        <v>0.18974312889409831</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7860.7158230308123</v>
      </c>
      <c r="C22" s="441">
        <f t="shared" ref="C22:C32" ca="1" si="3">C4*$C$17</f>
        <v>0</v>
      </c>
      <c r="D22" s="441">
        <f t="shared" ref="D22:D32" si="4">D4*$D$17</f>
        <v>11454.019560493423</v>
      </c>
      <c r="E22" s="441">
        <f t="shared" ref="E22:E32" si="5">E4*$E$17</f>
        <v>721.99658408435653</v>
      </c>
      <c r="F22" s="441">
        <f t="shared" ref="F22:F32" si="6">F4*$F$17</f>
        <v>19684.274000474168</v>
      </c>
      <c r="G22" s="441">
        <f t="shared" ref="G22:G32" si="7">G4*$G$17</f>
        <v>0</v>
      </c>
      <c r="H22" s="441">
        <f t="shared" ref="H22:H32" si="8">H4*$H$17</f>
        <v>0</v>
      </c>
      <c r="I22" s="441">
        <f t="shared" ref="I22:I32" si="9">I4*$I$17</f>
        <v>0</v>
      </c>
      <c r="J22" s="441">
        <f t="shared" ref="J22:J32" si="10">J4*$J$17</f>
        <v>134.12202085294672</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39855.12798893571</v>
      </c>
    </row>
    <row r="23" spans="1:17">
      <c r="A23" s="440" t="s">
        <v>149</v>
      </c>
      <c r="B23" s="441">
        <f t="shared" ca="1" si="2"/>
        <v>3325.7088552258242</v>
      </c>
      <c r="C23" s="441">
        <f t="shared" ca="1" si="3"/>
        <v>0</v>
      </c>
      <c r="D23" s="441">
        <f t="shared" ca="1" si="4"/>
        <v>2712.6279297055094</v>
      </c>
      <c r="E23" s="441">
        <f t="shared" si="5"/>
        <v>61.923418729642123</v>
      </c>
      <c r="F23" s="441">
        <f t="shared" ca="1" si="6"/>
        <v>1229.6321323584432</v>
      </c>
      <c r="G23" s="441">
        <f t="shared" si="7"/>
        <v>0</v>
      </c>
      <c r="H23" s="441">
        <f t="shared" si="8"/>
        <v>0</v>
      </c>
      <c r="I23" s="441">
        <f t="shared" si="9"/>
        <v>0</v>
      </c>
      <c r="J23" s="441">
        <f t="shared" si="10"/>
        <v>2.0716001935278991E-2</v>
      </c>
      <c r="K23" s="441">
        <f t="shared" si="11"/>
        <v>0</v>
      </c>
      <c r="L23" s="441">
        <f t="shared" ca="1" si="12"/>
        <v>0</v>
      </c>
      <c r="M23" s="441">
        <f t="shared" si="13"/>
        <v>0</v>
      </c>
      <c r="N23" s="441">
        <f t="shared" ca="1" si="14"/>
        <v>0</v>
      </c>
      <c r="O23" s="441">
        <f t="shared" si="15"/>
        <v>0</v>
      </c>
      <c r="P23" s="442">
        <f t="shared" si="16"/>
        <v>0</v>
      </c>
      <c r="Q23" s="440">
        <f t="shared" ref="Q23:Q32" ca="1" si="17">SUM(B23:P23)</f>
        <v>7329.9130520213548</v>
      </c>
    </row>
    <row r="24" spans="1:17">
      <c r="A24" s="440" t="s">
        <v>187</v>
      </c>
      <c r="B24" s="441">
        <f t="shared" ca="1" si="2"/>
        <v>268.02677978383872</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268.02677978383872</v>
      </c>
    </row>
    <row r="25" spans="1:17">
      <c r="A25" s="440" t="s">
        <v>105</v>
      </c>
      <c r="B25" s="441">
        <f t="shared" ca="1" si="2"/>
        <v>293.00988464253174</v>
      </c>
      <c r="C25" s="441">
        <f t="shared" ca="1" si="3"/>
        <v>0</v>
      </c>
      <c r="D25" s="441">
        <f t="shared" si="4"/>
        <v>25.524317616367462</v>
      </c>
      <c r="E25" s="441">
        <f t="shared" si="5"/>
        <v>11.37629289113816</v>
      </c>
      <c r="F25" s="441">
        <f t="shared" si="6"/>
        <v>1521.1042301662631</v>
      </c>
      <c r="G25" s="441">
        <f t="shared" si="7"/>
        <v>0</v>
      </c>
      <c r="H25" s="441">
        <f t="shared" si="8"/>
        <v>0</v>
      </c>
      <c r="I25" s="441">
        <f t="shared" si="9"/>
        <v>0</v>
      </c>
      <c r="J25" s="441">
        <f t="shared" si="10"/>
        <v>143.76664944242887</v>
      </c>
      <c r="K25" s="441">
        <f t="shared" si="11"/>
        <v>0</v>
      </c>
      <c r="L25" s="441">
        <f t="shared" si="12"/>
        <v>0</v>
      </c>
      <c r="M25" s="441">
        <f t="shared" si="13"/>
        <v>0</v>
      </c>
      <c r="N25" s="441">
        <f t="shared" si="14"/>
        <v>0</v>
      </c>
      <c r="O25" s="441">
        <f t="shared" si="15"/>
        <v>0</v>
      </c>
      <c r="P25" s="442">
        <f t="shared" si="16"/>
        <v>0</v>
      </c>
      <c r="Q25" s="440">
        <f t="shared" ca="1" si="17"/>
        <v>1994.7813747587293</v>
      </c>
    </row>
    <row r="26" spans="1:17">
      <c r="A26" s="440" t="s">
        <v>596</v>
      </c>
      <c r="B26" s="441">
        <f t="shared" ca="1" si="2"/>
        <v>3771.7528943193661</v>
      </c>
      <c r="C26" s="441">
        <f t="shared" ca="1" si="3"/>
        <v>0</v>
      </c>
      <c r="D26" s="441">
        <f t="shared" si="4"/>
        <v>2578.778099415676</v>
      </c>
      <c r="E26" s="441">
        <f t="shared" si="5"/>
        <v>180.30034938336078</v>
      </c>
      <c r="F26" s="441">
        <f t="shared" si="6"/>
        <v>981.03016619103812</v>
      </c>
      <c r="G26" s="441">
        <f t="shared" si="7"/>
        <v>0</v>
      </c>
      <c r="H26" s="441">
        <f t="shared" si="8"/>
        <v>0</v>
      </c>
      <c r="I26" s="441">
        <f t="shared" si="9"/>
        <v>0</v>
      </c>
      <c r="J26" s="441">
        <f t="shared" si="10"/>
        <v>17.351756841738563</v>
      </c>
      <c r="K26" s="441">
        <f t="shared" si="11"/>
        <v>0</v>
      </c>
      <c r="L26" s="441">
        <f t="shared" si="12"/>
        <v>0</v>
      </c>
      <c r="M26" s="441">
        <f t="shared" si="13"/>
        <v>0</v>
      </c>
      <c r="N26" s="441">
        <f t="shared" si="14"/>
        <v>0</v>
      </c>
      <c r="O26" s="441">
        <f t="shared" si="15"/>
        <v>0</v>
      </c>
      <c r="P26" s="442">
        <f t="shared" si="16"/>
        <v>0</v>
      </c>
      <c r="Q26" s="440">
        <f t="shared" ca="1" si="17"/>
        <v>7529.2132661511796</v>
      </c>
    </row>
    <row r="27" spans="1:17" s="446" customFormat="1">
      <c r="A27" s="444" t="s">
        <v>545</v>
      </c>
      <c r="B27" s="708">
        <f t="shared" ca="1" si="2"/>
        <v>9.6753774513810296</v>
      </c>
      <c r="C27" s="445">
        <f t="shared" ca="1" si="3"/>
        <v>0</v>
      </c>
      <c r="D27" s="445">
        <f t="shared" si="4"/>
        <v>18.327264363844463</v>
      </c>
      <c r="E27" s="445">
        <f t="shared" si="5"/>
        <v>35.39139183893203</v>
      </c>
      <c r="F27" s="445">
        <f t="shared" si="6"/>
        <v>0</v>
      </c>
      <c r="G27" s="445">
        <f t="shared" si="7"/>
        <v>14714.033034434749</v>
      </c>
      <c r="H27" s="445">
        <f t="shared" si="8"/>
        <v>3894.1687466843564</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18671.595814773264</v>
      </c>
    </row>
    <row r="28" spans="1:17">
      <c r="A28" s="440" t="s">
        <v>535</v>
      </c>
      <c r="B28" s="441">
        <f t="shared" ca="1" si="2"/>
        <v>1.4247810133189318</v>
      </c>
      <c r="C28" s="441">
        <f t="shared" ca="1" si="3"/>
        <v>0</v>
      </c>
      <c r="D28" s="441">
        <f t="shared" si="4"/>
        <v>0</v>
      </c>
      <c r="E28" s="441">
        <f t="shared" si="5"/>
        <v>0</v>
      </c>
      <c r="F28" s="441">
        <f t="shared" si="6"/>
        <v>0</v>
      </c>
      <c r="G28" s="441">
        <f t="shared" si="7"/>
        <v>188.34072116216115</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189.76550217548007</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179.21932082022184</v>
      </c>
      <c r="C32" s="441">
        <f t="shared" ca="1" si="3"/>
        <v>0</v>
      </c>
      <c r="D32" s="441">
        <f t="shared" si="4"/>
        <v>277.67420743013417</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456.89352825035598</v>
      </c>
    </row>
    <row r="33" spans="1:17" s="450" customFormat="1">
      <c r="A33" s="957" t="s">
        <v>539</v>
      </c>
      <c r="B33" s="905">
        <f ca="1">SUM(B22:B32)</f>
        <v>15709.533716287297</v>
      </c>
      <c r="C33" s="905">
        <f t="shared" ref="C33:Q33" ca="1" si="18">SUM(C22:C32)</f>
        <v>0</v>
      </c>
      <c r="D33" s="905">
        <f t="shared" ca="1" si="18"/>
        <v>17066.951379024955</v>
      </c>
      <c r="E33" s="905">
        <f t="shared" si="18"/>
        <v>1010.9880369274296</v>
      </c>
      <c r="F33" s="905">
        <f t="shared" ca="1" si="18"/>
        <v>23416.040529189911</v>
      </c>
      <c r="G33" s="905">
        <f t="shared" si="18"/>
        <v>14902.373755596911</v>
      </c>
      <c r="H33" s="905">
        <f t="shared" si="18"/>
        <v>3894.1687466843564</v>
      </c>
      <c r="I33" s="905">
        <f t="shared" si="18"/>
        <v>0</v>
      </c>
      <c r="J33" s="905">
        <f t="shared" si="18"/>
        <v>295.26114313904947</v>
      </c>
      <c r="K33" s="905">
        <f t="shared" si="18"/>
        <v>0</v>
      </c>
      <c r="L33" s="905">
        <f t="shared" ca="1" si="18"/>
        <v>0</v>
      </c>
      <c r="M33" s="905">
        <f t="shared" si="18"/>
        <v>0</v>
      </c>
      <c r="N33" s="905">
        <f t="shared" ca="1" si="18"/>
        <v>0</v>
      </c>
      <c r="O33" s="905">
        <f t="shared" si="18"/>
        <v>0</v>
      </c>
      <c r="P33" s="905">
        <f t="shared" si="18"/>
        <v>0</v>
      </c>
      <c r="Q33" s="905">
        <f t="shared" ca="1" si="18"/>
        <v>76295.317306849902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11709.826624558635</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11709.826624558635</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0.18974312889409831</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0.18974312889409831</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2022-07-26T10:32:55Z</dcterms:modified>
</cp:coreProperties>
</file>