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100D3E6-186A-42F2-8291-0834B6924B2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<sst xmlns="http://schemas.openxmlformats.org/spreadsheetml/2006/main" count="2412" uniqueCount="882">
  <si>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</si>
  <si>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</si>
  <si>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</si>
  <si>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</si>
  <si>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</si>
  <si>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</si>
  <si>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</si>
  <si>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</si>
  <si>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</si>
  <si>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</si>
  <si>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</si>
  <si>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</si>
  <si>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</si>
  <si>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</si>
  <si>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</si>
  <si>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</si>
  <si>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</si>
  <si>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</si>
  <si>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</si>
  <si>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</si>
  <si>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</si>
  <si>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</si>
  <si>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</si>
  <si>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</si>
  <si>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</si>
  <si>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</si>
  <si>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</si>
  <si>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</si>
  <si>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</si>
  <si>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</si>
  <si>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</si>
  <si>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</si>
  <si>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</si>
  <si>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</si>
  <si>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</si>
  <si>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</si>
  <si>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</si>
  <si>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</si>
  <si>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</si>
  <si>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</si>
  <si>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</si>
  <si>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</si>
  <si>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</si>
  <si>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</si>
  <si>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</si>
  <si>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</si>
  <si>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</si>
  <si>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</si>
  <si>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</si>
  <si>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</si>
  <si>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</si>
  <si>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</si>
  <si>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</si>
  <si>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</si>
  <si>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</si>
  <si>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</si>
  <si>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</si>
  <si>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</si>
  <si>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</si>
  <si>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</si>
  <si>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</si>
  <si>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</si>
  <si>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</si>
  <si>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</si>
  <si>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</si>
  <si>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</si>
  <si>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</si>
  <si>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</si>
  <si>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</si>
  <si>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</si>
  <si>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</si>
  <si>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</si>
  <si>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</si>
  <si>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</si>
  <si>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</si>
  <si>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</si>
  <si>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</si>
  <si>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</si>
  <si>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</si>
  <si>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</si>
  <si>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</si>
  <si>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</si>
  <si>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</si>
  <si>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</si>
  <si>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</si>
  <si>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</si>
  <si>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</si>
  <si>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</si>
  <si>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</si>
  <si>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</si>
  <si>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</si>
  <si>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</si>
  <si>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</si>
  <si>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</si>
  <si>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</si>
  <si>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</si>
  <si>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</si>
  <si>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</si>
  <si>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</si>
  <si>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</si>
  <si>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</si>
  <si>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</si>
  <si>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</si>
  <si>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</si>
  <si>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</si>
  <si>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</si>
  <si>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</si>
  <si>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</si>
  <si>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</si>
  <si>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</si>
  <si>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</si>
  <si>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</si>
  <si>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</si>
  <si>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</si>
  <si>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</si>
  <si>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</si>
  <si>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</si>
  <si>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</si>
  <si>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</si>
  <si>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</si>
  <si>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</si>
  <si>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</si>
  <si>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</si>
  <si>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</si>
  <si>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</si>
  <si>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</si>
  <si>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</si>
  <si>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</si>
  <si>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</si>
  <si>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</si>
  <si>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</si>
  <si>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</si>
  <si>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</si>
  <si>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</si>
  <si>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</si>
  <si>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</si>
  <si>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</si>
  <si>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</si>
  <si>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</si>
  <si>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</si>
  <si>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</si>
  <si>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</si>
  <si>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</si>
  <si>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</si>
  <si>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</si>
  <si>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</si>
  <si>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</si>
  <si>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</si>
  <si>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</si>
  <si>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</si>
  <si>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</si>
  <si>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</si>
  <si>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</si>
  <si>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</si>
  <si>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</si>
  <si>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</si>
  <si>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</si>
  <si>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</si>
  <si>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</si>
  <si>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</si>
  <si>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</si>
  <si>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</si>
  <si>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</si>
  <si>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</si>
  <si>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</si>
  <si>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</si>
  <si>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</si>
  <si>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</si>
  <si>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</si>
  <si>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</si>
  <si>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</si>
  <si>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</si>
  <si>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</si>
  <si>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</si>
  <si>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</si>
  <si>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</si>
  <si>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</si>
  <si>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</si>
  <si>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</si>
  <si>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</si>
  <si>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</si>
  <si>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</si>
  <si>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</si>
  <si>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</si>
  <si>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</si>
  <si>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</si>
  <si>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</si>
  <si>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</si>
  <si>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</si>
  <si>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</si>
  <si>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</si>
  <si>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</si>
  <si>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</si>
  <si>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</si>
  <si>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</si>
  <si>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</si>
  <si>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</si>
  <si>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</si>
  <si>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</si>
  <si>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</si>
  <si>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</si>
  <si>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</si>
  <si>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</si>
  <si>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</si>
  <si>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</si>
  <si>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</si>
  <si>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</si>
  <si>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</si>
  <si>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</si>
  <si>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</si>
  <si>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</si>
  <si>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</si>
  <si>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</si>
  <si>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</si>
  <si>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</si>
  <si>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</si>
  <si>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</si>
  <si>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</si>
  <si>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</si>
  <si>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</si>
  <si>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</si>
  <si>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</si>
  <si>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</si>
  <si>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</si>
  <si>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</si>
  <si>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</si>
  <si>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</si>
  <si>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</si>
  <si>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</si>
  <si>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</si>
  <si>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</si>
  <si>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</si>
  <si>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</si>
  <si>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</si>
  <si>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</si>
  <si>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</si>
  <si>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</si>
  <si>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</si>
  <si>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</si>
  <si>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</si>
  <si>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</si>
  <si>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</si>
  <si>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</si>
  <si>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</si>
  <si>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</si>
  <si>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</si>
  <si>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</si>
  <si>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</si>
  <si>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</si>
  <si>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</si>
  <si>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</si>
  <si>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</si>
  <si>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</si>
  <si>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</si>
  <si>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</si>
  <si>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</si>
  <si>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</si>
  <si>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</si>
  <si>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</si>
  <si>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</si>
  <si>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</si>
  <si>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</si>
  <si>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</si>
  <si>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</si>
  <si>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</si>
  <si>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</si>
  <si>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</si>
  <si>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</si>
  <si>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</si>
  <si>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</si>
  <si>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</si>
  <si>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</si>
  <si>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</si>
  <si>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</si>
  <si>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</si>
  <si>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</si>
  <si>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</si>
  <si>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</si>
  <si>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</si>
  <si>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</si>
  <si>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</si>
  <si>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</si>
  <si>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</si>
  <si>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</si>
  <si>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</si>
  <si>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</si>
  <si>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</si>
  <si>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</si>
  <si>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</si>
  <si>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</si>
  <si>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</si>
  <si>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</si>
  <si>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</si>
  <si>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</si>
  <si>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</si>
  <si>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</si>
  <si>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</si>
  <si>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</si>
  <si>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</si>
  <si>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</si>
  <si>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</si>
  <si>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</si>
  <si>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</si>
  <si>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</si>
  <si>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</si>
  <si>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</si>
  <si>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</si>
  <si>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</si>
  <si>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</si>
  <si>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</si>
  <si>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</si>
  <si>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</si>
  <si>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</si>
  <si>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</si>
  <si>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</si>
  <si>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</si>
  <si>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</si>
  <si>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</si>
  <si>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</si>
  <si>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</si>
  <si>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</si>
  <si>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</si>
  <si>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</si>
  <si>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</si>
  <si>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</si>
  <si>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</si>
  <si>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</si>
  <si>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</si>
  <si>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</si>
  <si>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</si>
  <si>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</si>
  <si>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</si>
  <si>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</si>
  <si>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</si>
  <si>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</si>
  <si>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</si>
  <si>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</si>
  <si>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</si>
  <si>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</si>
  <si>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</si>
  <si>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</si>
  <si>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</si>
  <si>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</si>
  <si>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</si>
  <si>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</si>
  <si>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</si>
  <si>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</si>
  <si>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</si>
  <si>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</si>
  <si>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</si>
  <si>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</si>
  <si>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</si>
  <si>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</si>
  <si>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</si>
  <si>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</si>
  <si>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</si>
  <si>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</si>
  <si>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</si>
  <si>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</si>
  <si>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</si>
  <si>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</si>
  <si>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</si>
  <si>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</si>
  <si>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</si>
  <si>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</si>
  <si>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</si>
  <si>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</si>
  <si>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</si>
  <si>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</si>
  <si>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</si>
  <si>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</si>
  <si>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</si>
  <si>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</si>
  <si>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</si>
  <si>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</si>
  <si>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</si>
  <si>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</si>
  <si>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</si>
  <si>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</si>
  <si>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</si>
  <si>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</si>
  <si>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</si>
  <si>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</si>
  <si>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</si>
  <si>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</si>
  <si>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</si>
  <si>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</si>
  <si>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</si>
  <si>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</si>
  <si>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</si>
  <si>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</si>
  <si>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</si>
  <si>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</si>
  <si>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</si>
  <si>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</si>
  <si>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</si>
  <si>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</si>
  <si>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</si>
  <si>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</si>
  <si>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</si>
  <si>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</si>
  <si>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</si>
  <si>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</si>
  <si>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</si>
  <si>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</si>
  <si>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</si>
  <si>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</si>
  <si>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</si>
  <si>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</si>
  <si>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</si>
  <si>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</si>
  <si>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</si>
  <si>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</si>
  <si>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</si>
  <si>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</si>
  <si>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</si>
  <si>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</si>
  <si>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</si>
  <si>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</si>
  <si>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</si>
  <si>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</si>
  <si>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</si>
  <si>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</si>
  <si>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</si>
  <si>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</si>
  <si>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</si>
  <si>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</si>
  <si>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</si>
  <si>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</si>
  <si>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</si>
  <si>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</si>
  <si>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</si>
  <si>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</si>
  <si>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</si>
  <si>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</si>
  <si>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</si>
  <si>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</si>
  <si>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</si>
  <si>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</si>
  <si>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</si>
  <si>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</si>
  <si>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</si>
  <si>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</si>
  <si>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</si>
  <si>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</si>
  <si>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</si>
  <si>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</si>
  <si>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</si>
  <si>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</si>
  <si>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</si>
  <si>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</si>
  <si>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</si>
  <si>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</si>
  <si>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</si>
  <si>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</si>
  <si>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</si>
  <si>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</si>
  <si>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</si>
  <si>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</si>
  <si>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</si>
  <si>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</si>
  <si>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</si>
  <si>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</si>
  <si>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</si>
  <si>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</si>
  <si>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</si>
  <si>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</si>
  <si>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</si>
  <si>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</si>
  <si>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</si>
  <si>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</si>
  <si>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</si>
  <si>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</si>
  <si>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</si>
  <si>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</si>
  <si>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</si>
  <si>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</si>
  <si>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</si>
  <si>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</si>
  <si>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</si>
  <si>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</si>
  <si>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</si>
  <si>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</si>
  <si>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</si>
  <si>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</si>
  <si>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</si>
  <si>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</si>
  <si>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</si>
  <si>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</si>
  <si>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</si>
  <si>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</si>
  <si>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</si>
  <si>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</si>
  <si>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</si>
  <si>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</si>
  <si>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</si>
  <si>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</si>
  <si>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</si>
  <si>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</si>
  <si>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</si>
  <si>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</si>
  <si>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</si>
  <si>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</si>
  <si>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</si>
  <si>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</si>
  <si>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</si>
  <si>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</si>
  <si>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</si>
  <si>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</si>
  <si>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</si>
  <si>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</si>
  <si>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</si>
  <si>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</si>
  <si>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</si>
  <si>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</si>
  <si>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</si>
  <si>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</si>
  <si>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</si>
  <si>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</si>
  <si>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</si>
  <si>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</si>
  <si>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</si>
  <si>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</si>
  <si>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</si>
  <si>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</si>
  <si>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</si>
  <si>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</si>
  <si>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</si>
  <si>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</si>
  <si>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</si>
  <si>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</si>
  <si>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</si>
  <si>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</si>
  <si>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</si>
  <si>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</si>
  <si>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</si>
  <si>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</si>
  <si>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</si>
  <si>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</si>
  <si>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</si>
  <si>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</si>
  <si>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</si>
  <si>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</si>
  <si>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</si>
  <si>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</si>
  <si>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</si>
  <si>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</si>
  <si>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</si>
  <si>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</si>
  <si>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</si>
  <si>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</si>
  <si>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</si>
  <si>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</si>
  <si>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</si>
  <si>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</si>
  <si>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</si>
  <si>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</si>
  <si>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</si>
  <si>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</si>
  <si>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</si>
  <si>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</si>
  <si>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</si>
  <si>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</si>
  <si>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</si>
  <si>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</si>
  <si>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</si>
  <si>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</si>
  <si>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</si>
  <si>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</si>
  <si>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</si>
  <si>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</si>
  <si>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</si>
  <si>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</si>
  <si>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</si>
  <si>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</si>
  <si>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</si>
  <si>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</si>
  <si>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</si>
  <si>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</si>
  <si>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</si>
  <si>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</si>
  <si>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</si>
  <si>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</si>
  <si>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</si>
  <si>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</si>
  <si>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</si>
  <si>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</si>
  <si>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</si>
  <si>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</si>
  <si>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</si>
  <si>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</si>
  <si>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</si>
  <si>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</si>
  <si>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</si>
  <si>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</si>
  <si>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</si>
  <si>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</si>
  <si>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</si>
  <si>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</si>
  <si>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</si>
  <si>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</si>
  <si>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</si>
  <si>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</si>
  <si>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</si>
  <si>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</si>
  <si>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</si>
  <si>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</si>
  <si>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</si>
  <si>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</si>
  <si>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</si>
  <si>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</si>
  <si>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</si>
  <si>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</si>
  <si>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</si>
  <si>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</si>
  <si>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</si>
  <si>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</si>
  <si>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</si>
  <si>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</si>
  <si>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</si>
  <si>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</si>
  <si>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</si>
  <si>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</si>
  <si>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</si>
  <si>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</si>
  <si>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</si>
  <si>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</si>
  <si>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</si>
  <si>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</si>
  <si>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</si>
  <si>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</si>
  <si>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</si>
  <si>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</si>
  <si>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</si>
  <si>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</si>
  <si>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</si>
  <si>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</si>
  <si>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</si>
  <si>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</si>
  <si>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</si>
  <si>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</si>
  <si>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</si>
  <si>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</si>
  <si>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</si>
  <si>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</si>
  <si>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</si>
  <si>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</si>
  <si>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</si>
  <si>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</si>
  <si>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</si>
  <si>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</si>
  <si>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</si>
  <si>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</si>
  <si>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</si>
  <si>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</si>
  <si>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</si>
  <si>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</si>
  <si>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</si>
  <si>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</si>
  <si>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</si>
  <si>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</si>
  <si>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</si>
  <si>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</si>
  <si>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</si>
  <si>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</si>
  <si>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</si>
  <si>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</si>
  <si>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</si>
  <si>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</si>
  <si>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</si>
  <si>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</si>
  <si>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</si>
  <si>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</si>
  <si>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</si>
  <si>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</si>
  <si>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</si>
  <si>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</si>
  <si>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</si>
  <si>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</si>
  <si>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</si>
  <si>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</si>
  <si>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</si>
  <si>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</si>
  <si>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</si>
  <si>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</si>
  <si>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</si>
  <si>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</si>
  <si>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</si>
  <si>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</si>
  <si>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</si>
  <si>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</si>
  <si>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</si>
  <si>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</si>
  <si>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</si>
  <si>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</si>
  <si>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</si>
  <si>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</si>
  <si>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</si>
  <si>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</si>
  <si>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</si>
  <si>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</si>
  <si>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</si>
  <si>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</si>
  <si>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</si>
  <si>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</si>
  <si>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</si>
  <si>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</si>
  <si>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</si>
  <si>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</si>
  <si>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</si>
  <si>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</si>
  <si>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</si>
  <si>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</si>
  <si>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</si>
  <si>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</si>
  <si>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</si>
  <si>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</si>
  <si>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</si>
  <si>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</si>
  <si>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</si>
  <si>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</si>
  <si>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</si>
  <si>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</si>
  <si>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</si>
  <si>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</si>
  <si>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</si>
  <si>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</si>
  <si>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</si>
  <si>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</si>
  <si>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</si>
  <si>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</si>
  <si>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</si>
  <si>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</si>
  <si>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</si>
  <si>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</si>
  <si>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</si>
  <si>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</si>
  <si>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</si>
  <si>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</si>
  <si>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</si>
  <si>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</si>
  <si>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</si>
  <si>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</si>
  <si>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</si>
  <si>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</si>
  <si>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</si>
  <si>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</si>
  <si>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</si>
  <si>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</si>
  <si>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</si>
  <si>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</si>
  <si>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</si>
  <si>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</si>
  <si>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</si>
  <si>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</si>
  <si>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</si>
  <si>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</si>
  <si>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</si>
  <si>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</si>
  <si>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</si>
  <si>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</si>
  <si>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</si>
  <si>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</si>
  <si>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</si>
  <si>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</si>
  <si>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</si>
  <si>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</si>
  <si>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</si>
  <si>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</si>
  <si>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</si>
  <si>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</si>
  <si>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</si>
  <si>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</si>
  <si>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</si>
  <si>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</si>
  <si>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</si>
  <si>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</si>
  <si>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</si>
  <si>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</si>
  <si>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</si>
  <si>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</si>
  <si>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</si>
  <si>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</si>
  <si>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</si>
  <si>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</si>
  <si>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</si>
  <si>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</si>
  <si>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</si>
  <si>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</si>
  <si>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</si>
  <si>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</si>
  <si>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</si>
  <si>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</si>
  <si>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</si>
  <si>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</si>
  <si>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</si>
  <si>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</si>
  <si>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</si>
  <si>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</si>
  <si>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</si>
  <si>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</si>
  <si>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</si>
  <si>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</si>
  <si>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</si>
  <si>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</si>
  <si>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</si>
  <si>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</si>
  <si>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</si>
  <si>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</si>
  <si>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</si>
  <si>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</si>
  <si>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</si>
  <si>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</si>
  <si>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</si>
  <si>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</si>
  <si>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</si>
  <si>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</si>
  <si>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</si>
  <si>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</si>
  <si>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</si>
  <si>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</si>
  <si>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</si>
  <si>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</si>
  <si>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</si>
  <si>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</si>
  <si>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</si>
  <si>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</si>
  <si>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</si>
  <si>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</si>
  <si>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</si>
  <si>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</si>
  <si>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</si>
  <si>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</si>
  <si>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</si>
  <si>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</si>
  <si>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</si>
  <si>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</si>
  <si>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</si>
  <si>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</si>
  <si>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</si>
  <si>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</si>
  <si>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</si>
  <si>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</si>
  <si>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</si>
  <si>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</si>
  <si>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</si>
  <si>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</si>
  <si>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</si>
  <si>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</si>
  <si>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</si>
  <si>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</si>
  <si>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</si>
  <si>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</si>
  <si>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</si>
  <si>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</si>
  <si>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</si>
  <si>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</si>
  <si>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</si>
  <si>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</si>
  <si>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</si>
  <si>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</si>
  <si>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</si>
  <si>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</si>
  <si>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</si>
  <si>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</si>
  <si>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</si>
  <si>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</si>
  <si>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</si>
  <si>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</si>
  <si>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</si>
  <si>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</si>
  <si>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</si>
  <si>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</si>
  <si>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</si>
  <si>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</si>
  <si>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11052</t>
  </si>
  <si>
    <t>WOMMELGEM</t>
  </si>
  <si>
    <t>vloeibaar gas (MWh)</t>
  </si>
  <si>
    <t>interne verbrandingsmotor</t>
  </si>
  <si>
    <t>WKK interne verbrandinsgmotor (gas)</t>
  </si>
  <si>
    <t>IVEKA</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</si>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</sst>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210F1B3-D5F6-4887-B28E-FA31982563F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108029.37865990402</c:v>
                </c:pt>
                <c:pt idx="1">
                  <c:v>75236.580276977184</c:v>
                </c:pt>
                <c:pt idx="2">
                  <c:v>885.28700000000003</c:v>
                </c:pt>
                <c:pt idx="3">
                  <c:v>11876.793024869216</c:v>
                </c:pt>
                <c:pt idx="4">
                  <c:v>102500.21111193602</c:v>
                </c:pt>
                <c:pt idx="5">
                  <c:v>259444.53178266381</c:v>
                </c:pt>
                <c:pt idx="6">
                  <c:v>2345.7090325611698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108029.37865990402</c:v>
                </c:pt>
                <c:pt idx="1">
                  <c:v>75236.580276977184</c:v>
                </c:pt>
                <c:pt idx="2">
                  <c:v>885.28700000000003</c:v>
                </c:pt>
                <c:pt idx="3">
                  <c:v>11876.793024869216</c:v>
                </c:pt>
                <c:pt idx="4">
                  <c:v>102500.21111193602</c:v>
                </c:pt>
                <c:pt idx="5">
                  <c:v>259444.53178266381</c:v>
                </c:pt>
                <c:pt idx="6">
                  <c:v>2345.7090325611698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21652.807532316907</c:v>
                </c:pt>
                <c:pt idx="2">
                  <c:v>15551.793638471772</c:v>
                </c:pt>
                <c:pt idx="3">
                  <c:v>189.32184640000617</c:v>
                </c:pt>
                <c:pt idx="4">
                  <c:v>2862.6642780635393</c:v>
                </c:pt>
                <c:pt idx="5">
                  <c:v>22341.153056620082</c:v>
                </c:pt>
                <c:pt idx="6">
                  <c:v>65065.443874920951</c:v>
                </c:pt>
                <c:pt idx="7">
                  <c:v>591.29875020538202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21652.807532316907</c:v>
                </c:pt>
                <c:pt idx="2">
                  <c:v>15551.793638471772</c:v>
                </c:pt>
                <c:pt idx="3">
                  <c:v>189.32184640000617</c:v>
                </c:pt>
                <c:pt idx="4">
                  <c:v>2862.6642780635393</c:v>
                </c:pt>
                <c:pt idx="5">
                  <c:v>22341.153056620082</c:v>
                </c:pt>
                <c:pt idx="6">
                  <c:v>65065.443874920951</c:v>
                </c:pt>
                <c:pt idx="7">
                  <c:v>591.29875020538202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11052</v>
      </c>
      <c r="B6" s="380"/>
      <c r="C6" s="381"/>
    </row>
    <row r="7" spans="1:7" s="378" customFormat="1" ht="15.75" customHeight="1">
      <c r="A7" s="382" t="str">
        <f>txtMunicipality</f>
        <v>WOMMELGEM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0.21385363887643913</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0.21385363887643913</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358.86</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20</v>
      </c>
      <c r="C17" s="322"/>
      <c r="D17" s="322"/>
      <c r="E17" s="322"/>
      <c r="F17" s="322"/>
    </row>
    <row r="18" spans="1:6">
      <c r="A18" s="1248" t="s">
        <v>8</v>
      </c>
      <c r="B18" s="1249">
        <v>18</v>
      </c>
      <c r="C18" s="322"/>
      <c r="D18" s="322"/>
      <c r="E18" s="322"/>
      <c r="F18" s="322"/>
    </row>
    <row r="19" spans="1:6">
      <c r="A19" s="1248" t="s">
        <v>9</v>
      </c>
      <c r="B19" s="1249">
        <v>11</v>
      </c>
      <c r="C19" s="322"/>
      <c r="D19" s="322"/>
      <c r="E19" s="322"/>
      <c r="F19" s="322"/>
    </row>
    <row r="20" spans="1:6">
      <c r="A20" s="1248" t="s">
        <v>10</v>
      </c>
      <c r="B20" s="1249">
        <v>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61</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41</v>
      </c>
      <c r="C29" s="322"/>
      <c r="D29" s="322"/>
      <c r="E29" s="322"/>
      <c r="F29" s="322"/>
    </row>
    <row r="30" spans="1:6">
      <c r="A30" s="1243" t="s">
        <v>692</v>
      </c>
      <c r="B30" s="1251">
        <v>29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11677.029994229601</v>
      </c>
      <c r="E38" s="1249">
        <v>5</v>
      </c>
      <c r="F38" s="1249">
        <v>44855.724662504501</v>
      </c>
    </row>
    <row r="39" spans="1:6">
      <c r="A39" s="1248" t="s">
        <v>29</v>
      </c>
      <c r="B39" s="1248" t="s">
        <v>30</v>
      </c>
      <c r="C39" s="1249">
        <v>4227</v>
      </c>
      <c r="D39" s="1249">
        <v>70645262.887604803</v>
      </c>
      <c r="E39" s="1249">
        <v>5169</v>
      </c>
      <c r="F39" s="1249">
        <v>18907594.360874701</v>
      </c>
    </row>
    <row r="40" spans="1:6">
      <c r="A40" s="1248" t="s">
        <v>29</v>
      </c>
      <c r="B40" s="1248" t="s">
        <v>28</v>
      </c>
      <c r="C40" s="1249">
        <v>0</v>
      </c>
      <c r="D40" s="1249">
        <v>0</v>
      </c>
      <c r="E40" s="1249">
        <v>0</v>
      </c>
      <c r="F40" s="1249">
        <v>0</v>
      </c>
    </row>
    <row r="41" spans="1:6">
      <c r="A41" s="1248" t="s">
        <v>31</v>
      </c>
      <c r="B41" s="1248" t="s">
        <v>32</v>
      </c>
      <c r="C41" s="1249">
        <v>70</v>
      </c>
      <c r="D41" s="1249">
        <v>2138254.3332390902</v>
      </c>
      <c r="E41" s="1249">
        <v>133</v>
      </c>
      <c r="F41" s="1249">
        <v>1478847.6556293999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13</v>
      </c>
      <c r="D44" s="1249">
        <v>555097.23454167298</v>
      </c>
      <c r="E44" s="1249">
        <v>27</v>
      </c>
      <c r="F44" s="1249">
        <v>542435.49682837096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3459767.1593540302</v>
      </c>
      <c r="E47" s="1249">
        <v>7</v>
      </c>
      <c r="F47" s="1249">
        <v>3474763.3888900601</v>
      </c>
    </row>
    <row r="48" spans="1:6">
      <c r="A48" s="1248" t="s">
        <v>31</v>
      </c>
      <c r="B48" s="1248" t="s">
        <v>28</v>
      </c>
      <c r="C48" s="1249">
        <v>24</v>
      </c>
      <c r="D48" s="1249">
        <v>58572599.537594303</v>
      </c>
      <c r="E48" s="1249">
        <v>42</v>
      </c>
      <c r="F48" s="1249">
        <v>5438415.58645037</v>
      </c>
    </row>
    <row r="49" spans="1:6">
      <c r="A49" s="1248" t="s">
        <v>31</v>
      </c>
      <c r="B49" s="1248" t="s">
        <v>39</v>
      </c>
      <c r="C49" s="1249">
        <v>0</v>
      </c>
      <c r="D49" s="1249">
        <v>0</v>
      </c>
      <c r="E49" s="1249">
        <v>0</v>
      </c>
      <c r="F49" s="1249">
        <v>0</v>
      </c>
    </row>
    <row r="50" spans="1:6">
      <c r="A50" s="1248" t="s">
        <v>31</v>
      </c>
      <c r="B50" s="1248" t="s">
        <v>40</v>
      </c>
      <c r="C50" s="1249">
        <v>9</v>
      </c>
      <c r="D50" s="1249">
        <v>20763180.582145799</v>
      </c>
      <c r="E50" s="1249">
        <v>10</v>
      </c>
      <c r="F50" s="1249">
        <v>18351926.780587502</v>
      </c>
    </row>
    <row r="51" spans="1:6">
      <c r="A51" s="1248" t="s">
        <v>41</v>
      </c>
      <c r="B51" s="1248" t="s">
        <v>42</v>
      </c>
      <c r="C51" s="1249">
        <v>0</v>
      </c>
      <c r="D51" s="1249">
        <v>0</v>
      </c>
      <c r="E51" s="1249">
        <v>10</v>
      </c>
      <c r="F51" s="1249">
        <v>317311.17497094302</v>
      </c>
    </row>
    <row r="52" spans="1:6">
      <c r="A52" s="1248" t="s">
        <v>41</v>
      </c>
      <c r="B52" s="1248" t="s">
        <v>28</v>
      </c>
      <c r="C52" s="1249">
        <v>6</v>
      </c>
      <c r="D52" s="1249">
        <v>13425887.184691699</v>
      </c>
      <c r="E52" s="1249">
        <v>6</v>
      </c>
      <c r="F52" s="1249">
        <v>32837.583103970799</v>
      </c>
    </row>
    <row r="53" spans="1:6">
      <c r="A53" s="1248" t="s">
        <v>43</v>
      </c>
      <c r="B53" s="1248" t="s">
        <v>44</v>
      </c>
      <c r="C53" s="1249">
        <v>117</v>
      </c>
      <c r="D53" s="1249">
        <v>1920832.46030544</v>
      </c>
      <c r="E53" s="1249">
        <v>252</v>
      </c>
      <c r="F53" s="1249">
        <v>705208.21434913797</v>
      </c>
    </row>
    <row r="54" spans="1:6">
      <c r="A54" s="1248" t="s">
        <v>45</v>
      </c>
      <c r="B54" s="1248" t="s">
        <v>46</v>
      </c>
      <c r="C54" s="1249">
        <v>0</v>
      </c>
      <c r="D54" s="1249">
        <v>0</v>
      </c>
      <c r="E54" s="1249">
        <v>1</v>
      </c>
      <c r="F54" s="1249">
        <v>885287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30</v>
      </c>
      <c r="D57" s="1249">
        <v>978082.64946347696</v>
      </c>
      <c r="E57" s="1249">
        <v>62</v>
      </c>
      <c r="F57" s="1249">
        <v>2650772.1519924798</v>
      </c>
    </row>
    <row r="58" spans="1:6">
      <c r="A58" s="1248" t="s">
        <v>48</v>
      </c>
      <c r="B58" s="1248" t="s">
        <v>50</v>
      </c>
      <c r="C58" s="1249">
        <v>10</v>
      </c>
      <c r="D58" s="1249">
        <v>196536.21122939099</v>
      </c>
      <c r="E58" s="1249">
        <v>18</v>
      </c>
      <c r="F58" s="1249">
        <v>115904.21435315099</v>
      </c>
    </row>
    <row r="59" spans="1:6">
      <c r="A59" s="1248" t="s">
        <v>48</v>
      </c>
      <c r="B59" s="1248" t="s">
        <v>51</v>
      </c>
      <c r="C59" s="1249">
        <v>156</v>
      </c>
      <c r="D59" s="1249">
        <v>9525618.7757149301</v>
      </c>
      <c r="E59" s="1249">
        <v>271</v>
      </c>
      <c r="F59" s="1249">
        <v>13223039.133308301</v>
      </c>
    </row>
    <row r="60" spans="1:6">
      <c r="A60" s="1248" t="s">
        <v>48</v>
      </c>
      <c r="B60" s="1248" t="s">
        <v>52</v>
      </c>
      <c r="C60" s="1249">
        <v>40</v>
      </c>
      <c r="D60" s="1249">
        <v>1853479.05584449</v>
      </c>
      <c r="E60" s="1249">
        <v>50</v>
      </c>
      <c r="F60" s="1249">
        <v>1037938.3472999</v>
      </c>
    </row>
    <row r="61" spans="1:6">
      <c r="A61" s="1248" t="s">
        <v>48</v>
      </c>
      <c r="B61" s="1248" t="s">
        <v>53</v>
      </c>
      <c r="C61" s="1249">
        <v>134</v>
      </c>
      <c r="D61" s="1249">
        <v>9333132.2325284407</v>
      </c>
      <c r="E61" s="1249">
        <v>262</v>
      </c>
      <c r="F61" s="1249">
        <v>6093196.8572408799</v>
      </c>
    </row>
    <row r="62" spans="1:6">
      <c r="A62" s="1248" t="s">
        <v>48</v>
      </c>
      <c r="B62" s="1248" t="s">
        <v>54</v>
      </c>
      <c r="C62" s="1249">
        <v>3</v>
      </c>
      <c r="D62" s="1249">
        <v>904599.24493964994</v>
      </c>
      <c r="E62" s="1249">
        <v>3</v>
      </c>
      <c r="F62" s="1249">
        <v>116678.783491348</v>
      </c>
    </row>
    <row r="63" spans="1:6">
      <c r="A63" s="1248" t="s">
        <v>48</v>
      </c>
      <c r="B63" s="1248" t="s">
        <v>28</v>
      </c>
      <c r="C63" s="1249">
        <v>109</v>
      </c>
      <c r="D63" s="1249">
        <v>18681717.656801399</v>
      </c>
      <c r="E63" s="1249">
        <v>106</v>
      </c>
      <c r="F63" s="1249">
        <v>6982720.4542175801</v>
      </c>
    </row>
    <row r="64" spans="1:6">
      <c r="A64" s="1248" t="s">
        <v>55</v>
      </c>
      <c r="B64" s="1248" t="s">
        <v>56</v>
      </c>
      <c r="C64" s="1249">
        <v>0</v>
      </c>
      <c r="D64" s="1249">
        <v>0</v>
      </c>
      <c r="E64" s="1249">
        <v>0</v>
      </c>
      <c r="F64" s="1249">
        <v>0</v>
      </c>
    </row>
    <row r="65" spans="1:6">
      <c r="A65" s="1248" t="s">
        <v>55</v>
      </c>
      <c r="B65" s="1248" t="s">
        <v>28</v>
      </c>
      <c r="C65" s="1249">
        <v>1</v>
      </c>
      <c r="D65" s="1249">
        <v>44902.109434717597</v>
      </c>
      <c r="E65" s="1249">
        <v>2</v>
      </c>
      <c r="F65" s="1249">
        <v>1348</v>
      </c>
    </row>
    <row r="66" spans="1:6">
      <c r="A66" s="1248" t="s">
        <v>55</v>
      </c>
      <c r="B66" s="1248" t="s">
        <v>57</v>
      </c>
      <c r="C66" s="1249">
        <v>0</v>
      </c>
      <c r="D66" s="1249">
        <v>0</v>
      </c>
      <c r="E66" s="1249">
        <v>12</v>
      </c>
      <c r="F66" s="1249">
        <v>372969.60955492902</v>
      </c>
    </row>
    <row r="67" spans="1:6">
      <c r="A67" s="1248" t="s">
        <v>55</v>
      </c>
      <c r="B67" s="1248" t="s">
        <v>58</v>
      </c>
      <c r="C67" s="1249">
        <v>12</v>
      </c>
      <c r="D67" s="1249">
        <v>2289518.8796065301</v>
      </c>
      <c r="E67" s="1249">
        <v>41</v>
      </c>
      <c r="F67" s="1249">
        <v>802822.97889564501</v>
      </c>
    </row>
    <row r="68" spans="1:6">
      <c r="A68" s="1243" t="s">
        <v>55</v>
      </c>
      <c r="B68" s="1243" t="s">
        <v>59</v>
      </c>
      <c r="C68" s="1251">
        <v>6</v>
      </c>
      <c r="D68" s="1251">
        <v>633135.95895953802</v>
      </c>
      <c r="E68" s="1251">
        <v>19</v>
      </c>
      <c r="F68" s="1251">
        <v>343623.49535865901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34052602</v>
      </c>
      <c r="E73" s="439"/>
      <c r="F73" s="322"/>
    </row>
    <row r="74" spans="1:6">
      <c r="A74" s="1248" t="s">
        <v>63</v>
      </c>
      <c r="B74" s="1248" t="s">
        <v>617</v>
      </c>
      <c r="C74" s="1261" t="s">
        <v>619</v>
      </c>
      <c r="D74" s="1249">
        <v>3383264.5</v>
      </c>
      <c r="E74" s="439"/>
      <c r="F74" s="322"/>
    </row>
    <row r="75" spans="1:6">
      <c r="A75" s="1248" t="s">
        <v>64</v>
      </c>
      <c r="B75" s="1248" t="s">
        <v>616</v>
      </c>
      <c r="C75" s="1261" t="s">
        <v>620</v>
      </c>
      <c r="D75" s="1249">
        <v>11060121</v>
      </c>
      <c r="E75" s="439"/>
      <c r="F75" s="322"/>
    </row>
    <row r="76" spans="1:6">
      <c r="A76" s="1248" t="s">
        <v>64</v>
      </c>
      <c r="B76" s="1248" t="s">
        <v>617</v>
      </c>
      <c r="C76" s="1261" t="s">
        <v>621</v>
      </c>
      <c r="D76" s="1249">
        <v>1172902.5</v>
      </c>
      <c r="E76" s="439"/>
      <c r="F76" s="322"/>
    </row>
    <row r="77" spans="1:6">
      <c r="A77" s="1248" t="s">
        <v>65</v>
      </c>
      <c r="B77" s="1248" t="s">
        <v>616</v>
      </c>
      <c r="C77" s="1261" t="s">
        <v>622</v>
      </c>
      <c r="D77" s="1249">
        <v>174022821</v>
      </c>
      <c r="E77" s="439"/>
      <c r="F77" s="322"/>
    </row>
    <row r="78" spans="1:6">
      <c r="A78" s="1243" t="s">
        <v>65</v>
      </c>
      <c r="B78" s="1243" t="s">
        <v>617</v>
      </c>
      <c r="C78" s="1243" t="s">
        <v>623</v>
      </c>
      <c r="D78" s="1251">
        <v>37435933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638001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2313.8764390801402</v>
      </c>
      <c r="C91" s="322"/>
      <c r="D91" s="322"/>
      <c r="E91" s="322"/>
      <c r="F91" s="322"/>
    </row>
    <row r="92" spans="1:6">
      <c r="A92" s="1243" t="s">
        <v>68</v>
      </c>
      <c r="B92" s="1244">
        <v>2932.4246857976223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3049</v>
      </c>
      <c r="C97" s="322"/>
      <c r="D97" s="322"/>
      <c r="E97" s="322"/>
      <c r="F97" s="322"/>
    </row>
    <row r="98" spans="1:6">
      <c r="A98" s="1248" t="s">
        <v>71</v>
      </c>
      <c r="B98" s="1249">
        <v>2</v>
      </c>
      <c r="C98" s="322"/>
      <c r="D98" s="322"/>
      <c r="E98" s="322"/>
      <c r="F98" s="322"/>
    </row>
    <row r="99" spans="1:6">
      <c r="A99" s="1248" t="s">
        <v>72</v>
      </c>
      <c r="B99" s="1249">
        <v>32</v>
      </c>
      <c r="C99" s="322"/>
      <c r="D99" s="322"/>
      <c r="E99" s="322"/>
      <c r="F99" s="322"/>
    </row>
    <row r="100" spans="1:6">
      <c r="A100" s="1248" t="s">
        <v>73</v>
      </c>
      <c r="B100" s="1249">
        <v>376</v>
      </c>
      <c r="C100" s="322"/>
      <c r="D100" s="322"/>
      <c r="E100" s="322"/>
      <c r="F100" s="322"/>
    </row>
    <row r="101" spans="1:6">
      <c r="A101" s="1248" t="s">
        <v>74</v>
      </c>
      <c r="B101" s="1249">
        <v>46</v>
      </c>
      <c r="C101" s="322"/>
      <c r="D101" s="322"/>
      <c r="E101" s="322"/>
      <c r="F101" s="322"/>
    </row>
    <row r="102" spans="1:6">
      <c r="A102" s="1248" t="s">
        <v>75</v>
      </c>
      <c r="B102" s="1249">
        <v>41</v>
      </c>
      <c r="C102" s="322"/>
      <c r="D102" s="322"/>
      <c r="E102" s="322"/>
      <c r="F102" s="322"/>
    </row>
    <row r="103" spans="1:6">
      <c r="A103" s="1248" t="s">
        <v>76</v>
      </c>
      <c r="B103" s="1249">
        <v>57</v>
      </c>
      <c r="C103" s="322"/>
      <c r="D103" s="322"/>
      <c r="E103" s="322"/>
      <c r="F103" s="322"/>
    </row>
    <row r="104" spans="1:6">
      <c r="A104" s="1248" t="s">
        <v>77</v>
      </c>
      <c r="B104" s="1249">
        <v>856</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13</v>
      </c>
      <c r="C123" s="1249">
        <v>20</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102</v>
      </c>
      <c r="C129" s="322"/>
      <c r="D129" s="322"/>
      <c r="E129" s="322"/>
      <c r="F129" s="322"/>
    </row>
    <row r="130" spans="1:6">
      <c r="A130" s="1248" t="s">
        <v>283</v>
      </c>
      <c r="B130" s="1249">
        <v>2</v>
      </c>
      <c r="C130" s="322"/>
      <c r="D130" s="322"/>
      <c r="E130" s="322"/>
      <c r="F130" s="322"/>
    </row>
    <row r="131" spans="1:6">
      <c r="A131" s="1248" t="s">
        <v>284</v>
      </c>
      <c r="B131" s="1249">
        <v>2</v>
      </c>
      <c r="C131" s="322"/>
      <c r="D131" s="322"/>
      <c r="E131" s="322"/>
      <c r="F131" s="322"/>
    </row>
    <row r="132" spans="1:6">
      <c r="A132" s="1243" t="s">
        <v>285</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101714.98565748768</v>
      </c>
      <c r="C3" s="43" t="s">
        <v>163</v>
      </c>
      <c r="D3" s="43"/>
      <c r="E3" s="153"/>
      <c r="F3" s="43"/>
      <c r="G3" s="43"/>
      <c r="H3" s="43"/>
      <c r="I3" s="43"/>
      <c r="J3" s="43"/>
      <c r="K3" s="96"/>
    </row>
    <row r="4" spans="1:11">
      <c r="A4" s="348" t="s">
        <v>164</v>
      </c>
      <c r="B4" s="49">
        <f>IF(ISERROR('SEAP template'!B78+'SEAP template'!C78),0,'SEAP template'!B78+'SEAP template'!C78)</f>
        <v>31229.301124877762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6174.783529411764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0.21385363887643913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8821.119327731094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37118.571428571428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885.28700000000003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885.28700000000003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0.21385363887643913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189.32184640000617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18907.5943608747</v>
      </c>
      <c r="C5" s="17">
        <f>IF(ISERROR('Eigen informatie GS &amp; warmtenet'!B57),0,'Eigen informatie GS &amp; warmtenet'!B57)</f>
        <v>0</v>
      </c>
      <c r="D5" s="30">
        <f>(SUM(HH_hh_gas_kWh,HH_rest_gas_kWh)/1000)*0.902</f>
        <v>63722.027124619526</v>
      </c>
      <c r="E5" s="17">
        <f>B32*B41</f>
        <v>656.96120878748548</v>
      </c>
      <c r="F5" s="17">
        <f>B36*B45</f>
        <v>15227.849693230221</v>
      </c>
      <c r="G5" s="18"/>
      <c r="H5" s="17"/>
      <c r="I5" s="17"/>
      <c r="J5" s="17">
        <f>B35*B44+C35*C44</f>
        <v>78.257733830779173</v>
      </c>
      <c r="K5" s="17"/>
      <c r="L5" s="17"/>
      <c r="M5" s="17"/>
      <c r="N5" s="17">
        <f>B34*B43+C34*C43</f>
        <v>6511.0554328145272</v>
      </c>
      <c r="O5" s="17">
        <f>B52*B53*B54</f>
        <v>192.29000000000002</v>
      </c>
      <c r="P5" s="17">
        <f>B60*B61*B62/1000-B60*B61*B62/1000/B63</f>
        <v>419.4666666666667</v>
      </c>
    </row>
    <row r="6" spans="1:16">
      <c r="A6" s="16" t="s">
        <v>582</v>
      </c>
      <c r="B6" s="716">
        <f>kWh_PV_kleiner_dan_10kW</f>
        <v>2313.8764390801402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21221.470799954841</v>
      </c>
      <c r="C8" s="21">
        <f>C5</f>
        <v>0</v>
      </c>
      <c r="D8" s="21">
        <f>D5</f>
        <v>63722.027124619526</v>
      </c>
      <c r="E8" s="21">
        <f>E5</f>
        <v>656.96120878748548</v>
      </c>
      <c r="F8" s="21">
        <f>F5</f>
        <v>15227.849693230221</v>
      </c>
      <c r="G8" s="21"/>
      <c r="H8" s="21"/>
      <c r="I8" s="21"/>
      <c r="J8" s="21">
        <f>J5</f>
        <v>78.257733830779173</v>
      </c>
      <c r="K8" s="21"/>
      <c r="L8" s="21">
        <f>L5</f>
        <v>0</v>
      </c>
      <c r="M8" s="21">
        <f>M5</f>
        <v>0</v>
      </c>
      <c r="N8" s="21">
        <f>N5</f>
        <v>6511.0554328145272</v>
      </c>
      <c r="O8" s="21">
        <f>O5</f>
        <v>192.29000000000002</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0.21385363887643913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4538.2887528804404</v>
      </c>
      <c r="C12" s="23">
        <f ca="1">C10*C8</f>
        <v>0</v>
      </c>
      <c r="D12" s="23">
        <f>D8*D10</f>
        <v>12871.849479173145</v>
      </c>
      <c r="E12" s="23">
        <f>E10*E8</f>
        <v>149.1301943947592</v>
      </c>
      <c r="F12" s="23">
        <f>F10*F8</f>
        <v>4065.8358680924689</v>
      </c>
      <c r="G12" s="23"/>
      <c r="H12" s="23"/>
      <c r="I12" s="23"/>
      <c r="J12" s="23">
        <f>J10*J8</f>
        <v>27.703237776095825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5140</v>
      </c>
      <c r="C26" s="36"/>
      <c r="D26" s="224"/>
    </row>
    <row r="27" spans="1:5" s="15" customFormat="1">
      <c r="A27" s="226" t="s">
        <v>736</v>
      </c>
      <c r="B27" s="37">
        <f>SUM(HH_hh_gas_aantal,HH_rest_gas_aantal)</f>
        <v>4227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4015.65</v>
      </c>
      <c r="C31" s="34" t="s">
        <v>104</v>
      </c>
      <c r="D31" s="170"/>
    </row>
    <row r="32" spans="1:5">
      <c r="A32" s="167" t="s">
        <v>72</v>
      </c>
      <c r="B32" s="33">
        <f>IF((B21*($B$26-($B$27-0.05*$B$27)-$B$60))&lt;0,0,B21*($B$26-($B$27-0.05*$B$27)-$B$60))</f>
        <v>12.13999650555971</v>
      </c>
      <c r="C32" s="34" t="s">
        <v>104</v>
      </c>
      <c r="D32" s="170"/>
    </row>
    <row r="33" spans="1:6">
      <c r="A33" s="167" t="s">
        <v>73</v>
      </c>
      <c r="B33" s="33">
        <f>IF((B22*($B$26-($B$27-0.05*$B$27)-$B$60))&lt;0,0,B22*($B$26-($B$27-0.05*$B$27)-$B$60))</f>
        <v>252.40072214675237</v>
      </c>
      <c r="C33" s="34" t="s">
        <v>104</v>
      </c>
      <c r="D33" s="170"/>
    </row>
    <row r="34" spans="1:6">
      <c r="A34" s="167" t="s">
        <v>74</v>
      </c>
      <c r="B34" s="33">
        <f>IF((B24*($B$26-($B$27-0.05*$B$27)-$B$60))&lt;0,0,B24*($B$26-($B$27-0.05*$B$27)-$B$60))</f>
        <v>98.511136562710746</v>
      </c>
      <c r="C34" s="33">
        <f>B26*C24</f>
        <v>910.42064321177611</v>
      </c>
      <c r="D34" s="229"/>
    </row>
    <row r="35" spans="1:6">
      <c r="A35" s="167" t="s">
        <v>76</v>
      </c>
      <c r="B35" s="33">
        <f>IF((B19*($B$26-($B$27-0.05*$B$27)-$B$60))&lt;0,0,B19*($B$26-($B$27-0.05*$B$27)-$B$60))</f>
        <v>9.1886682906608321</v>
      </c>
      <c r="C35" s="33">
        <f>B35/2</f>
        <v>4.5943341453304161</v>
      </c>
      <c r="D35" s="229"/>
    </row>
    <row r="36" spans="1:6">
      <c r="A36" s="167" t="s">
        <v>77</v>
      </c>
      <c r="B36" s="33">
        <f>IF((B18*($B$26-($B$27-0.05*$B$27)-$B$60))&lt;0,0,B18*($B$26-($B$27-0.05*$B$27)-$B$60))</f>
        <v>730.10947649431625</v>
      </c>
      <c r="C36" s="34" t="s">
        <v>104</v>
      </c>
      <c r="D36" s="170"/>
    </row>
    <row r="37" spans="1:6">
      <c r="A37" s="167" t="s">
        <v>78</v>
      </c>
      <c r="B37" s="33">
        <f>B60</f>
        <v>22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30220.249941903639</v>
      </c>
      <c r="C5" s="17">
        <f>IF(ISERROR('Eigen informatie GS &amp; warmtenet'!B58),0,'Eigen informatie GS &amp; warmtenet'!B58)</f>
        <v>0</v>
      </c>
      <c r="D5" s="30">
        <f>SUM(D6:D12)</f>
        <v>37408.795575522643</v>
      </c>
      <c r="E5" s="17">
        <f>SUM(E6:E12)</f>
        <v>515.9274121431788</v>
      </c>
      <c r="F5" s="17">
        <f>SUM(F6:F12)</f>
        <v>5301.0324241742837</v>
      </c>
      <c r="G5" s="18"/>
      <c r="H5" s="17"/>
      <c r="I5" s="17"/>
      <c r="J5" s="17">
        <f>SUM(J6:J12)</f>
        <v>4.3318004440769234E-2</v>
      </c>
      <c r="K5" s="17"/>
      <c r="L5" s="17"/>
      <c r="M5" s="17"/>
      <c r="N5" s="17">
        <f>SUM(N6:N12)</f>
        <v>1730.2049385623513</v>
      </c>
      <c r="O5" s="17">
        <f>B38*B39*B40</f>
        <v>3.1266666666666669</v>
      </c>
      <c r="P5" s="17">
        <f>B46*B47*B48/1000-B46*B47*B48/1000/B49</f>
        <v>57.2</v>
      </c>
      <c r="R5" s="32"/>
    </row>
    <row r="6" spans="1:18">
      <c r="A6" s="32" t="s">
        <v>53</v>
      </c>
      <c r="B6" s="37">
        <f>B26</f>
        <v>6093.1968572408796</v>
      </c>
      <c r="C6" s="33"/>
      <c r="D6" s="37">
        <f>IF(ISERROR(TER_kantoor_gas_kWh/1000),0,TER_kantoor_gas_kWh/1000)*0.902</f>
        <v>8418.4852737406527</v>
      </c>
      <c r="E6" s="33">
        <f>$C$26*'E Balans VL '!I12/100/3.6*1000000</f>
        <v>-5.0033077474219347E-4</v>
      </c>
      <c r="F6" s="33">
        <f>$C$26*('E Balans VL '!L12+'E Balans VL '!N12)/100/3.6*1000000</f>
        <v>772.1992494558184</v>
      </c>
      <c r="G6" s="34"/>
      <c r="H6" s="33"/>
      <c r="I6" s="33"/>
      <c r="J6" s="33">
        <f>$C$26*('E Balans VL '!D12+'E Balans VL '!E12)/100/3.6*1000000</f>
        <v>0</v>
      </c>
      <c r="K6" s="33"/>
      <c r="L6" s="33"/>
      <c r="M6" s="33"/>
      <c r="N6" s="33">
        <f>$C$26*'E Balans VL '!Y12/100/3.6*1000000</f>
        <v>7.4736663533777072</v>
      </c>
      <c r="O6" s="33"/>
      <c r="P6" s="33"/>
      <c r="R6" s="32"/>
    </row>
    <row r="7" spans="1:18">
      <c r="A7" s="32" t="s">
        <v>52</v>
      </c>
      <c r="B7" s="37">
        <f t="shared" ref="B7:B12" si="0">B27</f>
        <v>1037.9383472999</v>
      </c>
      <c r="C7" s="33"/>
      <c r="D7" s="37">
        <f>IF(ISERROR(TER_horeca_gas_kWh/1000),0,TER_horeca_gas_kWh/1000)*0.902</f>
        <v>1671.83810837173</v>
      </c>
      <c r="E7" s="33">
        <f>$C$27*'E Balans VL '!I9/100/3.6*1000000</f>
        <v>11.947178695381643</v>
      </c>
      <c r="F7" s="33">
        <f>$C$27*('E Balans VL '!L9+'E Balans VL '!N9)/100/3.6*1000000</f>
        <v>133.82537348744495</v>
      </c>
      <c r="G7" s="34"/>
      <c r="H7" s="33"/>
      <c r="I7" s="33"/>
      <c r="J7" s="33">
        <f>$C$27*('E Balans VL '!D9+'E Balans VL '!E9)/100/3.6*1000000</f>
        <v>0</v>
      </c>
      <c r="K7" s="33"/>
      <c r="L7" s="33"/>
      <c r="M7" s="33"/>
      <c r="N7" s="33">
        <f>$C$27*'E Balans VL '!Y9/100/3.6*1000000</f>
        <v>10.955201401262803</v>
      </c>
      <c r="O7" s="33"/>
      <c r="P7" s="33"/>
      <c r="R7" s="32"/>
    </row>
    <row r="8" spans="1:18">
      <c r="A8" s="6" t="s">
        <v>51</v>
      </c>
      <c r="B8" s="37">
        <f t="shared" si="0"/>
        <v>13223.039133308301</v>
      </c>
      <c r="C8" s="33"/>
      <c r="D8" s="37">
        <f>IF(ISERROR(TER_handel_gas_kWh/1000),0,TER_handel_gas_kWh/1000)*0.902</f>
        <v>8592.1081356948671</v>
      </c>
      <c r="E8" s="33">
        <f>$C$28*'E Balans VL '!I13/100/3.6*1000000</f>
        <v>373.08018126157941</v>
      </c>
      <c r="F8" s="33">
        <f>$C$28*('E Balans VL '!L13+'E Balans VL '!N13)/100/3.6*1000000</f>
        <v>1329.95425069574</v>
      </c>
      <c r="G8" s="34"/>
      <c r="H8" s="33"/>
      <c r="I8" s="33"/>
      <c r="J8" s="33">
        <f>$C$28*('E Balans VL '!D13+'E Balans VL '!E13)/100/3.6*1000000</f>
        <v>0</v>
      </c>
      <c r="K8" s="33"/>
      <c r="L8" s="33"/>
      <c r="M8" s="33"/>
      <c r="N8" s="33">
        <f>$C$28*'E Balans VL '!Y13/100/3.6*1000000</f>
        <v>18.252924393768808</v>
      </c>
      <c r="O8" s="33"/>
      <c r="P8" s="33"/>
      <c r="R8" s="32"/>
    </row>
    <row r="9" spans="1:18">
      <c r="A9" s="32" t="s">
        <v>50</v>
      </c>
      <c r="B9" s="37">
        <f t="shared" si="0"/>
        <v>115.90421435315099</v>
      </c>
      <c r="C9" s="33"/>
      <c r="D9" s="37">
        <f>IF(ISERROR(TER_gezond_gas_kWh/1000),0,TER_gezond_gas_kWh/1000)*0.902</f>
        <v>177.27566252891069</v>
      </c>
      <c r="E9" s="33">
        <f>$C$29*'E Balans VL '!I10/100/3.6*1000000</f>
        <v>0.23154093729887962</v>
      </c>
      <c r="F9" s="33">
        <f>$C$29*('E Balans VL '!L10+'E Balans VL '!N10)/100/3.6*1000000</f>
        <v>10.155534102847989</v>
      </c>
      <c r="G9" s="34"/>
      <c r="H9" s="33"/>
      <c r="I9" s="33"/>
      <c r="J9" s="33">
        <f>$C$29*('E Balans VL '!D10+'E Balans VL '!E10)/100/3.6*1000000</f>
        <v>0</v>
      </c>
      <c r="K9" s="33"/>
      <c r="L9" s="33"/>
      <c r="M9" s="33"/>
      <c r="N9" s="33">
        <f>$C$29*'E Balans VL '!Y10/100/3.6*1000000</f>
        <v>1.7532178454198977</v>
      </c>
      <c r="O9" s="33"/>
      <c r="P9" s="33"/>
      <c r="R9" s="32"/>
    </row>
    <row r="10" spans="1:18">
      <c r="A10" s="32" t="s">
        <v>49</v>
      </c>
      <c r="B10" s="37">
        <f t="shared" si="0"/>
        <v>2650.7721519924798</v>
      </c>
      <c r="C10" s="33"/>
      <c r="D10" s="37">
        <f>IF(ISERROR(TER_ander_gas_kWh/1000),0,TER_ander_gas_kWh/1000)*0.902</f>
        <v>882.23054981605628</v>
      </c>
      <c r="E10" s="33">
        <f>$C$30*'E Balans VL '!I14/100/3.6*1000000</f>
        <v>37.342983030082465</v>
      </c>
      <c r="F10" s="33">
        <f>$C$30*('E Balans VL '!L14+'E Balans VL '!N14)/100/3.6*1000000</f>
        <v>1607.9923725763429</v>
      </c>
      <c r="G10" s="34"/>
      <c r="H10" s="33"/>
      <c r="I10" s="33"/>
      <c r="J10" s="33">
        <f>$C$30*('E Balans VL '!D14+'E Balans VL '!E14)/100/3.6*1000000</f>
        <v>2.9100382450474666E-2</v>
      </c>
      <c r="K10" s="33"/>
      <c r="L10" s="33"/>
      <c r="M10" s="33"/>
      <c r="N10" s="33">
        <f>$C$30*'E Balans VL '!Y14/100/3.6*1000000</f>
        <v>1121.0943695029903</v>
      </c>
      <c r="O10" s="33"/>
      <c r="P10" s="33"/>
      <c r="R10" s="32"/>
    </row>
    <row r="11" spans="1:18">
      <c r="A11" s="32" t="s">
        <v>54</v>
      </c>
      <c r="B11" s="37">
        <f t="shared" si="0"/>
        <v>116.678783491348</v>
      </c>
      <c r="C11" s="33"/>
      <c r="D11" s="37">
        <f>IF(ISERROR(TER_onderwijs_gas_kWh/1000),0,TER_onderwijs_gas_kWh/1000)*0.902</f>
        <v>815.94851893556427</v>
      </c>
      <c r="E11" s="33">
        <f>$C$31*'E Balans VL '!I11/100/3.6*1000000</f>
        <v>3.0453736006212173</v>
      </c>
      <c r="F11" s="33">
        <f>$C$31*('E Balans VL '!L11+'E Balans VL '!N11)/100/3.6*1000000</f>
        <v>14.358304768264507</v>
      </c>
      <c r="G11" s="34"/>
      <c r="H11" s="33"/>
      <c r="I11" s="33"/>
      <c r="J11" s="33">
        <f>$C$31*('E Balans VL '!D11+'E Balans VL '!E11)/100/3.6*1000000</f>
        <v>0</v>
      </c>
      <c r="K11" s="33"/>
      <c r="L11" s="33"/>
      <c r="M11" s="33"/>
      <c r="N11" s="33">
        <f>$C$31*'E Balans VL '!Y11/100/3.6*1000000</f>
        <v>0.36948728398714142</v>
      </c>
      <c r="O11" s="33"/>
      <c r="P11" s="33"/>
      <c r="R11" s="32"/>
    </row>
    <row r="12" spans="1:18">
      <c r="A12" s="32" t="s">
        <v>248</v>
      </c>
      <c r="B12" s="37">
        <f t="shared" si="0"/>
        <v>6982.7204542175805</v>
      </c>
      <c r="C12" s="33"/>
      <c r="D12" s="37">
        <f>IF(ISERROR(TER_rest_gas_kWh/1000),0,TER_rest_gas_kWh/1000)*0.902</f>
        <v>16850.909326434863</v>
      </c>
      <c r="E12" s="33">
        <f>$C$32*'E Balans VL '!I8/100/3.6*1000000</f>
        <v>90.280654948989962</v>
      </c>
      <c r="F12" s="33">
        <f>$C$32*('E Balans VL '!L8+'E Balans VL '!N8)/100/3.6*1000000</f>
        <v>1432.5473390878246</v>
      </c>
      <c r="G12" s="34"/>
      <c r="H12" s="33"/>
      <c r="I12" s="33"/>
      <c r="J12" s="33">
        <f>$C$32*('E Balans VL '!D8+'E Balans VL '!E8)/100/3.6*1000000</f>
        <v>1.4217621990294572E-2</v>
      </c>
      <c r="K12" s="33"/>
      <c r="L12" s="33"/>
      <c r="M12" s="33"/>
      <c r="N12" s="33">
        <f>$C$32*'E Balans VL '!Y8/100/3.6*1000000</f>
        <v>570.30607178154457</v>
      </c>
      <c r="O12" s="33"/>
      <c r="P12" s="33"/>
      <c r="R12" s="32"/>
    </row>
    <row r="13" spans="1:18">
      <c r="A13" s="16" t="s">
        <v>473</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30220.249941903639</v>
      </c>
      <c r="C16" s="21">
        <f t="shared" ca="1" si="1"/>
        <v>0</v>
      </c>
      <c r="D16" s="21">
        <f t="shared" ca="1" si="1"/>
        <v>37408.795575522643</v>
      </c>
      <c r="E16" s="21">
        <f t="shared" si="1"/>
        <v>515.9274121431788</v>
      </c>
      <c r="F16" s="21">
        <f t="shared" ca="1" si="1"/>
        <v>5301.0324241742837</v>
      </c>
      <c r="G16" s="21">
        <f t="shared" si="1"/>
        <v>0</v>
      </c>
      <c r="H16" s="21">
        <f t="shared" si="1"/>
        <v>0</v>
      </c>
      <c r="I16" s="21">
        <f t="shared" si="1"/>
        <v>0</v>
      </c>
      <c r="J16" s="21">
        <f t="shared" si="1"/>
        <v>4.3318004440769234E-2</v>
      </c>
      <c r="K16" s="21">
        <f t="shared" si="1"/>
        <v>0</v>
      </c>
      <c r="L16" s="21">
        <f t="shared" ca="1" si="1"/>
        <v>0</v>
      </c>
      <c r="M16" s="21">
        <f t="shared" si="1"/>
        <v>0</v>
      </c>
      <c r="N16" s="21">
        <f t="shared" ca="1" si="1"/>
        <v>1730.2049385623513</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0.21385363887643913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6462.7104178315913</v>
      </c>
      <c r="C20" s="23">
        <f t="shared" ref="C20:P20" ca="1" si="2">C16*C18</f>
        <v>0</v>
      </c>
      <c r="D20" s="23">
        <f t="shared" ca="1" si="2"/>
        <v>7556.5767062555742</v>
      </c>
      <c r="E20" s="23">
        <f t="shared" si="2"/>
        <v>117.11552255650159</v>
      </c>
      <c r="F20" s="23">
        <f t="shared" ca="1" si="2"/>
        <v>1415.3756572545337</v>
      </c>
      <c r="G20" s="23">
        <f t="shared" si="2"/>
        <v>0</v>
      </c>
      <c r="H20" s="23">
        <f t="shared" si="2"/>
        <v>0</v>
      </c>
      <c r="I20" s="23">
        <f t="shared" si="2"/>
        <v>0</v>
      </c>
      <c r="J20" s="23">
        <f t="shared" si="2"/>
        <v>1.5334573572032308E-2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6093.1968572408796</v>
      </c>
      <c r="C26" s="39">
        <f>IF(ISERROR(B26*3.6/1000000/'E Balans VL '!Z12*100),0,B26*3.6/1000000/'E Balans VL '!Z12*100)</f>
        <v>0.16519180328208766</v>
      </c>
      <c r="D26" s="232" t="s">
        <v>700</v>
      </c>
      <c r="F26" s="6"/>
    </row>
    <row r="27" spans="1:18">
      <c r="A27" s="227" t="s">
        <v>52</v>
      </c>
      <c r="B27" s="33">
        <f>IF(ISERROR(TER_horeca_ele_kWh/1000),0,TER_horeca_ele_kWh/1000)</f>
        <v>1037.9383472999</v>
      </c>
      <c r="C27" s="39">
        <f>IF(ISERROR(B27*3.6/1000000/'E Balans VL '!Z9*100),0,B27*3.6/1000000/'E Balans VL '!Z9*100)</f>
        <v>8.0285619940668518E-2</v>
      </c>
      <c r="D27" s="232" t="s">
        <v>700</v>
      </c>
      <c r="F27" s="6"/>
    </row>
    <row r="28" spans="1:18">
      <c r="A28" s="167" t="s">
        <v>51</v>
      </c>
      <c r="B28" s="33">
        <f>IF(ISERROR(TER_handel_ele_kWh/1000),0,TER_handel_ele_kWh/1000)</f>
        <v>13223.039133308301</v>
      </c>
      <c r="C28" s="39">
        <f>IF(ISERROR(B28*3.6/1000000/'E Balans VL '!Z13*100),0,B28*3.6/1000000/'E Balans VL '!Z13*100)</f>
        <v>0.3824444905654279</v>
      </c>
      <c r="D28" s="232" t="s">
        <v>700</v>
      </c>
      <c r="F28" s="6"/>
    </row>
    <row r="29" spans="1:18">
      <c r="A29" s="227" t="s">
        <v>50</v>
      </c>
      <c r="B29" s="33">
        <f>IF(ISERROR(TER_gezond_ele_kWh/1000),0,TER_gezond_ele_kWh/1000)</f>
        <v>115.90421435315099</v>
      </c>
      <c r="C29" s="39">
        <f>IF(ISERROR(B29*3.6/1000000/'E Balans VL '!Z10*100),0,B29*3.6/1000000/'E Balans VL '!Z10*100)</f>
        <v>1.1936997407412258E-2</v>
      </c>
      <c r="D29" s="232" t="s">
        <v>700</v>
      </c>
      <c r="F29" s="6"/>
    </row>
    <row r="30" spans="1:18">
      <c r="A30" s="227" t="s">
        <v>49</v>
      </c>
      <c r="B30" s="33">
        <f>IF(ISERROR(TER_ander_ele_kWh/1000),0,TER_ander_ele_kWh/1000)</f>
        <v>2650.7721519924798</v>
      </c>
      <c r="C30" s="39">
        <f>IF(ISERROR(B30*3.6/1000000/'E Balans VL '!Z14*100),0,B30*3.6/1000000/'E Balans VL '!Z14*100)</f>
        <v>0.11918245372208053</v>
      </c>
      <c r="D30" s="232" t="s">
        <v>700</v>
      </c>
      <c r="F30" s="6"/>
    </row>
    <row r="31" spans="1:18">
      <c r="A31" s="227" t="s">
        <v>54</v>
      </c>
      <c r="B31" s="33">
        <f>IF(ISERROR(TER_onderwijs_ele_kWh/1000),0,TER_onderwijs_ele_kWh/1000)</f>
        <v>116.678783491348</v>
      </c>
      <c r="C31" s="39">
        <f>IF(ISERROR(B31*3.6/1000000/'E Balans VL '!Z11*100),0,B31*3.6/1000000/'E Balans VL '!Z11*100)</f>
        <v>3.2607861220209165E-2</v>
      </c>
      <c r="D31" s="232" t="s">
        <v>700</v>
      </c>
    </row>
    <row r="32" spans="1:18">
      <c r="A32" s="227" t="s">
        <v>248</v>
      </c>
      <c r="B32" s="33">
        <f>IF(ISERROR(TER_rest_ele_kWh/1000),0,TER_rest_ele_kWh/1000)</f>
        <v>6982.7204542175805</v>
      </c>
      <c r="C32" s="39">
        <f>IF(ISERROR(B32*3.6/1000000/'E Balans VL '!Z8*100),0,B32*3.6/1000000/'E Balans VL '!Z8*100)</f>
        <v>5.8229168560933395E-2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29286.388908385703</v>
      </c>
      <c r="C5" s="17">
        <f>IF(ISERROR('Eigen informatie GS &amp; warmtenet'!B59),0,'Eigen informatie GS &amp; warmtenet'!B59)</f>
        <v>0</v>
      </c>
      <c r="D5" s="30">
        <f>SUM(D6:D15)</f>
        <v>77110.986759881154</v>
      </c>
      <c r="E5" s="17">
        <f>SUM(E6:E15)</f>
        <v>351.74461324448623</v>
      </c>
      <c r="F5" s="17">
        <f>SUM(F6:F15)</f>
        <v>3237.4182932661124</v>
      </c>
      <c r="G5" s="18"/>
      <c r="H5" s="17"/>
      <c r="I5" s="17"/>
      <c r="J5" s="17">
        <f>SUM(J6:J15)</f>
        <v>19.710955443922359</v>
      </c>
      <c r="K5" s="17"/>
      <c r="L5" s="17"/>
      <c r="M5" s="17"/>
      <c r="N5" s="17">
        <f>SUM(N6:N15)</f>
        <v>590.10443885749476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542.43549682837101</v>
      </c>
      <c r="C8" s="33"/>
      <c r="D8" s="37">
        <f>IF( ISERROR(IND_metaal_Gas_kWH/1000),0,IND_metaal_Gas_kWH/1000)*0.902</f>
        <v>500.69770555658903</v>
      </c>
      <c r="E8" s="33">
        <f>C30*'E Balans VL '!I18/100/3.6*1000000</f>
        <v>4.9227683269459384</v>
      </c>
      <c r="F8" s="33">
        <f>C30*'E Balans VL '!L18/100/3.6*1000000+C30*'E Balans VL '!N18/100/3.6*1000000</f>
        <v>49.926893406608094</v>
      </c>
      <c r="G8" s="34"/>
      <c r="H8" s="33"/>
      <c r="I8" s="33"/>
      <c r="J8" s="40">
        <f>C30*'E Balans VL '!D18/100/3.6*1000000+C30*'E Balans VL '!E18/100/3.6*1000000</f>
        <v>0</v>
      </c>
      <c r="K8" s="33"/>
      <c r="L8" s="33"/>
      <c r="M8" s="33"/>
      <c r="N8" s="33">
        <f>C30*'E Balans VL '!Y18/100/3.6*1000000</f>
        <v>7.9191310927398568</v>
      </c>
      <c r="O8" s="33"/>
      <c r="P8" s="33"/>
      <c r="R8" s="32"/>
    </row>
    <row r="9" spans="1:18">
      <c r="A9" s="6" t="s">
        <v>32</v>
      </c>
      <c r="B9" s="37">
        <f t="shared" si="0"/>
        <v>1478.8476556293999</v>
      </c>
      <c r="C9" s="33"/>
      <c r="D9" s="37">
        <f>IF( ISERROR(IND_andere_gas_kWh/1000),0,IND_andere_gas_kWh/1000)*0.902</f>
        <v>1928.7054085816594</v>
      </c>
      <c r="E9" s="33">
        <f>C31*'E Balans VL '!I19/100/3.6*1000000</f>
        <v>8.5835660073456506</v>
      </c>
      <c r="F9" s="33">
        <f>C31*'E Balans VL '!L19/100/3.6*1000000+C31*'E Balans VL '!N19/100/3.6*1000000</f>
        <v>975.2834232845612</v>
      </c>
      <c r="G9" s="34"/>
      <c r="H9" s="33"/>
      <c r="I9" s="33"/>
      <c r="J9" s="40">
        <f>C31*'E Balans VL '!D19/100/3.6*1000000+C31*'E Balans VL '!E19/100/3.6*1000000</f>
        <v>0</v>
      </c>
      <c r="K9" s="33"/>
      <c r="L9" s="33"/>
      <c r="M9" s="33"/>
      <c r="N9" s="33">
        <f>C31*'E Balans VL '!Y19/100/3.6*1000000</f>
        <v>68.486720433377371</v>
      </c>
      <c r="O9" s="33"/>
      <c r="P9" s="33"/>
      <c r="R9" s="32"/>
    </row>
    <row r="10" spans="1:18">
      <c r="A10" s="6" t="s">
        <v>40</v>
      </c>
      <c r="B10" s="37">
        <f t="shared" si="0"/>
        <v>18351.926780587502</v>
      </c>
      <c r="C10" s="33"/>
      <c r="D10" s="37">
        <f>IF( ISERROR(IND_voed_gas_kWh/1000),0,IND_voed_gas_kWh/1000)*0.902</f>
        <v>18728.388885095512</v>
      </c>
      <c r="E10" s="33">
        <f>C32*'E Balans VL '!I20/100/3.6*1000000</f>
        <v>38.892013566145785</v>
      </c>
      <c r="F10" s="33">
        <f>C32*'E Balans VL '!L20/100/3.6*1000000+C32*'E Balans VL '!N20/100/3.6*1000000</f>
        <v>1166.3407557181272</v>
      </c>
      <c r="G10" s="34"/>
      <c r="H10" s="33"/>
      <c r="I10" s="33"/>
      <c r="J10" s="40">
        <f>C32*'E Balans VL '!D20/100/3.6*1000000+C32*'E Balans VL '!E20/100/3.6*1000000</f>
        <v>0</v>
      </c>
      <c r="K10" s="33"/>
      <c r="L10" s="33"/>
      <c r="M10" s="33"/>
      <c r="N10" s="33">
        <f>C32*'E Balans VL '!Y20/100/3.6*1000000</f>
        <v>532.00203100722001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3474.76338889006</v>
      </c>
      <c r="C13" s="33"/>
      <c r="D13" s="37">
        <f>IF( ISERROR(IND_papier_gas_kWh/1000),0,IND_papier_gas_kWh/1000)*0.902</f>
        <v>3120.7099777373355</v>
      </c>
      <c r="E13" s="33">
        <f>C35*'E Balans VL '!I23/100/3.6*1000000</f>
        <v>5.1289735966849177</v>
      </c>
      <c r="F13" s="33">
        <f>C35*'E Balans VL '!L23/100/3.6*1000000+C35*'E Balans VL '!N23/100/3.6*1000000</f>
        <v>89.985881810361931</v>
      </c>
      <c r="G13" s="34"/>
      <c r="H13" s="33"/>
      <c r="I13" s="33"/>
      <c r="J13" s="40">
        <f>C35*'E Balans VL '!D23/100/3.6*1000000+C35*'E Balans VL '!E23/100/3.6*1000000</f>
        <v>0.55910626291438814</v>
      </c>
      <c r="K13" s="33"/>
      <c r="L13" s="33"/>
      <c r="M13" s="33"/>
      <c r="N13" s="33">
        <f>C35*'E Balans VL '!Y23/100/3.6*1000000</f>
        <v>-157.81321820576264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5438.41558645037</v>
      </c>
      <c r="C15" s="33"/>
      <c r="D15" s="37">
        <f>IF( ISERROR(IND_rest_gas_kWh/1000),0,IND_rest_gas_kWh/1000)*0.902</f>
        <v>52832.484782910062</v>
      </c>
      <c r="E15" s="33">
        <f>C37*'E Balans VL '!I15/100/3.6*1000000</f>
        <v>294.21729174736396</v>
      </c>
      <c r="F15" s="33">
        <f>C37*'E Balans VL '!L15/100/3.6*1000000+C37*'E Balans VL '!N15/100/3.6*1000000</f>
        <v>955.8813390464536</v>
      </c>
      <c r="G15" s="34"/>
      <c r="H15" s="33"/>
      <c r="I15" s="33"/>
      <c r="J15" s="40">
        <f>C37*'E Balans VL '!D15/100/3.6*1000000+C37*'E Balans VL '!E15/100/3.6*1000000</f>
        <v>19.151849181007972</v>
      </c>
      <c r="K15" s="33"/>
      <c r="L15" s="33"/>
      <c r="M15" s="33"/>
      <c r="N15" s="33">
        <f>C37*'E Balans VL '!Y15/100/3.6*1000000</f>
        <v>139.50977452992018</v>
      </c>
      <c r="O15" s="33"/>
      <c r="P15" s="33"/>
      <c r="R15" s="32"/>
    </row>
    <row r="16" spans="1:18">
      <c r="A16" s="16" t="s">
        <v>473</v>
      </c>
      <c r="B16" s="242">
        <f>'lokale energieproductie'!N39+'lokale energieproductie'!N32</f>
        <v>18891</v>
      </c>
      <c r="C16" s="242">
        <f>'lokale energieproductie'!O39+'lokale energieproductie'!O32</f>
        <v>26987.142857142859</v>
      </c>
      <c r="D16" s="300">
        <f>('lokale energieproductie'!P32+'lokale energieproductie'!P39)*(-1)</f>
        <v>-53974.285714285717</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48177.388908385707</v>
      </c>
      <c r="C18" s="21">
        <f>C5+C16</f>
        <v>26987.142857142859</v>
      </c>
      <c r="D18" s="21">
        <f>MAX((D5+D16),0)</f>
        <v>23136.701045595437</v>
      </c>
      <c r="E18" s="21">
        <f>MAX((E5+E16),0)</f>
        <v>351.74461324448623</v>
      </c>
      <c r="F18" s="21">
        <f>MAX((F5+F16),0)</f>
        <v>3237.4182932661124</v>
      </c>
      <c r="G18" s="21"/>
      <c r="H18" s="21"/>
      <c r="I18" s="21"/>
      <c r="J18" s="21">
        <f>MAX((J5+J16),0)</f>
        <v>19.710955443922359</v>
      </c>
      <c r="K18" s="21"/>
      <c r="L18" s="21">
        <f>MAX((L5+L16),0)</f>
        <v>0</v>
      </c>
      <c r="M18" s="21"/>
      <c r="N18" s="21">
        <f>MAX((N5+N16),0)</f>
        <v>590.10443885749476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0.21385363887643913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10302.90992962368</v>
      </c>
      <c r="C22" s="23">
        <f ca="1">C18*C20</f>
        <v>6413.4151260504223</v>
      </c>
      <c r="D22" s="23">
        <f>D18*D20</f>
        <v>4673.6136112102786</v>
      </c>
      <c r="E22" s="23">
        <f>E18*E20</f>
        <v>79.846027206498377</v>
      </c>
      <c r="F22" s="23">
        <f>F18*F20</f>
        <v>864.39068430205202</v>
      </c>
      <c r="G22" s="23"/>
      <c r="H22" s="23"/>
      <c r="I22" s="23"/>
      <c r="J22" s="23">
        <f>J18*J20</f>
        <v>6.9776782271485143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542.43549682837101</v>
      </c>
      <c r="C30" s="39">
        <f>IF(ISERROR(B30*3.6/1000000/'E Balans VL '!Z18*100),0,B30*3.6/1000000/'E Balans VL '!Z18*100)</f>
        <v>3.1457797322574831E-2</v>
      </c>
      <c r="D30" s="232" t="s">
        <v>700</v>
      </c>
    </row>
    <row r="31" spans="1:18">
      <c r="A31" s="6" t="s">
        <v>32</v>
      </c>
      <c r="B31" s="37">
        <f>IF( ISERROR(IND_ander_ele_kWh/1000),0,IND_ander_ele_kWh/1000)</f>
        <v>1478.8476556293999</v>
      </c>
      <c r="C31" s="39">
        <f>IF(ISERROR(B31*3.6/1000000/'E Balans VL '!Z19*100),0,B31*3.6/1000000/'E Balans VL '!Z19*100)</f>
        <v>6.1762243125093208E-2</v>
      </c>
      <c r="D31" s="232" t="s">
        <v>700</v>
      </c>
    </row>
    <row r="32" spans="1:18">
      <c r="A32" s="167" t="s">
        <v>40</v>
      </c>
      <c r="B32" s="37">
        <f>IF( ISERROR(IND_voed_ele_kWh/1000),0,IND_voed_ele_kWh/1000)</f>
        <v>18351.926780587502</v>
      </c>
      <c r="C32" s="39">
        <f>IF(ISERROR(B32*3.6/1000000/'E Balans VL '!Z20*100),0,B32*3.6/1000000/'E Balans VL '!Z20*100)</f>
        <v>0.56920446010574421</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3474.76338889006</v>
      </c>
      <c r="C35" s="39">
        <f>IF(ISERROR(B35*3.6/1000000/'E Balans VL '!Z22*100),0,B35*3.6/1000000/'E Balans VL '!Z22*100)</f>
        <v>0.65024033595544106</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5438.41558645037</v>
      </c>
      <c r="C37" s="39">
        <f>IF(ISERROR(B37*3.6/1000000/'E Balans VL '!Z15*100),0,B37*3.6/1000000/'E Balans VL '!Z15*100)</f>
        <v>4.2402997705819963E-2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350.14875807491381</v>
      </c>
      <c r="C5" s="17">
        <f>'Eigen informatie GS &amp; warmtenet'!B60</f>
        <v>0</v>
      </c>
      <c r="D5" s="30">
        <f>IF(ISERROR(SUM(LB_lb_gas_kWh,LB_rest_gas_kWh)/1000),0,SUM(LB_lb_gas_kWh,LB_rest_gas_kWh)/1000)*0.902</f>
        <v>12110.150240591913</v>
      </c>
      <c r="E5" s="17">
        <f>B17*'E Balans VL '!I25/3.6*1000000/100</f>
        <v>11.363478231089337</v>
      </c>
      <c r="F5" s="17">
        <f>B17*('E Balans VL '!L25/3.6*1000000+'E Balans VL '!N25/3.6*1000000)/100</f>
        <v>1291.766713834935</v>
      </c>
      <c r="G5" s="18"/>
      <c r="H5" s="17"/>
      <c r="I5" s="17"/>
      <c r="J5" s="17">
        <f>('E Balans VL '!D25+'E Balans VL '!E25)/3.6*1000000*landbouw!B17/100</f>
        <v>92.085503299705309</v>
      </c>
      <c r="K5" s="17"/>
      <c r="L5" s="17">
        <f>L6*(-1)</f>
        <v>0</v>
      </c>
      <c r="M5" s="17"/>
      <c r="N5" s="17">
        <f>N6*(-1)</f>
        <v>0</v>
      </c>
      <c r="O5" s="17"/>
      <c r="P5" s="17"/>
      <c r="R5" s="32"/>
    </row>
    <row r="6" spans="1:18">
      <c r="A6" s="16" t="s">
        <v>473</v>
      </c>
      <c r="B6" s="17" t="s">
        <v>204</v>
      </c>
      <c r="C6" s="17">
        <f>'lokale energieproductie'!O41+'lokale energieproductie'!O34</f>
        <v>10131.428571428571</v>
      </c>
      <c r="D6" s="300">
        <f>('lokale energieproductie'!P34+'lokale energieproductie'!P41)*(-1)</f>
        <v>-20262.857142857141</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350.14875807491381</v>
      </c>
      <c r="C8" s="21">
        <f>C5+C6</f>
        <v>10131.428571428571</v>
      </c>
      <c r="D8" s="21">
        <f>MAX((D5+D6),0)</f>
        <v>0</v>
      </c>
      <c r="E8" s="21">
        <f>MAX((E5+E6),0)</f>
        <v>11.363478231089337</v>
      </c>
      <c r="F8" s="21">
        <f>MAX((F5+F6),0)</f>
        <v>1291.766713834935</v>
      </c>
      <c r="G8" s="21"/>
      <c r="H8" s="21"/>
      <c r="I8" s="21"/>
      <c r="J8" s="21">
        <f>MAX((J5+J6),0)</f>
        <v>92.085503299705309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0.21385363887643913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74.880586062386271</v>
      </c>
      <c r="C12" s="23">
        <f ca="1">C8*C10</f>
        <v>2407.7042016806727</v>
      </c>
      <c r="D12" s="23">
        <f>D8*D10</f>
        <v>0</v>
      </c>
      <c r="E12" s="23">
        <f>E8*E10</f>
        <v>2.5795095584572794</v>
      </c>
      <c r="F12" s="23">
        <f>F8*F10</f>
        <v>344.90171259392764</v>
      </c>
      <c r="G12" s="23"/>
      <c r="H12" s="23"/>
      <c r="I12" s="23"/>
      <c r="J12" s="23">
        <f>J8*J10</f>
        <v>32.598268168095679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4.968720732905612E-2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4.3302374292951891</v>
      </c>
      <c r="C26" s="242">
        <f>B26*'GWP N2O_CH4'!B5</f>
        <v>90.934986015198973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0.24040496496640346</v>
      </c>
      <c r="C27" s="242">
        <f>B27*'GWP N2O_CH4'!B5</f>
        <v>5.0485042642944729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5.7662087921225638E-2</v>
      </c>
      <c r="C28" s="242">
        <f>B28*'GWP N2O_CH4'!B4</f>
        <v>17.875247255579946</v>
      </c>
      <c r="D28" s="50"/>
    </row>
    <row r="29" spans="1:4">
      <c r="A29" s="41" t="s">
        <v>265</v>
      </c>
      <c r="B29" s="242">
        <f>B34*'ha_N2O bodem landbouw'!B4</f>
        <v>2.3348294245680083</v>
      </c>
      <c r="C29" s="242">
        <f>B29*'GWP N2O_CH4'!B4</f>
        <v>723.79712161608256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5.3280002850627139E-4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4.7468416326085038E-4</v>
      </c>
      <c r="C5" s="427" t="s">
        <v>204</v>
      </c>
      <c r="D5" s="412">
        <f>SUM(D6:D11)</f>
        <v>6.7254218248653937E-4</v>
      </c>
      <c r="E5" s="412">
        <f>SUM(E6:E11)</f>
        <v>1.3725827353950034E-3</v>
      </c>
      <c r="F5" s="425" t="s">
        <v>204</v>
      </c>
      <c r="G5" s="412">
        <f>SUM(G6:G11)</f>
        <v>0.76266959041731464</v>
      </c>
      <c r="H5" s="412">
        <f>SUM(H6:H11)</f>
        <v>0.12069829144925737</v>
      </c>
      <c r="I5" s="427" t="s">
        <v>204</v>
      </c>
      <c r="J5" s="427" t="s">
        <v>204</v>
      </c>
      <c r="K5" s="427" t="s">
        <v>204</v>
      </c>
      <c r="L5" s="427" t="s">
        <v>204</v>
      </c>
      <c r="M5" s="412">
        <f>SUM(M6:M11)</f>
        <v>4.8112623469875326E-2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5.9729808490909729E-5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1.0092315916886427E-4</v>
      </c>
      <c r="E6" s="818">
        <f>vkm_GW_PW*SUMIFS(TableVerdeelsleutelVkm[LPG],TableVerdeelsleutelVkm[Voertuigtype],"Lichte voertuigen")*SUMIFS(TableECFTransport[EnergieConsumptieFactor (PJ per km)],TableECFTransport[Index],CONCATENATE($A6,"_LPG_LPG"))</f>
        <v>1.7543478216195071E-4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5.3134542814666952E-2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1.7498179727725969E-2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3.6195711879770452E-3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9.8955556188503558E-7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3.178476289862462E-2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6.3413514751084791E-7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1.8570454610934335E-3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2.5654948343572412E-5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5.5498967516035627E-5</v>
      </c>
      <c r="E8" s="415">
        <f>vkm_NGW_PW*SUMIFS(TableVerdeelsleutelVkm[LPG],TableVerdeelsleutelVkm[Voertuigtype],"Lichte voertuigen")*SUMIFS(TableECFTransport[EnergieConsumptieFactor (PJ per km)],TableECFTransport[Index],CONCATENATE($A8,"_LPG_LPG"))</f>
        <v>9.2099902008634167E-5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2.6051314706689758E-2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9.400402207358452E-3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1.7988167566286349E-3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3.430568885240462E-7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1.4138196154607681E-2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2.6535314018334678E-7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8.2603282072463114E-4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3.7701732912787957E-4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5.1612005580163947E-4</v>
      </c>
      <c r="E10" s="415">
        <f>vkm_SW_PW*SUMIFS(TableVerdeelsleutelVkm[LPG],TableVerdeelsleutelVkm[Voertuigtype],"Lichte voertuigen")*SUMIFS(TableECFTransport[EnergieConsumptieFactor (PJ per km)],TableECFTransport[Index],CONCATENATE($A10,"_LPG_LPG"))</f>
        <v>1.1050480512244186E-3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0.30257285205394963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9.3791587901333864E-2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2.0439254005268245E-2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1.0949464848079584E-5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0.33498792178877607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7.2221245513907766E-6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1.9571903238183339E-2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131.85671201690289</v>
      </c>
      <c r="C14" s="21"/>
      <c r="D14" s="21">
        <f t="shared" ref="D14:M14" si="0">((D5)*10^9/3600)+D12</f>
        <v>186.81727291292759</v>
      </c>
      <c r="E14" s="21">
        <f t="shared" si="0"/>
        <v>381.27298205416758</v>
      </c>
      <c r="F14" s="21"/>
      <c r="G14" s="21">
        <f t="shared" si="0"/>
        <v>211852.66400480963</v>
      </c>
      <c r="H14" s="21">
        <f t="shared" si="0"/>
        <v>33527.30318034927</v>
      </c>
      <c r="I14" s="21"/>
      <c r="J14" s="21"/>
      <c r="K14" s="21"/>
      <c r="L14" s="21"/>
      <c r="M14" s="21">
        <f t="shared" si="0"/>
        <v>13364.617630520925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0.21385363887643913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28.198037675097382</v>
      </c>
      <c r="C18" s="23"/>
      <c r="D18" s="23">
        <f t="shared" ref="D18:M18" si="1">D14*D16</f>
        <v>37.737089128411377</v>
      </c>
      <c r="E18" s="23">
        <f t="shared" si="1"/>
        <v>86.548966926296046</v>
      </c>
      <c r="F18" s="23"/>
      <c r="G18" s="23">
        <f t="shared" si="1"/>
        <v>56564.661289284173</v>
      </c>
      <c r="H18" s="23">
        <f t="shared" si="1"/>
        <v>8348.2984919069677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8.4151162089119417E-5</v>
      </c>
      <c r="C50" s="311">
        <f t="shared" ref="C50:P50" si="2">SUM(C51:C52)</f>
        <v>0</v>
      </c>
      <c r="D50" s="311">
        <f t="shared" si="2"/>
        <v>0</v>
      </c>
      <c r="E50" s="311">
        <f t="shared" si="2"/>
        <v>0</v>
      </c>
      <c r="F50" s="311">
        <f t="shared" si="2"/>
        <v>0</v>
      </c>
      <c r="G50" s="311">
        <f t="shared" si="2"/>
        <v>7.9051665487300977E-3</v>
      </c>
      <c r="H50" s="311">
        <f t="shared" si="2"/>
        <v>0</v>
      </c>
      <c r="I50" s="311">
        <f t="shared" si="2"/>
        <v>0</v>
      </c>
      <c r="J50" s="311">
        <f t="shared" si="2"/>
        <v>0</v>
      </c>
      <c r="K50" s="311">
        <f t="shared" si="2"/>
        <v>0</v>
      </c>
      <c r="L50" s="311">
        <f t="shared" si="2"/>
        <v>0</v>
      </c>
      <c r="M50" s="311">
        <f t="shared" si="2"/>
        <v>4.5523480640099421E-4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8.4151162089119417E-5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7.9051665487300977E-3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4.5523480640099421E-4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23.375322802533173</v>
      </c>
      <c r="C54" s="21">
        <f t="shared" ref="C54:P54" si="3">(C50)*10^9/3600</f>
        <v>0</v>
      </c>
      <c r="D54" s="21">
        <f t="shared" si="3"/>
        <v>0</v>
      </c>
      <c r="E54" s="21">
        <f t="shared" si="3"/>
        <v>0</v>
      </c>
      <c r="F54" s="21">
        <f t="shared" si="3"/>
        <v>0</v>
      </c>
      <c r="G54" s="21">
        <f t="shared" si="3"/>
        <v>2195.8795968694717</v>
      </c>
      <c r="H54" s="21">
        <f t="shared" si="3"/>
        <v>0</v>
      </c>
      <c r="I54" s="21">
        <f t="shared" si="3"/>
        <v>0</v>
      </c>
      <c r="J54" s="21">
        <f t="shared" si="3"/>
        <v>0</v>
      </c>
      <c r="K54" s="21">
        <f t="shared" si="3"/>
        <v>0</v>
      </c>
      <c r="L54" s="21">
        <f t="shared" si="3"/>
        <v>0</v>
      </c>
      <c r="M54" s="21">
        <f t="shared" si="3"/>
        <v>126.45411288916505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0.21385363887643913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4.9988978412331218</v>
      </c>
      <c r="C58" s="23">
        <f t="shared" ref="C58:P58" ca="1" si="4">C54*C56</f>
        <v>0</v>
      </c>
      <c r="D58" s="23">
        <f t="shared" si="4"/>
        <v>0</v>
      </c>
      <c r="E58" s="23">
        <f t="shared" si="4"/>
        <v>0</v>
      </c>
      <c r="F58" s="23">
        <f t="shared" si="4"/>
        <v>0</v>
      </c>
      <c r="G58" s="23">
        <f t="shared" si="4"/>
        <v>586.29985236414893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5246.301124877762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25983</v>
      </c>
      <c r="C8" s="534">
        <f>B50</f>
        <v>30568.235294117643</v>
      </c>
      <c r="D8" s="962"/>
      <c r="E8" s="962">
        <f>E50</f>
        <v>0</v>
      </c>
      <c r="F8" s="963"/>
      <c r="G8" s="535"/>
      <c r="H8" s="962">
        <f>I50</f>
        <v>0</v>
      </c>
      <c r="I8" s="962">
        <f>G50+F50</f>
        <v>0</v>
      </c>
      <c r="J8" s="962">
        <f>H50+D50+C50</f>
        <v>0</v>
      </c>
      <c r="K8" s="962"/>
      <c r="L8" s="962"/>
      <c r="M8" s="962"/>
      <c r="N8" s="536"/>
      <c r="O8" s="537">
        <f>C8*$C$12+D8*$D$12+E8*$E$12+F8*$F$12+G8*$G$12+H8*$H$12+I8*$I$12+J8*$J$12</f>
        <v>6174.783529411764</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31229.301124877762</v>
      </c>
      <c r="C10" s="547">
        <f t="shared" ref="C10:L10" si="0">SUM(C8:C9)</f>
        <v>30568.235294117643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6174.783529411764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37118.571428571428</v>
      </c>
      <c r="C17" s="559">
        <f>B51</f>
        <v>43668.907563025212</v>
      </c>
      <c r="D17" s="560"/>
      <c r="E17" s="560">
        <f>E51</f>
        <v>0</v>
      </c>
      <c r="F17" s="968"/>
      <c r="G17" s="561"/>
      <c r="H17" s="559">
        <f>I51</f>
        <v>0</v>
      </c>
      <c r="I17" s="560">
        <f>G51+F51</f>
        <v>0</v>
      </c>
      <c r="J17" s="560">
        <f>H51+D51+C51</f>
        <v>0</v>
      </c>
      <c r="K17" s="560"/>
      <c r="L17" s="560"/>
      <c r="M17" s="560"/>
      <c r="N17" s="969"/>
      <c r="O17" s="562">
        <f>C17*$C$22+E17*$E$22+H17*$H$22+I17*$I$22+J17*$J$22+D17*$D$22+F17*$F$22+G17*$G$22+K17*$K$22+L17*$L$22</f>
        <v>8821.119327731094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37118.571428571428</v>
      </c>
      <c r="C20" s="546">
        <f>SUM(C17:C19)</f>
        <v>43668.907563025212</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8821.119327731094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11052</v>
      </c>
      <c r="C28" s="724">
        <v>2160</v>
      </c>
      <c r="D28" s="617"/>
      <c r="E28" s="616"/>
      <c r="F28" s="616"/>
      <c r="G28" s="616" t="s">
        <v>878</v>
      </c>
      <c r="H28" s="616" t="s">
        <v>879</v>
      </c>
      <c r="I28" s="616"/>
      <c r="J28" s="723"/>
      <c r="K28" s="723"/>
      <c r="L28" s="616" t="s">
        <v>880</v>
      </c>
      <c r="M28" s="616">
        <v>4198</v>
      </c>
      <c r="N28" s="616">
        <v>18891</v>
      </c>
      <c r="O28" s="616">
        <v>26987.142857142859</v>
      </c>
      <c r="P28" s="616">
        <v>53974.285714285717</v>
      </c>
      <c r="Q28" s="616">
        <v>0</v>
      </c>
      <c r="R28" s="616">
        <v>0</v>
      </c>
      <c r="S28" s="616">
        <v>0</v>
      </c>
      <c r="T28" s="616">
        <v>0</v>
      </c>
      <c r="U28" s="616">
        <v>0</v>
      </c>
      <c r="V28" s="616">
        <v>0</v>
      </c>
      <c r="W28" s="616">
        <v>0</v>
      </c>
      <c r="X28" s="616"/>
      <c r="Y28" s="616">
        <v>800</v>
      </c>
      <c r="Z28" s="616" t="s">
        <v>35</v>
      </c>
      <c r="AA28" s="618" t="s">
        <v>375</v>
      </c>
    </row>
    <row r="29" spans="1:27" s="570" customFormat="1" ht="25.5" hidden="1">
      <c r="A29" s="569"/>
      <c r="B29" s="724">
        <v>11052</v>
      </c>
      <c r="C29" s="724">
        <v>2160</v>
      </c>
      <c r="D29" s="617"/>
      <c r="E29" s="616"/>
      <c r="F29" s="616"/>
      <c r="G29" s="616" t="s">
        <v>878</v>
      </c>
      <c r="H29" s="616" t="s">
        <v>879</v>
      </c>
      <c r="I29" s="616"/>
      <c r="J29" s="723"/>
      <c r="K29" s="723"/>
      <c r="L29" s="616" t="s">
        <v>881</v>
      </c>
      <c r="M29" s="616">
        <v>290</v>
      </c>
      <c r="N29" s="616">
        <v>1305</v>
      </c>
      <c r="O29" s="616">
        <v>1864.2857142857142</v>
      </c>
      <c r="P29" s="616">
        <v>3728.5714285714289</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11052</v>
      </c>
      <c r="C30" s="724">
        <v>2160</v>
      </c>
      <c r="D30" s="617"/>
      <c r="E30" s="616"/>
      <c r="F30" s="616"/>
      <c r="G30" s="616" t="s">
        <v>878</v>
      </c>
      <c r="H30" s="616" t="s">
        <v>879</v>
      </c>
      <c r="I30" s="616"/>
      <c r="J30" s="723"/>
      <c r="K30" s="723"/>
      <c r="L30" s="616" t="s">
        <v>880</v>
      </c>
      <c r="M30" s="616">
        <v>1286</v>
      </c>
      <c r="N30" s="616">
        <v>5787</v>
      </c>
      <c r="O30" s="616">
        <v>8267.1428571428569</v>
      </c>
      <c r="P30" s="616">
        <v>16534.285714285714</v>
      </c>
      <c r="Q30" s="616">
        <v>0</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5774</v>
      </c>
      <c r="N31" s="574">
        <f>SUM(N28:N30)</f>
        <v>25983</v>
      </c>
      <c r="O31" s="574">
        <f>SUM(O28:O30)</f>
        <v>37118.571428571428</v>
      </c>
      <c r="P31" s="574">
        <f>SUM(P28:P30)</f>
        <v>74237.142857142855</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4198</v>
      </c>
      <c r="N32" s="574">
        <f>SUMIF($AA$28:$AA$30,"industrie",N28:N30)</f>
        <v>18891</v>
      </c>
      <c r="O32" s="574">
        <f>SUMIF($AA$28:$AA$30,"industrie",O28:O30)</f>
        <v>26987.142857142859</v>
      </c>
      <c r="P32" s="574">
        <f>SUMIF($AA$28:$AA$30,"industrie",P28:P30)</f>
        <v>53974.285714285717</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1576</v>
      </c>
      <c r="N34" s="579">
        <f>SUMIF($AA$28:$AA$30,"landbouw",N28:N30)</f>
        <v>7092</v>
      </c>
      <c r="O34" s="579">
        <f>SUMIF($AA$28:$AA$30,"landbouw",O28:O30)</f>
        <v>10131.428571428571</v>
      </c>
      <c r="P34" s="579">
        <f>SUMIF($AA$28:$AA$30,"landbouw",P28:P30)</f>
        <v>20262.857142857141</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30568.235294117643</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43668.907563025212</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31105.53694190364</v>
      </c>
      <c r="D10" s="931">
        <f ca="1">tertiair!C16</f>
        <v>0</v>
      </c>
      <c r="E10" s="931">
        <f ca="1">tertiair!D16</f>
        <v>37408.795575522643</v>
      </c>
      <c r="F10" s="931">
        <f>tertiair!E16</f>
        <v>515.9274121431788</v>
      </c>
      <c r="G10" s="931">
        <f ca="1">tertiair!F16</f>
        <v>5301.0324241742837</v>
      </c>
      <c r="H10" s="931">
        <f>tertiair!G16</f>
        <v>0</v>
      </c>
      <c r="I10" s="931">
        <f>tertiair!H16</f>
        <v>0</v>
      </c>
      <c r="J10" s="931">
        <f>tertiair!I16</f>
        <v>0</v>
      </c>
      <c r="K10" s="931">
        <f>tertiair!J16</f>
        <v>4.3318004440769234E-2</v>
      </c>
      <c r="L10" s="931">
        <f>tertiair!K16</f>
        <v>0</v>
      </c>
      <c r="M10" s="931">
        <f ca="1">tertiair!L16</f>
        <v>0</v>
      </c>
      <c r="N10" s="931">
        <f>tertiair!M16</f>
        <v>0</v>
      </c>
      <c r="O10" s="931">
        <f ca="1">tertiair!N16</f>
        <v>1730.2049385623513</v>
      </c>
      <c r="P10" s="931">
        <f>tertiair!O16</f>
        <v>3.1266666666666669</v>
      </c>
      <c r="Q10" s="932">
        <f>tertiair!P16</f>
        <v>57.2</v>
      </c>
      <c r="R10" s="628">
        <f ca="1">SUM(C10:Q10)</f>
        <v>76121.867276977195</v>
      </c>
      <c r="S10" s="67"/>
    </row>
    <row r="11" spans="1:19" s="437" customFormat="1">
      <c r="A11" s="736" t="s">
        <v>213</v>
      </c>
      <c r="B11" s="741"/>
      <c r="C11" s="931">
        <f>huishoudens!B8</f>
        <v>21221.470799954841</v>
      </c>
      <c r="D11" s="931">
        <f>huishoudens!C8</f>
        <v>0</v>
      </c>
      <c r="E11" s="931">
        <f>huishoudens!D8</f>
        <v>63722.027124619526</v>
      </c>
      <c r="F11" s="931">
        <f>huishoudens!E8</f>
        <v>656.96120878748548</v>
      </c>
      <c r="G11" s="931">
        <f>huishoudens!F8</f>
        <v>15227.849693230221</v>
      </c>
      <c r="H11" s="931">
        <f>huishoudens!G8</f>
        <v>0</v>
      </c>
      <c r="I11" s="931">
        <f>huishoudens!H8</f>
        <v>0</v>
      </c>
      <c r="J11" s="931">
        <f>huishoudens!I8</f>
        <v>0</v>
      </c>
      <c r="K11" s="931">
        <f>huishoudens!J8</f>
        <v>78.257733830779173</v>
      </c>
      <c r="L11" s="931">
        <f>huishoudens!K8</f>
        <v>0</v>
      </c>
      <c r="M11" s="931">
        <f>huishoudens!L8</f>
        <v>0</v>
      </c>
      <c r="N11" s="931">
        <f>huishoudens!M8</f>
        <v>0</v>
      </c>
      <c r="O11" s="931">
        <f>huishoudens!N8</f>
        <v>6511.0554328145272</v>
      </c>
      <c r="P11" s="931">
        <f>huishoudens!O8</f>
        <v>192.29000000000002</v>
      </c>
      <c r="Q11" s="932">
        <f>huishoudens!P8</f>
        <v>419.4666666666667</v>
      </c>
      <c r="R11" s="628">
        <f>SUM(C11:Q11)</f>
        <v>108029.37865990402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48177.388908385707</v>
      </c>
      <c r="D13" s="931">
        <f>industrie!C18</f>
        <v>26987.142857142859</v>
      </c>
      <c r="E13" s="931">
        <f>industrie!D18</f>
        <v>23136.701045595437</v>
      </c>
      <c r="F13" s="931">
        <f>industrie!E18</f>
        <v>351.74461324448623</v>
      </c>
      <c r="G13" s="931">
        <f>industrie!F18</f>
        <v>3237.4182932661124</v>
      </c>
      <c r="H13" s="931">
        <f>industrie!G18</f>
        <v>0</v>
      </c>
      <c r="I13" s="931">
        <f>industrie!H18</f>
        <v>0</v>
      </c>
      <c r="J13" s="931">
        <f>industrie!I18</f>
        <v>0</v>
      </c>
      <c r="K13" s="931">
        <f>industrie!J18</f>
        <v>19.710955443922359</v>
      </c>
      <c r="L13" s="931">
        <f>industrie!K18</f>
        <v>0</v>
      </c>
      <c r="M13" s="931">
        <f>industrie!L18</f>
        <v>0</v>
      </c>
      <c r="N13" s="931">
        <f>industrie!M18</f>
        <v>0</v>
      </c>
      <c r="O13" s="931">
        <f>industrie!N18</f>
        <v>590.10443885749476</v>
      </c>
      <c r="P13" s="931">
        <f>industrie!O18</f>
        <v>0</v>
      </c>
      <c r="Q13" s="932">
        <f>industrie!P18</f>
        <v>0</v>
      </c>
      <c r="R13" s="628">
        <f>SUM(C13:Q13)</f>
        <v>102500.21111193602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100504.39665024419</v>
      </c>
      <c r="D16" s="660">
        <f t="shared" ref="D16:R16" ca="1" si="0">SUM(D9:D15)</f>
        <v>26987.142857142859</v>
      </c>
      <c r="E16" s="660">
        <f t="shared" ca="1" si="0"/>
        <v>124267.52374573759</v>
      </c>
      <c r="F16" s="660">
        <f t="shared" si="0"/>
        <v>1524.6332341751504</v>
      </c>
      <c r="G16" s="660">
        <f t="shared" ca="1" si="0"/>
        <v>23766.300410670618</v>
      </c>
      <c r="H16" s="660">
        <f t="shared" si="0"/>
        <v>0</v>
      </c>
      <c r="I16" s="660">
        <f t="shared" si="0"/>
        <v>0</v>
      </c>
      <c r="J16" s="660">
        <f t="shared" si="0"/>
        <v>0</v>
      </c>
      <c r="K16" s="660">
        <f t="shared" si="0"/>
        <v>98.012007279142296</v>
      </c>
      <c r="L16" s="660">
        <f t="shared" si="0"/>
        <v>0</v>
      </c>
      <c r="M16" s="660">
        <f t="shared" ca="1" si="0"/>
        <v>0</v>
      </c>
      <c r="N16" s="660">
        <f t="shared" si="0"/>
        <v>0</v>
      </c>
      <c r="O16" s="660">
        <f t="shared" ca="1" si="0"/>
        <v>8831.3648102343741</v>
      </c>
      <c r="P16" s="660">
        <f t="shared" si="0"/>
        <v>195.41666666666669</v>
      </c>
      <c r="Q16" s="660">
        <f t="shared" si="0"/>
        <v>476.66666666666669</v>
      </c>
      <c r="R16" s="660">
        <f t="shared" ca="1" si="0"/>
        <v>286651.45704881725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23.375322802533173</v>
      </c>
      <c r="D19" s="931">
        <f>transport!C54</f>
        <v>0</v>
      </c>
      <c r="E19" s="931">
        <f>transport!D54</f>
        <v>0</v>
      </c>
      <c r="F19" s="931">
        <f>transport!E54</f>
        <v>0</v>
      </c>
      <c r="G19" s="931">
        <f>transport!F54</f>
        <v>0</v>
      </c>
      <c r="H19" s="931">
        <f>transport!G54</f>
        <v>2195.8795968694717</v>
      </c>
      <c r="I19" s="931">
        <f>transport!H54</f>
        <v>0</v>
      </c>
      <c r="J19" s="931">
        <f>transport!I54</f>
        <v>0</v>
      </c>
      <c r="K19" s="931">
        <f>transport!J54</f>
        <v>0</v>
      </c>
      <c r="L19" s="931">
        <f>transport!K54</f>
        <v>0</v>
      </c>
      <c r="M19" s="931">
        <f>transport!L54</f>
        <v>0</v>
      </c>
      <c r="N19" s="931">
        <f>transport!M54</f>
        <v>126.45411288916505</v>
      </c>
      <c r="O19" s="931">
        <f>transport!N54</f>
        <v>0</v>
      </c>
      <c r="P19" s="931">
        <f>transport!O54</f>
        <v>0</v>
      </c>
      <c r="Q19" s="932">
        <f>transport!P54</f>
        <v>0</v>
      </c>
      <c r="R19" s="628">
        <f>SUM(C19:Q19)</f>
        <v>2345.7090325611698</v>
      </c>
      <c r="S19" s="67"/>
    </row>
    <row r="20" spans="1:19" s="437" customFormat="1">
      <c r="A20" s="736" t="s">
        <v>295</v>
      </c>
      <c r="B20" s="741"/>
      <c r="C20" s="931">
        <f>transport!B14</f>
        <v>131.85671201690289</v>
      </c>
      <c r="D20" s="931">
        <f>transport!C14</f>
        <v>0</v>
      </c>
      <c r="E20" s="931">
        <f>transport!D14</f>
        <v>186.81727291292759</v>
      </c>
      <c r="F20" s="931">
        <f>transport!E14</f>
        <v>381.27298205416758</v>
      </c>
      <c r="G20" s="931">
        <f>transport!F14</f>
        <v>0</v>
      </c>
      <c r="H20" s="931">
        <f>transport!G14</f>
        <v>211852.66400480963</v>
      </c>
      <c r="I20" s="931">
        <f>transport!H14</f>
        <v>33527.30318034927</v>
      </c>
      <c r="J20" s="931">
        <f>transport!I14</f>
        <v>0</v>
      </c>
      <c r="K20" s="931">
        <f>transport!J14</f>
        <v>0</v>
      </c>
      <c r="L20" s="931">
        <f>transport!K14</f>
        <v>0</v>
      </c>
      <c r="M20" s="931">
        <f>transport!L14</f>
        <v>0</v>
      </c>
      <c r="N20" s="931">
        <f>transport!M14</f>
        <v>13364.617630520925</v>
      </c>
      <c r="O20" s="931">
        <f>transport!N14</f>
        <v>0</v>
      </c>
      <c r="P20" s="931">
        <f>transport!O14</f>
        <v>0</v>
      </c>
      <c r="Q20" s="932">
        <f>transport!P14</f>
        <v>0</v>
      </c>
      <c r="R20" s="628">
        <f>SUM(C20:Q20)</f>
        <v>259444.53178266381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155.23203481943605</v>
      </c>
      <c r="D22" s="739">
        <f t="shared" ref="D22:R22" si="1">SUM(D18:D21)</f>
        <v>0</v>
      </c>
      <c r="E22" s="739">
        <f t="shared" si="1"/>
        <v>186.81727291292759</v>
      </c>
      <c r="F22" s="739">
        <f t="shared" si="1"/>
        <v>381.27298205416758</v>
      </c>
      <c r="G22" s="739">
        <f t="shared" si="1"/>
        <v>0</v>
      </c>
      <c r="H22" s="739">
        <f t="shared" si="1"/>
        <v>214048.54360167909</v>
      </c>
      <c r="I22" s="739">
        <f t="shared" si="1"/>
        <v>33527.30318034927</v>
      </c>
      <c r="J22" s="739">
        <f t="shared" si="1"/>
        <v>0</v>
      </c>
      <c r="K22" s="739">
        <f t="shared" si="1"/>
        <v>0</v>
      </c>
      <c r="L22" s="739">
        <f t="shared" si="1"/>
        <v>0</v>
      </c>
      <c r="M22" s="739">
        <f t="shared" si="1"/>
        <v>0</v>
      </c>
      <c r="N22" s="739">
        <f t="shared" si="1"/>
        <v>13491.07174341009</v>
      </c>
      <c r="O22" s="739">
        <f t="shared" si="1"/>
        <v>0</v>
      </c>
      <c r="P22" s="739">
        <f t="shared" si="1"/>
        <v>0</v>
      </c>
      <c r="Q22" s="739">
        <f t="shared" si="1"/>
        <v>0</v>
      </c>
      <c r="R22" s="739">
        <f t="shared" si="1"/>
        <v>261790.24081522497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350.14875807491381</v>
      </c>
      <c r="D24" s="931">
        <f>+landbouw!C8</f>
        <v>10131.428571428571</v>
      </c>
      <c r="E24" s="931">
        <f>+landbouw!D8</f>
        <v>0</v>
      </c>
      <c r="F24" s="931">
        <f>+landbouw!E8</f>
        <v>11.363478231089337</v>
      </c>
      <c r="G24" s="931">
        <f>+landbouw!F8</f>
        <v>1291.766713834935</v>
      </c>
      <c r="H24" s="931">
        <f>+landbouw!G8</f>
        <v>0</v>
      </c>
      <c r="I24" s="931">
        <f>+landbouw!H8</f>
        <v>0</v>
      </c>
      <c r="J24" s="931">
        <f>+landbouw!I8</f>
        <v>0</v>
      </c>
      <c r="K24" s="931">
        <f>+landbouw!J8</f>
        <v>92.085503299705309</v>
      </c>
      <c r="L24" s="931">
        <f>+landbouw!K8</f>
        <v>0</v>
      </c>
      <c r="M24" s="931">
        <f>+landbouw!L8</f>
        <v>0</v>
      </c>
      <c r="N24" s="931">
        <f>+landbouw!M8</f>
        <v>0</v>
      </c>
      <c r="O24" s="931">
        <f>+landbouw!N8</f>
        <v>0</v>
      </c>
      <c r="P24" s="931">
        <f>+landbouw!O8</f>
        <v>0</v>
      </c>
      <c r="Q24" s="932">
        <f>+landbouw!P8</f>
        <v>0</v>
      </c>
      <c r="R24" s="628">
        <f>SUM(C24:Q24)</f>
        <v>11876.793024869216</v>
      </c>
      <c r="S24" s="67"/>
    </row>
    <row r="25" spans="1:19" s="437" customFormat="1" ht="15" thickBot="1">
      <c r="A25" s="758" t="s">
        <v>775</v>
      </c>
      <c r="B25" s="934"/>
      <c r="C25" s="935">
        <f>IF(Onbekend_ele_kWh="---",0,Onbekend_ele_kWh)/1000+IF(REST_rest_ele_kWh="---",0,REST_rest_ele_kWh)/1000</f>
        <v>705.20821434913796</v>
      </c>
      <c r="D25" s="935"/>
      <c r="E25" s="935">
        <f>IF(onbekend_gas_kWh="---",0,onbekend_gas_kWh)/1000+IF(REST_rest_gas_kWh="---",0,REST_rest_gas_kWh)/1000</f>
        <v>1920.83246030544</v>
      </c>
      <c r="F25" s="935"/>
      <c r="G25" s="935"/>
      <c r="H25" s="935"/>
      <c r="I25" s="935"/>
      <c r="J25" s="935"/>
      <c r="K25" s="935"/>
      <c r="L25" s="935"/>
      <c r="M25" s="935"/>
      <c r="N25" s="935"/>
      <c r="O25" s="935"/>
      <c r="P25" s="935"/>
      <c r="Q25" s="936"/>
      <c r="R25" s="628">
        <f>SUM(C25:Q25)</f>
        <v>2626.0406746545777</v>
      </c>
      <c r="S25" s="67"/>
    </row>
    <row r="26" spans="1:19" s="437" customFormat="1" ht="15.75" thickBot="1">
      <c r="A26" s="633" t="s">
        <v>776</v>
      </c>
      <c r="B26" s="744"/>
      <c r="C26" s="739">
        <f>SUM(C24:C25)</f>
        <v>1055.3569724240517</v>
      </c>
      <c r="D26" s="739">
        <f t="shared" ref="D26:R26" si="2">SUM(D24:D25)</f>
        <v>10131.428571428571</v>
      </c>
      <c r="E26" s="739">
        <f t="shared" si="2"/>
        <v>1920.83246030544</v>
      </c>
      <c r="F26" s="739">
        <f t="shared" si="2"/>
        <v>11.363478231089337</v>
      </c>
      <c r="G26" s="739">
        <f t="shared" si="2"/>
        <v>1291.766713834935</v>
      </c>
      <c r="H26" s="739">
        <f t="shared" si="2"/>
        <v>0</v>
      </c>
      <c r="I26" s="739">
        <f t="shared" si="2"/>
        <v>0</v>
      </c>
      <c r="J26" s="739">
        <f t="shared" si="2"/>
        <v>0</v>
      </c>
      <c r="K26" s="739">
        <f t="shared" si="2"/>
        <v>92.085503299705309</v>
      </c>
      <c r="L26" s="739">
        <f t="shared" si="2"/>
        <v>0</v>
      </c>
      <c r="M26" s="739">
        <f t="shared" si="2"/>
        <v>0</v>
      </c>
      <c r="N26" s="739">
        <f t="shared" si="2"/>
        <v>0</v>
      </c>
      <c r="O26" s="739">
        <f t="shared" si="2"/>
        <v>0</v>
      </c>
      <c r="P26" s="739">
        <f t="shared" si="2"/>
        <v>0</v>
      </c>
      <c r="Q26" s="739">
        <f t="shared" si="2"/>
        <v>0</v>
      </c>
      <c r="R26" s="739">
        <f t="shared" si="2"/>
        <v>14502.833699523793</v>
      </c>
      <c r="S26" s="67"/>
    </row>
    <row r="27" spans="1:19" s="437" customFormat="1" ht="17.25" thickTop="1" thickBot="1">
      <c r="A27" s="634" t="s">
        <v>109</v>
      </c>
      <c r="B27" s="732"/>
      <c r="C27" s="635">
        <f ca="1">C22+C16+C26</f>
        <v>101714.98565748768</v>
      </c>
      <c r="D27" s="635">
        <f t="shared" ref="D27:R27" ca="1" si="3">D22+D16+D26</f>
        <v>37118.571428571428</v>
      </c>
      <c r="E27" s="635">
        <f t="shared" ca="1" si="3"/>
        <v>126375.17347895596</v>
      </c>
      <c r="F27" s="635">
        <f t="shared" si="3"/>
        <v>1917.2696944604074</v>
      </c>
      <c r="G27" s="635">
        <f t="shared" ca="1" si="3"/>
        <v>25058.067124505553</v>
      </c>
      <c r="H27" s="635">
        <f t="shared" si="3"/>
        <v>214048.54360167909</v>
      </c>
      <c r="I27" s="635">
        <f t="shared" si="3"/>
        <v>33527.30318034927</v>
      </c>
      <c r="J27" s="635">
        <f t="shared" si="3"/>
        <v>0</v>
      </c>
      <c r="K27" s="635">
        <f t="shared" si="3"/>
        <v>190.09751057884762</v>
      </c>
      <c r="L27" s="635">
        <f t="shared" si="3"/>
        <v>0</v>
      </c>
      <c r="M27" s="635">
        <f t="shared" ca="1" si="3"/>
        <v>0</v>
      </c>
      <c r="N27" s="635">
        <f t="shared" si="3"/>
        <v>13491.07174341009</v>
      </c>
      <c r="O27" s="635">
        <f t="shared" ca="1" si="3"/>
        <v>8831.3648102343741</v>
      </c>
      <c r="P27" s="635">
        <f t="shared" si="3"/>
        <v>195.41666666666669</v>
      </c>
      <c r="Q27" s="635">
        <f t="shared" si="3"/>
        <v>476.66666666666669</v>
      </c>
      <c r="R27" s="635">
        <f t="shared" ca="1" si="3"/>
        <v>562944.53156356607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6652.0322642315978</v>
      </c>
      <c r="D40" s="931">
        <f ca="1">tertiair!C20</f>
        <v>0</v>
      </c>
      <c r="E40" s="931">
        <f ca="1">tertiair!D20</f>
        <v>7556.5767062555742</v>
      </c>
      <c r="F40" s="931">
        <f>tertiair!E20</f>
        <v>117.11552255650159</v>
      </c>
      <c r="G40" s="931">
        <f ca="1">tertiair!F20</f>
        <v>1415.3756572545337</v>
      </c>
      <c r="H40" s="931">
        <f>tertiair!G20</f>
        <v>0</v>
      </c>
      <c r="I40" s="931">
        <f>tertiair!H20</f>
        <v>0</v>
      </c>
      <c r="J40" s="931">
        <f>tertiair!I20</f>
        <v>0</v>
      </c>
      <c r="K40" s="931">
        <f>tertiair!J20</f>
        <v>1.5334573572032308E-2</v>
      </c>
      <c r="L40" s="931">
        <f>tertiair!K20</f>
        <v>0</v>
      </c>
      <c r="M40" s="931">
        <f ca="1">tertiair!L20</f>
        <v>0</v>
      </c>
      <c r="N40" s="931">
        <f>tertiair!M20</f>
        <v>0</v>
      </c>
      <c r="O40" s="931">
        <f ca="1">tertiair!N20</f>
        <v>0</v>
      </c>
      <c r="P40" s="931">
        <f>tertiair!O20</f>
        <v>0</v>
      </c>
      <c r="Q40" s="702">
        <f>tertiair!P20</f>
        <v>0</v>
      </c>
      <c r="R40" s="777">
        <f t="shared" ca="1" si="4"/>
        <v>15741.11548487178</v>
      </c>
    </row>
    <row r="41" spans="1:18">
      <c r="A41" s="749" t="s">
        <v>213</v>
      </c>
      <c r="B41" s="756"/>
      <c r="C41" s="931">
        <f ca="1">huishoudens!B12</f>
        <v>4538.2887528804404</v>
      </c>
      <c r="D41" s="931">
        <f ca="1">huishoudens!C12</f>
        <v>0</v>
      </c>
      <c r="E41" s="931">
        <f>huishoudens!D12</f>
        <v>12871.849479173145</v>
      </c>
      <c r="F41" s="931">
        <f>huishoudens!E12</f>
        <v>149.1301943947592</v>
      </c>
      <c r="G41" s="931">
        <f>huishoudens!F12</f>
        <v>4065.8358680924689</v>
      </c>
      <c r="H41" s="931">
        <f>huishoudens!G12</f>
        <v>0</v>
      </c>
      <c r="I41" s="931">
        <f>huishoudens!H12</f>
        <v>0</v>
      </c>
      <c r="J41" s="931">
        <f>huishoudens!I12</f>
        <v>0</v>
      </c>
      <c r="K41" s="931">
        <f>huishoudens!J12</f>
        <v>27.703237776095825</v>
      </c>
      <c r="L41" s="931">
        <f>huishoudens!K12</f>
        <v>0</v>
      </c>
      <c r="M41" s="931">
        <f>huishoudens!L12</f>
        <v>0</v>
      </c>
      <c r="N41" s="931">
        <f>huishoudens!M12</f>
        <v>0</v>
      </c>
      <c r="O41" s="931">
        <f>huishoudens!N12</f>
        <v>0</v>
      </c>
      <c r="P41" s="931">
        <f>huishoudens!O12</f>
        <v>0</v>
      </c>
      <c r="Q41" s="702">
        <f>huishoudens!P12</f>
        <v>0</v>
      </c>
      <c r="R41" s="777">
        <f t="shared" ca="1" si="4"/>
        <v>21652.807532316907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10302.90992962368</v>
      </c>
      <c r="D43" s="931">
        <f ca="1">industrie!C22</f>
        <v>6413.4151260504223</v>
      </c>
      <c r="E43" s="931">
        <f>industrie!D22</f>
        <v>4673.6136112102786</v>
      </c>
      <c r="F43" s="931">
        <f>industrie!E22</f>
        <v>79.846027206498377</v>
      </c>
      <c r="G43" s="931">
        <f>industrie!F22</f>
        <v>864.39068430205202</v>
      </c>
      <c r="H43" s="931">
        <f>industrie!G22</f>
        <v>0</v>
      </c>
      <c r="I43" s="931">
        <f>industrie!H22</f>
        <v>0</v>
      </c>
      <c r="J43" s="931">
        <f>industrie!I22</f>
        <v>0</v>
      </c>
      <c r="K43" s="931">
        <f>industrie!J22</f>
        <v>6.9776782271485143</v>
      </c>
      <c r="L43" s="931">
        <f>industrie!K22</f>
        <v>0</v>
      </c>
      <c r="M43" s="931">
        <f>industrie!L22</f>
        <v>0</v>
      </c>
      <c r="N43" s="931">
        <f>industrie!M22</f>
        <v>0</v>
      </c>
      <c r="O43" s="931">
        <f>industrie!N22</f>
        <v>0</v>
      </c>
      <c r="P43" s="931">
        <f>industrie!O22</f>
        <v>0</v>
      </c>
      <c r="Q43" s="702">
        <f>industrie!P22</f>
        <v>0</v>
      </c>
      <c r="R43" s="776">
        <f t="shared" ca="1" si="4"/>
        <v>22341.153056620082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21493.230946735719</v>
      </c>
      <c r="D46" s="660">
        <f t="shared" ref="D46:Q46" ca="1" si="5">SUM(D39:D45)</f>
        <v>6413.4151260504223</v>
      </c>
      <c r="E46" s="660">
        <f t="shared" ca="1" si="5"/>
        <v>25102.039796638997</v>
      </c>
      <c r="F46" s="660">
        <f t="shared" si="5"/>
        <v>346.09174415775914</v>
      </c>
      <c r="G46" s="660">
        <f t="shared" ca="1" si="5"/>
        <v>6345.6022096490551</v>
      </c>
      <c r="H46" s="660">
        <f t="shared" si="5"/>
        <v>0</v>
      </c>
      <c r="I46" s="660">
        <f t="shared" si="5"/>
        <v>0</v>
      </c>
      <c r="J46" s="660">
        <f t="shared" si="5"/>
        <v>0</v>
      </c>
      <c r="K46" s="660">
        <f t="shared" si="5"/>
        <v>34.696250576816375</v>
      </c>
      <c r="L46" s="660">
        <f t="shared" si="5"/>
        <v>0</v>
      </c>
      <c r="M46" s="660">
        <f t="shared" ca="1" si="5"/>
        <v>0</v>
      </c>
      <c r="N46" s="660">
        <f t="shared" si="5"/>
        <v>0</v>
      </c>
      <c r="O46" s="660">
        <f t="shared" ca="1" si="5"/>
        <v>0</v>
      </c>
      <c r="P46" s="660">
        <f t="shared" si="5"/>
        <v>0</v>
      </c>
      <c r="Q46" s="660">
        <f t="shared" si="5"/>
        <v>0</v>
      </c>
      <c r="R46" s="660">
        <f ca="1">SUM(R39:R45)</f>
        <v>59735.07607380877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4.9988978412331218</v>
      </c>
      <c r="D49" s="931">
        <f ca="1">transport!C58</f>
        <v>0</v>
      </c>
      <c r="E49" s="931">
        <f>transport!D58</f>
        <v>0</v>
      </c>
      <c r="F49" s="931">
        <f>transport!E58</f>
        <v>0</v>
      </c>
      <c r="G49" s="931">
        <f>transport!F58</f>
        <v>0</v>
      </c>
      <c r="H49" s="931">
        <f>transport!G58</f>
        <v>586.29985236414893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591.29875020538202</v>
      </c>
    </row>
    <row r="50" spans="1:18">
      <c r="A50" s="752" t="s">
        <v>295</v>
      </c>
      <c r="B50" s="762"/>
      <c r="C50" s="631">
        <f ca="1">transport!B18</f>
        <v>28.198037675097382</v>
      </c>
      <c r="D50" s="631">
        <f>transport!C18</f>
        <v>0</v>
      </c>
      <c r="E50" s="631">
        <f>transport!D18</f>
        <v>37.737089128411377</v>
      </c>
      <c r="F50" s="631">
        <f>transport!E18</f>
        <v>86.548966926296046</v>
      </c>
      <c r="G50" s="631">
        <f>transport!F18</f>
        <v>0</v>
      </c>
      <c r="H50" s="631">
        <f>transport!G18</f>
        <v>56564.661289284173</v>
      </c>
      <c r="I50" s="631">
        <f>transport!H18</f>
        <v>8348.2984919069677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65065.443874920951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33.196935516330505</v>
      </c>
      <c r="D52" s="660">
        <f t="shared" ref="D52:Q52" ca="1" si="6">SUM(D48:D51)</f>
        <v>0</v>
      </c>
      <c r="E52" s="660">
        <f t="shared" si="6"/>
        <v>37.737089128411377</v>
      </c>
      <c r="F52" s="660">
        <f t="shared" si="6"/>
        <v>86.548966926296046</v>
      </c>
      <c r="G52" s="660">
        <f t="shared" si="6"/>
        <v>0</v>
      </c>
      <c r="H52" s="660">
        <f t="shared" si="6"/>
        <v>57150.961141648324</v>
      </c>
      <c r="I52" s="660">
        <f t="shared" si="6"/>
        <v>8348.2984919069677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65656.742625126339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74.880586062386271</v>
      </c>
      <c r="D54" s="631">
        <f ca="1">+landbouw!C12</f>
        <v>2407.7042016806727</v>
      </c>
      <c r="E54" s="631">
        <f>+landbouw!D12</f>
        <v>0</v>
      </c>
      <c r="F54" s="631">
        <f>+landbouw!E12</f>
        <v>2.5795095584572794</v>
      </c>
      <c r="G54" s="631">
        <f>+landbouw!F12</f>
        <v>344.90171259392764</v>
      </c>
      <c r="H54" s="631">
        <f>+landbouw!G12</f>
        <v>0</v>
      </c>
      <c r="I54" s="631">
        <f>+landbouw!H12</f>
        <v>0</v>
      </c>
      <c r="J54" s="631">
        <f>+landbouw!I12</f>
        <v>0</v>
      </c>
      <c r="K54" s="631">
        <f>+landbouw!J12</f>
        <v>32.598268168095679</v>
      </c>
      <c r="L54" s="631">
        <f>+landbouw!K12</f>
        <v>0</v>
      </c>
      <c r="M54" s="631">
        <f>+landbouw!L12</f>
        <v>0</v>
      </c>
      <c r="N54" s="631">
        <f>+landbouw!M12</f>
        <v>0</v>
      </c>
      <c r="O54" s="631">
        <f>+landbouw!N12</f>
        <v>0</v>
      </c>
      <c r="P54" s="631">
        <f>+landbouw!O12</f>
        <v>0</v>
      </c>
      <c r="Q54" s="632">
        <f>+landbouw!P12</f>
        <v>0</v>
      </c>
      <c r="R54" s="659">
        <f ca="1">SUM(C54:Q54)</f>
        <v>2862.6642780635393</v>
      </c>
    </row>
    <row r="55" spans="1:18" ht="15" thickBot="1">
      <c r="A55" s="752" t="s">
        <v>775</v>
      </c>
      <c r="B55" s="762"/>
      <c r="C55" s="631">
        <f ca="1">C25*'EF ele_warmte'!B12</f>
        <v>150.81134280411902</v>
      </c>
      <c r="D55" s="631"/>
      <c r="E55" s="631">
        <f>E25*EF_CO2_aardgas</f>
        <v>388.0081569816989</v>
      </c>
      <c r="F55" s="631"/>
      <c r="G55" s="631"/>
      <c r="H55" s="631"/>
      <c r="I55" s="631"/>
      <c r="J55" s="631"/>
      <c r="K55" s="631"/>
      <c r="L55" s="631"/>
      <c r="M55" s="631"/>
      <c r="N55" s="631"/>
      <c r="O55" s="631"/>
      <c r="P55" s="631"/>
      <c r="Q55" s="632"/>
      <c r="R55" s="659">
        <f ca="1">SUM(C55:Q55)</f>
        <v>538.81949978581792</v>
      </c>
    </row>
    <row r="56" spans="1:18" ht="15.75" thickBot="1">
      <c r="A56" s="750" t="s">
        <v>776</v>
      </c>
      <c r="B56" s="763"/>
      <c r="C56" s="660">
        <f ca="1">SUM(C54:C55)</f>
        <v>225.69192886650529</v>
      </c>
      <c r="D56" s="660">
        <f t="shared" ref="D56:Q56" ca="1" si="7">SUM(D54:D55)</f>
        <v>2407.7042016806727</v>
      </c>
      <c r="E56" s="660">
        <f t="shared" si="7"/>
        <v>388.0081569816989</v>
      </c>
      <c r="F56" s="660">
        <f t="shared" si="7"/>
        <v>2.5795095584572794</v>
      </c>
      <c r="G56" s="660">
        <f t="shared" si="7"/>
        <v>344.90171259392764</v>
      </c>
      <c r="H56" s="660">
        <f t="shared" si="7"/>
        <v>0</v>
      </c>
      <c r="I56" s="660">
        <f t="shared" si="7"/>
        <v>0</v>
      </c>
      <c r="J56" s="660">
        <f t="shared" si="7"/>
        <v>0</v>
      </c>
      <c r="K56" s="660">
        <f t="shared" si="7"/>
        <v>32.598268168095679</v>
      </c>
      <c r="L56" s="660">
        <f t="shared" si="7"/>
        <v>0</v>
      </c>
      <c r="M56" s="660">
        <f t="shared" si="7"/>
        <v>0</v>
      </c>
      <c r="N56" s="660">
        <f t="shared" si="7"/>
        <v>0</v>
      </c>
      <c r="O56" s="660">
        <f t="shared" si="7"/>
        <v>0</v>
      </c>
      <c r="P56" s="660">
        <f t="shared" si="7"/>
        <v>0</v>
      </c>
      <c r="Q56" s="661">
        <f t="shared" si="7"/>
        <v>0</v>
      </c>
      <c r="R56" s="662">
        <f ca="1">SUM(R54:R55)</f>
        <v>3401.4837778493575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21752.119811118555</v>
      </c>
      <c r="D61" s="668">
        <f t="shared" ref="D61:Q61" ca="1" si="8">D46+D52+D56</f>
        <v>8821.1193277310958</v>
      </c>
      <c r="E61" s="668">
        <f t="shared" ca="1" si="8"/>
        <v>25527.785042749107</v>
      </c>
      <c r="F61" s="668">
        <f t="shared" si="8"/>
        <v>435.22022064251246</v>
      </c>
      <c r="G61" s="668">
        <f t="shared" ca="1" si="8"/>
        <v>6690.5039222429823</v>
      </c>
      <c r="H61" s="668">
        <f t="shared" si="8"/>
        <v>57150.961141648324</v>
      </c>
      <c r="I61" s="668">
        <f t="shared" si="8"/>
        <v>8348.2984919069677</v>
      </c>
      <c r="J61" s="668">
        <f t="shared" si="8"/>
        <v>0</v>
      </c>
      <c r="K61" s="668">
        <f t="shared" si="8"/>
        <v>67.294518744912054</v>
      </c>
      <c r="L61" s="668">
        <f t="shared" si="8"/>
        <v>0</v>
      </c>
      <c r="M61" s="668">
        <f t="shared" ca="1" si="8"/>
        <v>0</v>
      </c>
      <c r="N61" s="668">
        <f t="shared" si="8"/>
        <v>0</v>
      </c>
      <c r="O61" s="668">
        <f t="shared" ca="1" si="8"/>
        <v>0</v>
      </c>
      <c r="P61" s="668">
        <f t="shared" si="8"/>
        <v>0</v>
      </c>
      <c r="Q61" s="668">
        <f t="shared" si="8"/>
        <v>0</v>
      </c>
      <c r="R61" s="668">
        <f ca="1">R46+R52+R56</f>
        <v>128793.30247678446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0.21385363887643913</v>
      </c>
      <c r="D63" s="709">
        <f t="shared" ca="1" si="9"/>
        <v>0.23764705882352952</v>
      </c>
      <c r="E63" s="942">
        <f t="shared" ca="1" si="9"/>
        <v>0.20200000000000004</v>
      </c>
      <c r="F63" s="709">
        <f t="shared" si="9"/>
        <v>0.22699999999999998</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5246.301124877762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25983</v>
      </c>
      <c r="D76" s="952">
        <f>'lokale energieproductie'!C8</f>
        <v>30568.235294117643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6174.783529411764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5246.301124877762</v>
      </c>
      <c r="C78" s="683">
        <f>SUM(C72:C77)</f>
        <v>25983</v>
      </c>
      <c r="D78" s="684">
        <f t="shared" ref="D78:H78" si="10">SUM(D76:D77)</f>
        <v>30568.235294117643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6174.783529411764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37118.571428571428</v>
      </c>
      <c r="D87" s="705">
        <f>'lokale energieproductie'!C17</f>
        <v>43668.907563025212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8821.119327731094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37118.571428571428</v>
      </c>
      <c r="D90" s="683">
        <f t="shared" ref="D90:H90" si="12">SUM(D87:D89)</f>
        <v>43668.907563025212</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8821.119327731094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21221.470799954841</v>
      </c>
      <c r="C4" s="441">
        <f>huishoudens!C8</f>
        <v>0</v>
      </c>
      <c r="D4" s="441">
        <f>huishoudens!D8</f>
        <v>63722.027124619526</v>
      </c>
      <c r="E4" s="441">
        <f>huishoudens!E8</f>
        <v>656.96120878748548</v>
      </c>
      <c r="F4" s="441">
        <f>huishoudens!F8</f>
        <v>15227.849693230221</v>
      </c>
      <c r="G4" s="441">
        <f>huishoudens!G8</f>
        <v>0</v>
      </c>
      <c r="H4" s="441">
        <f>huishoudens!H8</f>
        <v>0</v>
      </c>
      <c r="I4" s="441">
        <f>huishoudens!I8</f>
        <v>0</v>
      </c>
      <c r="J4" s="441">
        <f>huishoudens!J8</f>
        <v>78.257733830779173</v>
      </c>
      <c r="K4" s="441">
        <f>huishoudens!K8</f>
        <v>0</v>
      </c>
      <c r="L4" s="441">
        <f>huishoudens!L8</f>
        <v>0</v>
      </c>
      <c r="M4" s="441">
        <f>huishoudens!M8</f>
        <v>0</v>
      </c>
      <c r="N4" s="441">
        <f>huishoudens!N8</f>
        <v>6511.0554328145272</v>
      </c>
      <c r="O4" s="441">
        <f>huishoudens!O8</f>
        <v>192.29000000000002</v>
      </c>
      <c r="P4" s="442">
        <f>huishoudens!P8</f>
        <v>419.4666666666667</v>
      </c>
      <c r="Q4" s="443">
        <f>SUM(B4:P4)</f>
        <v>108029.37865990402</v>
      </c>
    </row>
    <row r="5" spans="1:17">
      <c r="A5" s="440" t="s">
        <v>149</v>
      </c>
      <c r="B5" s="441">
        <f ca="1">tertiair!B16</f>
        <v>30220.249941903639</v>
      </c>
      <c r="C5" s="441">
        <f ca="1">tertiair!C16</f>
        <v>0</v>
      </c>
      <c r="D5" s="441">
        <f ca="1">tertiair!D16</f>
        <v>37408.795575522643</v>
      </c>
      <c r="E5" s="441">
        <f>tertiair!E16</f>
        <v>515.9274121431788</v>
      </c>
      <c r="F5" s="441">
        <f ca="1">tertiair!F16</f>
        <v>5301.0324241742837</v>
      </c>
      <c r="G5" s="441">
        <f>tertiair!G16</f>
        <v>0</v>
      </c>
      <c r="H5" s="441">
        <f>tertiair!H16</f>
        <v>0</v>
      </c>
      <c r="I5" s="441">
        <f>tertiair!I16</f>
        <v>0</v>
      </c>
      <c r="J5" s="441">
        <f>tertiair!J16</f>
        <v>4.3318004440769234E-2</v>
      </c>
      <c r="K5" s="441">
        <f>tertiair!K16</f>
        <v>0</v>
      </c>
      <c r="L5" s="441">
        <f ca="1">tertiair!L16</f>
        <v>0</v>
      </c>
      <c r="M5" s="441">
        <f>tertiair!M16</f>
        <v>0</v>
      </c>
      <c r="N5" s="441">
        <f ca="1">tertiair!N16</f>
        <v>1730.2049385623513</v>
      </c>
      <c r="O5" s="441">
        <f>tertiair!O16</f>
        <v>3.1266666666666669</v>
      </c>
      <c r="P5" s="442">
        <f>tertiair!P16</f>
        <v>57.2</v>
      </c>
      <c r="Q5" s="440">
        <f t="shared" ref="Q5:Q14" ca="1" si="0">SUM(B5:P5)</f>
        <v>75236.580276977184</v>
      </c>
    </row>
    <row r="6" spans="1:17">
      <c r="A6" s="440" t="s">
        <v>187</v>
      </c>
      <c r="B6" s="441">
        <f>'openbare verlichting'!B8</f>
        <v>885.28700000000003</v>
      </c>
      <c r="C6" s="441"/>
      <c r="D6" s="441"/>
      <c r="E6" s="441"/>
      <c r="F6" s="441"/>
      <c r="G6" s="441"/>
      <c r="H6" s="441"/>
      <c r="I6" s="441"/>
      <c r="J6" s="441"/>
      <c r="K6" s="441"/>
      <c r="L6" s="441"/>
      <c r="M6" s="441"/>
      <c r="N6" s="441"/>
      <c r="O6" s="441"/>
      <c r="P6" s="442"/>
      <c r="Q6" s="440">
        <f t="shared" si="0"/>
        <v>885.28700000000003</v>
      </c>
    </row>
    <row r="7" spans="1:17">
      <c r="A7" s="440" t="s">
        <v>105</v>
      </c>
      <c r="B7" s="441">
        <f>landbouw!B8</f>
        <v>350.14875807491381</v>
      </c>
      <c r="C7" s="441">
        <f>landbouw!C8</f>
        <v>10131.428571428571</v>
      </c>
      <c r="D7" s="441">
        <f>landbouw!D8</f>
        <v>0</v>
      </c>
      <c r="E7" s="441">
        <f>landbouw!E8</f>
        <v>11.363478231089337</v>
      </c>
      <c r="F7" s="441">
        <f>landbouw!F8</f>
        <v>1291.766713834935</v>
      </c>
      <c r="G7" s="441">
        <f>landbouw!G8</f>
        <v>0</v>
      </c>
      <c r="H7" s="441">
        <f>landbouw!H8</f>
        <v>0</v>
      </c>
      <c r="I7" s="441">
        <f>landbouw!I8</f>
        <v>0</v>
      </c>
      <c r="J7" s="441">
        <f>landbouw!J8</f>
        <v>92.085503299705309</v>
      </c>
      <c r="K7" s="441">
        <f>landbouw!K8</f>
        <v>0</v>
      </c>
      <c r="L7" s="441">
        <f>landbouw!L8</f>
        <v>0</v>
      </c>
      <c r="M7" s="441">
        <f>landbouw!M8</f>
        <v>0</v>
      </c>
      <c r="N7" s="441">
        <f>landbouw!N8</f>
        <v>0</v>
      </c>
      <c r="O7" s="441">
        <f>landbouw!O8</f>
        <v>0</v>
      </c>
      <c r="P7" s="442">
        <f>landbouw!P8</f>
        <v>0</v>
      </c>
      <c r="Q7" s="440">
        <f t="shared" si="0"/>
        <v>11876.793024869216</v>
      </c>
    </row>
    <row r="8" spans="1:17">
      <c r="A8" s="440" t="s">
        <v>596</v>
      </c>
      <c r="B8" s="441">
        <f>industrie!B18</f>
        <v>48177.388908385707</v>
      </c>
      <c r="C8" s="441">
        <f>industrie!C18</f>
        <v>26987.142857142859</v>
      </c>
      <c r="D8" s="441">
        <f>industrie!D18</f>
        <v>23136.701045595437</v>
      </c>
      <c r="E8" s="441">
        <f>industrie!E18</f>
        <v>351.74461324448623</v>
      </c>
      <c r="F8" s="441">
        <f>industrie!F18</f>
        <v>3237.4182932661124</v>
      </c>
      <c r="G8" s="441">
        <f>industrie!G18</f>
        <v>0</v>
      </c>
      <c r="H8" s="441">
        <f>industrie!H18</f>
        <v>0</v>
      </c>
      <c r="I8" s="441">
        <f>industrie!I18</f>
        <v>0</v>
      </c>
      <c r="J8" s="441">
        <f>industrie!J18</f>
        <v>19.710955443922359</v>
      </c>
      <c r="K8" s="441">
        <f>industrie!K18</f>
        <v>0</v>
      </c>
      <c r="L8" s="441">
        <f>industrie!L18</f>
        <v>0</v>
      </c>
      <c r="M8" s="441">
        <f>industrie!M18</f>
        <v>0</v>
      </c>
      <c r="N8" s="441">
        <f>industrie!N18</f>
        <v>590.10443885749476</v>
      </c>
      <c r="O8" s="441">
        <f>industrie!O18</f>
        <v>0</v>
      </c>
      <c r="P8" s="442">
        <f>industrie!P18</f>
        <v>0</v>
      </c>
      <c r="Q8" s="440">
        <f t="shared" si="0"/>
        <v>102500.21111193602</v>
      </c>
    </row>
    <row r="9" spans="1:17" s="446" customFormat="1">
      <c r="A9" s="444" t="s">
        <v>545</v>
      </c>
      <c r="B9" s="445">
        <f>transport!B14</f>
        <v>131.85671201690289</v>
      </c>
      <c r="C9" s="445">
        <f>transport!C14</f>
        <v>0</v>
      </c>
      <c r="D9" s="445">
        <f>transport!D14</f>
        <v>186.81727291292759</v>
      </c>
      <c r="E9" s="445">
        <f>transport!E14</f>
        <v>381.27298205416758</v>
      </c>
      <c r="F9" s="445">
        <f>transport!F14</f>
        <v>0</v>
      </c>
      <c r="G9" s="445">
        <f>transport!G14</f>
        <v>211852.66400480963</v>
      </c>
      <c r="H9" s="445">
        <f>transport!H14</f>
        <v>33527.30318034927</v>
      </c>
      <c r="I9" s="445">
        <f>transport!I14</f>
        <v>0</v>
      </c>
      <c r="J9" s="445">
        <f>transport!J14</f>
        <v>0</v>
      </c>
      <c r="K9" s="445">
        <f>transport!K14</f>
        <v>0</v>
      </c>
      <c r="L9" s="445">
        <f>transport!L14</f>
        <v>0</v>
      </c>
      <c r="M9" s="445">
        <f>transport!M14</f>
        <v>13364.617630520925</v>
      </c>
      <c r="N9" s="445">
        <f>transport!N14</f>
        <v>0</v>
      </c>
      <c r="O9" s="445">
        <f>transport!O14</f>
        <v>0</v>
      </c>
      <c r="P9" s="445">
        <f>transport!P14</f>
        <v>0</v>
      </c>
      <c r="Q9" s="444">
        <f>SUM(B9:P9)</f>
        <v>259444.53178266381</v>
      </c>
    </row>
    <row r="10" spans="1:17">
      <c r="A10" s="440" t="s">
        <v>535</v>
      </c>
      <c r="B10" s="441">
        <f>transport!B54</f>
        <v>23.375322802533173</v>
      </c>
      <c r="C10" s="441">
        <f>transport!C54</f>
        <v>0</v>
      </c>
      <c r="D10" s="441">
        <f>transport!D54</f>
        <v>0</v>
      </c>
      <c r="E10" s="441">
        <f>transport!E54</f>
        <v>0</v>
      </c>
      <c r="F10" s="441">
        <f>transport!F54</f>
        <v>0</v>
      </c>
      <c r="G10" s="441">
        <f>transport!G54</f>
        <v>2195.8795968694717</v>
      </c>
      <c r="H10" s="441">
        <f>transport!H54</f>
        <v>0</v>
      </c>
      <c r="I10" s="441">
        <f>transport!I54</f>
        <v>0</v>
      </c>
      <c r="J10" s="441">
        <f>transport!J54</f>
        <v>0</v>
      </c>
      <c r="K10" s="441">
        <f>transport!K54</f>
        <v>0</v>
      </c>
      <c r="L10" s="441">
        <f>transport!L54</f>
        <v>0</v>
      </c>
      <c r="M10" s="441">
        <f>transport!M54</f>
        <v>126.45411288916505</v>
      </c>
      <c r="N10" s="441">
        <f>transport!N54</f>
        <v>0</v>
      </c>
      <c r="O10" s="441">
        <f>transport!O54</f>
        <v>0</v>
      </c>
      <c r="P10" s="442">
        <f>transport!P54</f>
        <v>0</v>
      </c>
      <c r="Q10" s="440">
        <f t="shared" si="0"/>
        <v>2345.7090325611698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705.20821434913796</v>
      </c>
      <c r="C14" s="448"/>
      <c r="D14" s="448">
        <f>'SEAP template'!E25</f>
        <v>1920.83246030544</v>
      </c>
      <c r="E14" s="448"/>
      <c r="F14" s="448"/>
      <c r="G14" s="448"/>
      <c r="H14" s="448"/>
      <c r="I14" s="448"/>
      <c r="J14" s="448"/>
      <c r="K14" s="448"/>
      <c r="L14" s="448"/>
      <c r="M14" s="448"/>
      <c r="N14" s="448"/>
      <c r="O14" s="448"/>
      <c r="P14" s="449"/>
      <c r="Q14" s="440">
        <f t="shared" si="0"/>
        <v>2626.0406746545777</v>
      </c>
    </row>
    <row r="15" spans="1:17" s="450" customFormat="1">
      <c r="A15" s="957" t="s">
        <v>539</v>
      </c>
      <c r="B15" s="905">
        <f ca="1">SUM(B4:B14)</f>
        <v>101714.98565748768</v>
      </c>
      <c r="C15" s="905">
        <f t="shared" ref="C15:Q15" ca="1" si="1">SUM(C4:C14)</f>
        <v>37118.571428571428</v>
      </c>
      <c r="D15" s="905">
        <f t="shared" ca="1" si="1"/>
        <v>126375.17347895596</v>
      </c>
      <c r="E15" s="905">
        <f t="shared" si="1"/>
        <v>1917.2696944604077</v>
      </c>
      <c r="F15" s="905">
        <f t="shared" ca="1" si="1"/>
        <v>25058.067124505553</v>
      </c>
      <c r="G15" s="905">
        <f t="shared" si="1"/>
        <v>214048.54360167909</v>
      </c>
      <c r="H15" s="905">
        <f t="shared" si="1"/>
        <v>33527.30318034927</v>
      </c>
      <c r="I15" s="905">
        <f t="shared" si="1"/>
        <v>0</v>
      </c>
      <c r="J15" s="905">
        <f t="shared" si="1"/>
        <v>190.09751057884759</v>
      </c>
      <c r="K15" s="905">
        <f t="shared" si="1"/>
        <v>0</v>
      </c>
      <c r="L15" s="905">
        <f t="shared" ca="1" si="1"/>
        <v>0</v>
      </c>
      <c r="M15" s="905">
        <f t="shared" si="1"/>
        <v>13491.07174341009</v>
      </c>
      <c r="N15" s="905">
        <f t="shared" ca="1" si="1"/>
        <v>8831.3648102343741</v>
      </c>
      <c r="O15" s="905">
        <f t="shared" si="1"/>
        <v>195.41666666666669</v>
      </c>
      <c r="P15" s="905">
        <f t="shared" si="1"/>
        <v>476.66666666666669</v>
      </c>
      <c r="Q15" s="905">
        <f t="shared" ca="1" si="1"/>
        <v>562944.53156356595</v>
      </c>
    </row>
    <row r="17" spans="1:17">
      <c r="A17" s="451" t="s">
        <v>540</v>
      </c>
      <c r="B17" s="714">
        <f ca="1">huishoudens!B10</f>
        <v>0.21385363887643913</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4538.2887528804404</v>
      </c>
      <c r="C22" s="441">
        <f t="shared" ref="C22:C32" ca="1" si="3">C4*$C$17</f>
        <v>0</v>
      </c>
      <c r="D22" s="441">
        <f t="shared" ref="D22:D32" si="4">D4*$D$17</f>
        <v>12871.849479173145</v>
      </c>
      <c r="E22" s="441">
        <f t="shared" ref="E22:E32" si="5">E4*$E$17</f>
        <v>149.1301943947592</v>
      </c>
      <c r="F22" s="441">
        <f t="shared" ref="F22:F32" si="6">F4*$F$17</f>
        <v>4065.8358680924689</v>
      </c>
      <c r="G22" s="441">
        <f t="shared" ref="G22:G32" si="7">G4*$G$17</f>
        <v>0</v>
      </c>
      <c r="H22" s="441">
        <f t="shared" ref="H22:H32" si="8">H4*$H$17</f>
        <v>0</v>
      </c>
      <c r="I22" s="441">
        <f t="shared" ref="I22:I32" si="9">I4*$I$17</f>
        <v>0</v>
      </c>
      <c r="J22" s="441">
        <f t="shared" ref="J22:J32" si="10">J4*$J$17</f>
        <v>27.703237776095825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21652.807532316907</v>
      </c>
    </row>
    <row r="23" spans="1:17">
      <c r="A23" s="440" t="s">
        <v>149</v>
      </c>
      <c r="B23" s="441">
        <f t="shared" ca="1" si="2"/>
        <v>6462.7104178315913</v>
      </c>
      <c r="C23" s="441">
        <f t="shared" ca="1" si="3"/>
        <v>0</v>
      </c>
      <c r="D23" s="441">
        <f t="shared" ca="1" si="4"/>
        <v>7556.5767062555742</v>
      </c>
      <c r="E23" s="441">
        <f t="shared" si="5"/>
        <v>117.11552255650159</v>
      </c>
      <c r="F23" s="441">
        <f t="shared" ca="1" si="6"/>
        <v>1415.3756572545337</v>
      </c>
      <c r="G23" s="441">
        <f t="shared" si="7"/>
        <v>0</v>
      </c>
      <c r="H23" s="441">
        <f t="shared" si="8"/>
        <v>0</v>
      </c>
      <c r="I23" s="441">
        <f t="shared" si="9"/>
        <v>0</v>
      </c>
      <c r="J23" s="441">
        <f t="shared" si="10"/>
        <v>1.5334573572032308E-2</v>
      </c>
      <c r="K23" s="441">
        <f t="shared" si="11"/>
        <v>0</v>
      </c>
      <c r="L23" s="441">
        <f t="shared" ca="1" si="12"/>
        <v>0</v>
      </c>
      <c r="M23" s="441">
        <f t="shared" si="13"/>
        <v>0</v>
      </c>
      <c r="N23" s="441">
        <f t="shared" ca="1" si="14"/>
        <v>0</v>
      </c>
      <c r="O23" s="441">
        <f t="shared" si="15"/>
        <v>0</v>
      </c>
      <c r="P23" s="442">
        <f t="shared" si="16"/>
        <v>0</v>
      </c>
      <c r="Q23" s="440">
        <f t="shared" ref="Q23:Q32" ca="1" si="17">SUM(B23:P23)</f>
        <v>15551.793638471772</v>
      </c>
    </row>
    <row r="24" spans="1:17">
      <c r="A24" s="440" t="s">
        <v>187</v>
      </c>
      <c r="B24" s="441">
        <f t="shared" ca="1" si="2"/>
        <v>189.32184640000617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189.32184640000617</v>
      </c>
    </row>
    <row r="25" spans="1:17">
      <c r="A25" s="440" t="s">
        <v>105</v>
      </c>
      <c r="B25" s="441">
        <f t="shared" ca="1" si="2"/>
        <v>74.880586062386271</v>
      </c>
      <c r="C25" s="441">
        <f t="shared" ca="1" si="3"/>
        <v>2407.7042016806727</v>
      </c>
      <c r="D25" s="441">
        <f t="shared" si="4"/>
        <v>0</v>
      </c>
      <c r="E25" s="441">
        <f t="shared" si="5"/>
        <v>2.5795095584572794</v>
      </c>
      <c r="F25" s="441">
        <f t="shared" si="6"/>
        <v>344.90171259392764</v>
      </c>
      <c r="G25" s="441">
        <f t="shared" si="7"/>
        <v>0</v>
      </c>
      <c r="H25" s="441">
        <f t="shared" si="8"/>
        <v>0</v>
      </c>
      <c r="I25" s="441">
        <f t="shared" si="9"/>
        <v>0</v>
      </c>
      <c r="J25" s="441">
        <f t="shared" si="10"/>
        <v>32.598268168095679</v>
      </c>
      <c r="K25" s="441">
        <f t="shared" si="11"/>
        <v>0</v>
      </c>
      <c r="L25" s="441">
        <f t="shared" si="12"/>
        <v>0</v>
      </c>
      <c r="M25" s="441">
        <f t="shared" si="13"/>
        <v>0</v>
      </c>
      <c r="N25" s="441">
        <f t="shared" si="14"/>
        <v>0</v>
      </c>
      <c r="O25" s="441">
        <f t="shared" si="15"/>
        <v>0</v>
      </c>
      <c r="P25" s="442">
        <f t="shared" si="16"/>
        <v>0</v>
      </c>
      <c r="Q25" s="440">
        <f t="shared" ca="1" si="17"/>
        <v>2862.6642780635393</v>
      </c>
    </row>
    <row r="26" spans="1:17">
      <c r="A26" s="440" t="s">
        <v>596</v>
      </c>
      <c r="B26" s="441">
        <f t="shared" ca="1" si="2"/>
        <v>10302.90992962368</v>
      </c>
      <c r="C26" s="441">
        <f t="shared" ca="1" si="3"/>
        <v>6413.4151260504223</v>
      </c>
      <c r="D26" s="441">
        <f t="shared" si="4"/>
        <v>4673.6136112102786</v>
      </c>
      <c r="E26" s="441">
        <f t="shared" si="5"/>
        <v>79.846027206498377</v>
      </c>
      <c r="F26" s="441">
        <f t="shared" si="6"/>
        <v>864.39068430205202</v>
      </c>
      <c r="G26" s="441">
        <f t="shared" si="7"/>
        <v>0</v>
      </c>
      <c r="H26" s="441">
        <f t="shared" si="8"/>
        <v>0</v>
      </c>
      <c r="I26" s="441">
        <f t="shared" si="9"/>
        <v>0</v>
      </c>
      <c r="J26" s="441">
        <f t="shared" si="10"/>
        <v>6.9776782271485143</v>
      </c>
      <c r="K26" s="441">
        <f t="shared" si="11"/>
        <v>0</v>
      </c>
      <c r="L26" s="441">
        <f t="shared" si="12"/>
        <v>0</v>
      </c>
      <c r="M26" s="441">
        <f t="shared" si="13"/>
        <v>0</v>
      </c>
      <c r="N26" s="441">
        <f t="shared" si="14"/>
        <v>0</v>
      </c>
      <c r="O26" s="441">
        <f t="shared" si="15"/>
        <v>0</v>
      </c>
      <c r="P26" s="442">
        <f t="shared" si="16"/>
        <v>0</v>
      </c>
      <c r="Q26" s="440">
        <f t="shared" ca="1" si="17"/>
        <v>22341.153056620082</v>
      </c>
    </row>
    <row r="27" spans="1:17" s="446" customFormat="1">
      <c r="A27" s="444" t="s">
        <v>545</v>
      </c>
      <c r="B27" s="708">
        <f t="shared" ca="1" si="2"/>
        <v>28.198037675097382</v>
      </c>
      <c r="C27" s="445">
        <f t="shared" ca="1" si="3"/>
        <v>0</v>
      </c>
      <c r="D27" s="445">
        <f t="shared" si="4"/>
        <v>37.737089128411377</v>
      </c>
      <c r="E27" s="445">
        <f t="shared" si="5"/>
        <v>86.548966926296046</v>
      </c>
      <c r="F27" s="445">
        <f t="shared" si="6"/>
        <v>0</v>
      </c>
      <c r="G27" s="445">
        <f t="shared" si="7"/>
        <v>56564.661289284173</v>
      </c>
      <c r="H27" s="445">
        <f t="shared" si="8"/>
        <v>8348.2984919069677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65065.443874920951</v>
      </c>
    </row>
    <row r="28" spans="1:17">
      <c r="A28" s="440" t="s">
        <v>535</v>
      </c>
      <c r="B28" s="441">
        <f t="shared" ca="1" si="2"/>
        <v>4.9988978412331218</v>
      </c>
      <c r="C28" s="441">
        <f t="shared" ca="1" si="3"/>
        <v>0</v>
      </c>
      <c r="D28" s="441">
        <f t="shared" si="4"/>
        <v>0</v>
      </c>
      <c r="E28" s="441">
        <f t="shared" si="5"/>
        <v>0</v>
      </c>
      <c r="F28" s="441">
        <f t="shared" si="6"/>
        <v>0</v>
      </c>
      <c r="G28" s="441">
        <f t="shared" si="7"/>
        <v>586.29985236414893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591.29875020538202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150.81134280411902</v>
      </c>
      <c r="C32" s="441">
        <f t="shared" ca="1" si="3"/>
        <v>0</v>
      </c>
      <c r="D32" s="441">
        <f t="shared" si="4"/>
        <v>388.0081569816989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538.81949978581792</v>
      </c>
    </row>
    <row r="33" spans="1:17" s="450" customFormat="1">
      <c r="A33" s="957" t="s">
        <v>539</v>
      </c>
      <c r="B33" s="905">
        <f ca="1">SUM(B22:B32)</f>
        <v>21752.119811118551</v>
      </c>
      <c r="C33" s="905">
        <f t="shared" ref="C33:Q33" ca="1" si="18">SUM(C22:C32)</f>
        <v>8821.1193277310958</v>
      </c>
      <c r="D33" s="905">
        <f t="shared" ca="1" si="18"/>
        <v>25527.785042749107</v>
      </c>
      <c r="E33" s="905">
        <f t="shared" si="18"/>
        <v>435.22022064251246</v>
      </c>
      <c r="F33" s="905">
        <f t="shared" ca="1" si="18"/>
        <v>6690.5039222429823</v>
      </c>
      <c r="G33" s="905">
        <f t="shared" si="18"/>
        <v>57150.961141648324</v>
      </c>
      <c r="H33" s="905">
        <f t="shared" si="18"/>
        <v>8348.2984919069677</v>
      </c>
      <c r="I33" s="905">
        <f t="shared" si="18"/>
        <v>0</v>
      </c>
      <c r="J33" s="905">
        <f t="shared" si="18"/>
        <v>67.294518744912054</v>
      </c>
      <c r="K33" s="905">
        <f t="shared" si="18"/>
        <v>0</v>
      </c>
      <c r="L33" s="905">
        <f t="shared" ca="1" si="18"/>
        <v>0</v>
      </c>
      <c r="M33" s="905">
        <f t="shared" si="18"/>
        <v>0</v>
      </c>
      <c r="N33" s="905">
        <f t="shared" ca="1" si="18"/>
        <v>0</v>
      </c>
      <c r="O33" s="905">
        <f t="shared" si="18"/>
        <v>0</v>
      </c>
      <c r="P33" s="905">
        <f t="shared" si="18"/>
        <v>0</v>
      </c>
      <c r="Q33" s="905">
        <f t="shared" ca="1" si="18"/>
        <v>128793.30247678448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5246.301124877762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25983</v>
      </c>
      <c r="D8" s="974">
        <f>'SEAP template'!D76</f>
        <v>30568.235294117643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6174.783529411764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5246.301124877762</v>
      </c>
      <c r="C10" s="978">
        <f>SUM(C4:C9)</f>
        <v>25983</v>
      </c>
      <c r="D10" s="978">
        <f t="shared" ref="D10:H10" si="0">SUM(D8:D9)</f>
        <v>30568.235294117643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6174.783529411764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0.21385363887643913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37118.571428571428</v>
      </c>
      <c r="D17" s="975">
        <f>'SEAP template'!D87</f>
        <v>43668.907563025212</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8821.119327731094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37118.571428571428</v>
      </c>
      <c r="D20" s="978">
        <f t="shared" ref="D20:H20" si="2">SUM(D17:D19)</f>
        <v>43668.907563025212</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8821.119327731094</v>
      </c>
    </row>
    <row r="22" spans="1:16">
      <c r="A22" s="451" t="s">
        <v>800</v>
      </c>
      <c r="B22" s="714" t="s">
        <v>794</v>
      </c>
      <c r="C22" s="714">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0.21385363887643913</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2022-07-26T10:31:18Z</dcterms:modified>
</cp:coreProperties>
</file>