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8F2AC46E-1FAC-46D6-B5F8-6DE441A6FB6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<sst xmlns="http://schemas.openxmlformats.org/spreadsheetml/2006/main" count="2402" uniqueCount="881">
  <si>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</si>
  <si>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</si>
  <si>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</si>
  <si>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</si>
  <si>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</si>
  <si>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</si>
  <si>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</si>
  <si>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</si>
  <si>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</si>
  <si>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</si>
  <si>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</si>
  <si>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</si>
  <si>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</si>
  <si>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</si>
  <si>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</si>
  <si>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</si>
  <si>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</si>
  <si>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</si>
  <si>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</si>
  <si>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</si>
  <si>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</si>
  <si>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</si>
  <si>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</si>
  <si>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</si>
  <si>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</si>
  <si>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</si>
  <si>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</si>
  <si>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</si>
  <si>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</si>
  <si>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</si>
  <si>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</si>
  <si>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</si>
  <si>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</si>
  <si>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</si>
  <si>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</si>
  <si>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</si>
  <si>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</si>
  <si>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</si>
  <si>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</si>
  <si>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</si>
  <si>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</si>
  <si>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</si>
  <si>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</si>
  <si>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</si>
  <si>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</si>
  <si>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</si>
  <si>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</si>
  <si>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</si>
  <si>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</si>
  <si>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</si>
  <si>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</si>
  <si>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</si>
  <si>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</si>
  <si>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</si>
  <si>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</si>
  <si>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</si>
  <si>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</si>
  <si>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</si>
  <si>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</si>
  <si>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</si>
  <si>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</si>
  <si>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</si>
  <si>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</si>
  <si>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</si>
  <si>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</si>
  <si>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</si>
  <si>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</si>
  <si>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</si>
  <si>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</si>
  <si>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</si>
  <si>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</si>
  <si>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</si>
  <si>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</si>
  <si>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</si>
  <si>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</si>
  <si>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</si>
  <si>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</si>
  <si>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</si>
  <si>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</si>
  <si>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</si>
  <si>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</si>
  <si>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</si>
  <si>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</si>
  <si>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</si>
  <si>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</si>
  <si>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</si>
  <si>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</si>
  <si>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</si>
  <si>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</si>
  <si>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</si>
  <si>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</si>
  <si>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</si>
  <si>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</si>
  <si>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</si>
  <si>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</si>
  <si>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</si>
  <si>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</si>
  <si>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</si>
  <si>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</si>
  <si>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</si>
  <si>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</si>
  <si>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</si>
  <si>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</si>
  <si>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</si>
  <si>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</si>
  <si>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</si>
  <si>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</si>
  <si>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</si>
  <si>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</si>
  <si>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</si>
  <si>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</si>
  <si>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</si>
  <si>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</si>
  <si>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</si>
  <si>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</si>
  <si>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</si>
  <si>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</si>
  <si>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</si>
  <si>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</si>
  <si>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</si>
  <si>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</si>
  <si>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</si>
  <si>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</si>
  <si>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</si>
  <si>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</si>
  <si>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</si>
  <si>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</si>
  <si>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</si>
  <si>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</si>
  <si>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</si>
  <si>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</si>
  <si>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</si>
  <si>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</si>
  <si>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</si>
  <si>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</si>
  <si>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</si>
  <si>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</si>
  <si>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</si>
  <si>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</si>
  <si>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</si>
  <si>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</si>
  <si>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</si>
  <si>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</si>
  <si>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</si>
  <si>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</si>
  <si>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</si>
  <si>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</si>
  <si>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</si>
  <si>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</si>
  <si>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</si>
  <si>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</si>
  <si>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</si>
  <si>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</si>
  <si>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</si>
  <si>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</si>
  <si>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</si>
  <si>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</si>
  <si>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</si>
  <si>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</si>
  <si>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</si>
  <si>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</si>
  <si>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</si>
  <si>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</si>
  <si>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</si>
  <si>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</si>
  <si>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</si>
  <si>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</si>
  <si>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</si>
  <si>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</si>
  <si>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</si>
  <si>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</si>
  <si>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</si>
  <si>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</si>
  <si>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</si>
  <si>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</si>
  <si>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</si>
  <si>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</si>
  <si>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</si>
  <si>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</si>
  <si>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</si>
  <si>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</si>
  <si>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</si>
  <si>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</si>
  <si>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</si>
  <si>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</si>
  <si>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</si>
  <si>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</si>
  <si>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</si>
  <si>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</si>
  <si>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</si>
  <si>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</si>
  <si>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</si>
  <si>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</si>
  <si>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</si>
  <si>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</si>
  <si>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</si>
  <si>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</si>
  <si>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</si>
  <si>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</si>
  <si>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</si>
  <si>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</si>
  <si>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</si>
  <si>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</si>
  <si>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</si>
  <si>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</si>
  <si>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</si>
  <si>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</si>
  <si>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</si>
  <si>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</si>
  <si>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</si>
  <si>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</si>
  <si>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</si>
  <si>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</si>
  <si>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</si>
  <si>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</si>
  <si>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</si>
  <si>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</si>
  <si>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</si>
  <si>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</si>
  <si>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</si>
  <si>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</si>
  <si>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</si>
  <si>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</si>
  <si>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</si>
  <si>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</si>
  <si>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</si>
  <si>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</si>
  <si>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</si>
  <si>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</si>
  <si>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</si>
  <si>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</si>
  <si>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</si>
  <si>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</si>
  <si>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</si>
  <si>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</si>
  <si>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</si>
  <si>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</si>
  <si>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</si>
  <si>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</si>
  <si>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</si>
  <si>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</si>
  <si>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</si>
  <si>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</si>
  <si>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</si>
  <si>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</si>
  <si>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</si>
  <si>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</si>
  <si>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</si>
  <si>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</si>
  <si>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</si>
  <si>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</si>
  <si>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</si>
  <si>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</si>
  <si>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</si>
  <si>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</si>
  <si>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</si>
  <si>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</si>
  <si>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</si>
  <si>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</si>
  <si>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</si>
  <si>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</si>
  <si>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</si>
  <si>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</si>
  <si>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</si>
  <si>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</si>
  <si>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</si>
  <si>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</si>
  <si>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</si>
  <si>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</si>
  <si>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</si>
  <si>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</si>
  <si>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</si>
  <si>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</si>
  <si>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</si>
  <si>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</si>
  <si>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</si>
  <si>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</si>
  <si>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</si>
  <si>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</si>
  <si>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</si>
  <si>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</si>
  <si>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</si>
  <si>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</si>
  <si>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</si>
  <si>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</si>
  <si>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</si>
  <si>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</si>
  <si>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</si>
  <si>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</si>
  <si>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</si>
  <si>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</si>
  <si>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</si>
  <si>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</si>
  <si>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</si>
  <si>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</si>
  <si>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</si>
  <si>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</si>
  <si>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</si>
  <si>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</si>
  <si>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</si>
  <si>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</si>
  <si>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</si>
  <si>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</si>
  <si>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</si>
  <si>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</si>
  <si>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</si>
  <si>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</si>
  <si>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</si>
  <si>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</si>
  <si>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</si>
  <si>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</si>
  <si>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</si>
  <si>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</si>
  <si>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</si>
  <si>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</si>
  <si>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</si>
  <si>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</si>
  <si>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</si>
  <si>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</si>
  <si>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</si>
  <si>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</si>
  <si>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</si>
  <si>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</si>
  <si>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</si>
  <si>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</si>
  <si>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</si>
  <si>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</si>
  <si>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</si>
  <si>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</si>
  <si>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</si>
  <si>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</si>
  <si>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</si>
  <si>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</si>
  <si>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</si>
  <si>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</si>
  <si>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</si>
  <si>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</si>
  <si>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</si>
  <si>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</si>
  <si>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</si>
  <si>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</si>
  <si>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</si>
  <si>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</si>
  <si>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</si>
  <si>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</si>
  <si>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</si>
  <si>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</si>
  <si>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</si>
  <si>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</si>
  <si>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</si>
  <si>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</si>
  <si>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</si>
  <si>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</si>
  <si>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</si>
  <si>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</si>
  <si>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</si>
  <si>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</si>
  <si>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</si>
  <si>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</si>
  <si>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</si>
  <si>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</si>
  <si>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</si>
  <si>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</si>
  <si>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</si>
  <si>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</si>
  <si>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</si>
  <si>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</si>
  <si>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</si>
  <si>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</si>
  <si>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</si>
  <si>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</si>
  <si>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</si>
  <si>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</si>
  <si>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</si>
  <si>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</si>
  <si>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</si>
  <si>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</si>
  <si>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</si>
  <si>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</si>
  <si>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</si>
  <si>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</si>
  <si>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</si>
  <si>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</si>
  <si>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</si>
  <si>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</si>
  <si>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</si>
  <si>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</si>
  <si>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</si>
  <si>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</si>
  <si>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</si>
  <si>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</si>
  <si>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</si>
  <si>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</si>
  <si>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</si>
  <si>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</si>
  <si>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</si>
  <si>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</si>
  <si>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</si>
  <si>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</si>
  <si>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</si>
  <si>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</si>
  <si>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</si>
  <si>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</si>
  <si>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</si>
  <si>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</si>
  <si>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</si>
  <si>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</si>
  <si>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</si>
  <si>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</si>
  <si>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</si>
  <si>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</si>
  <si>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</si>
  <si>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</si>
  <si>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</si>
  <si>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</si>
  <si>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</si>
  <si>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</si>
  <si>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</si>
  <si>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</si>
  <si>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</si>
  <si>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</si>
  <si>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</si>
  <si>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</si>
  <si>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</si>
  <si>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</si>
  <si>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</si>
  <si>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</si>
  <si>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</si>
  <si>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</si>
  <si>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</si>
  <si>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</si>
  <si>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</si>
  <si>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</si>
  <si>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</si>
  <si>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</si>
  <si>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</si>
  <si>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</si>
  <si>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</si>
  <si>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</si>
  <si>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</si>
  <si>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</si>
  <si>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</si>
  <si>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</si>
  <si>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</si>
  <si>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</si>
  <si>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</si>
  <si>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</si>
  <si>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</si>
  <si>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</si>
  <si>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</si>
  <si>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</si>
  <si>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</si>
  <si>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</si>
  <si>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</si>
  <si>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</si>
  <si>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</si>
  <si>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</si>
  <si>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</si>
  <si>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</si>
  <si>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</si>
  <si>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</si>
  <si>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</si>
  <si>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</si>
  <si>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</si>
  <si>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</si>
  <si>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</si>
  <si>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</si>
  <si>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</si>
  <si>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</si>
  <si>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</si>
  <si>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</si>
  <si>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</si>
  <si>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</si>
  <si>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</si>
  <si>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</si>
  <si>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</si>
  <si>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</si>
  <si>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</si>
  <si>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</si>
  <si>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</si>
  <si>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</si>
  <si>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</si>
  <si>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</si>
  <si>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</si>
  <si>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</si>
  <si>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</si>
  <si>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</si>
  <si>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</si>
  <si>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</si>
  <si>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</si>
  <si>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</si>
  <si>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</si>
  <si>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</si>
  <si>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</si>
  <si>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</si>
  <si>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</si>
  <si>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</si>
  <si>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</si>
  <si>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</si>
  <si>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</si>
  <si>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</si>
  <si>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</si>
  <si>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</si>
  <si>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</si>
  <si>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</si>
  <si>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</si>
  <si>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</si>
  <si>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</si>
  <si>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</si>
  <si>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</si>
  <si>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</si>
  <si>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</si>
  <si>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</si>
  <si>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</si>
  <si>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</si>
  <si>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</si>
  <si>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</si>
  <si>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</si>
  <si>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</si>
  <si>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</si>
  <si>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</si>
  <si>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</si>
  <si>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</si>
  <si>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</si>
  <si>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</si>
  <si>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</si>
  <si>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</si>
  <si>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</si>
  <si>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</si>
  <si>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</si>
  <si>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</si>
  <si>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</si>
  <si>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</si>
  <si>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</si>
  <si>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</si>
  <si>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</si>
  <si>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</si>
  <si>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</si>
  <si>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</si>
  <si>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</si>
  <si>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</si>
  <si>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</si>
  <si>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</si>
  <si>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</si>
  <si>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</si>
  <si>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</si>
  <si>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</si>
  <si>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</si>
  <si>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</si>
  <si>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</si>
  <si>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</si>
  <si>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</si>
  <si>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</si>
  <si>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</si>
  <si>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</si>
  <si>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</si>
  <si>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</si>
  <si>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</si>
  <si>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</si>
  <si>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</si>
  <si>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</si>
  <si>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</si>
  <si>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</si>
  <si>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</si>
  <si>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</si>
  <si>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</si>
  <si>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</si>
  <si>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</si>
  <si>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</si>
  <si>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</si>
  <si>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</si>
  <si>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</si>
  <si>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</si>
  <si>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</si>
  <si>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</si>
  <si>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</si>
  <si>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</si>
  <si>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</si>
  <si>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</si>
  <si>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</si>
  <si>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</si>
  <si>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</si>
  <si>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</si>
  <si>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</si>
  <si>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</si>
  <si>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</si>
  <si>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</si>
  <si>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</si>
  <si>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</si>
  <si>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</si>
  <si>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</si>
  <si>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</si>
  <si>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</si>
  <si>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</si>
  <si>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</si>
  <si>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</si>
  <si>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</si>
  <si>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</si>
  <si>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</si>
  <si>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</si>
  <si>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</si>
  <si>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</si>
  <si>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</si>
  <si>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</si>
  <si>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</si>
  <si>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</si>
  <si>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</si>
  <si>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</si>
  <si>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</si>
  <si>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</si>
  <si>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</si>
  <si>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</si>
  <si>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</si>
  <si>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</si>
  <si>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</si>
  <si>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</si>
  <si>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</si>
  <si>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</si>
  <si>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</si>
  <si>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</si>
  <si>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</si>
  <si>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</si>
  <si>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</si>
  <si>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</si>
  <si>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</si>
  <si>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</si>
  <si>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</si>
  <si>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</si>
  <si>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</si>
  <si>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</si>
  <si>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</si>
  <si>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</si>
  <si>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</si>
  <si>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</si>
  <si>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</si>
  <si>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</si>
  <si>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</si>
  <si>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</si>
  <si>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</si>
  <si>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</si>
  <si>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</si>
  <si>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</si>
  <si>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</si>
  <si>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</si>
  <si>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</si>
  <si>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</si>
  <si>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</si>
  <si>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</si>
  <si>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</si>
  <si>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</si>
  <si>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</si>
  <si>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</si>
  <si>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</si>
  <si>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</si>
  <si>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</si>
  <si>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</si>
  <si>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</si>
  <si>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</si>
  <si>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</si>
  <si>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</si>
  <si>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</si>
  <si>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</si>
  <si>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</si>
  <si>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</si>
  <si>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</si>
  <si>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</si>
  <si>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</si>
  <si>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</si>
  <si>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</si>
  <si>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</si>
  <si>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</si>
  <si>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</si>
  <si>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</si>
  <si>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</si>
  <si>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</si>
  <si>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</si>
  <si>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</si>
  <si>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</si>
  <si>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</si>
  <si>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</si>
  <si>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</si>
  <si>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</si>
  <si>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</si>
  <si>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</si>
  <si>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</si>
  <si>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</si>
  <si>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</si>
  <si>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</si>
  <si>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</si>
  <si>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</si>
  <si>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</si>
  <si>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</si>
  <si>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</si>
  <si>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</si>
  <si>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</si>
  <si>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</si>
  <si>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</si>
  <si>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</si>
  <si>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</si>
  <si>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</si>
  <si>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</si>
  <si>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</si>
  <si>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</si>
  <si>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</si>
  <si>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</si>
  <si>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</si>
  <si>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</si>
  <si>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</si>
  <si>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</si>
  <si>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</si>
  <si>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</si>
  <si>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</si>
  <si>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</si>
  <si>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</si>
  <si>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</si>
  <si>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</si>
  <si>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</si>
  <si>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</si>
  <si>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</si>
  <si>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</si>
  <si>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</si>
  <si>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</si>
  <si>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</si>
  <si>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</si>
  <si>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</si>
  <si>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</si>
  <si>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</si>
  <si>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</si>
  <si>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</si>
  <si>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</si>
  <si>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</si>
  <si>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</si>
  <si>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</si>
  <si>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</si>
  <si>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</si>
  <si>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</si>
  <si>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</si>
  <si>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</si>
  <si>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</si>
  <si>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</si>
  <si>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</si>
  <si>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</si>
  <si>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</si>
  <si>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</si>
  <si>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</si>
  <si>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</si>
  <si>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</si>
  <si>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</si>
  <si>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</si>
  <si>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</si>
  <si>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</si>
  <si>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</si>
  <si>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</si>
  <si>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</si>
  <si>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</si>
  <si>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</si>
  <si>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</si>
  <si>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</si>
  <si>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</si>
  <si>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</si>
  <si>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</si>
  <si>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</si>
  <si>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</si>
  <si>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</si>
  <si>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</si>
  <si>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</si>
  <si>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</si>
  <si>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</si>
  <si>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</si>
  <si>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</si>
  <si>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</si>
  <si>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</si>
  <si>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</si>
  <si>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</si>
  <si>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</si>
  <si>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</si>
  <si>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</si>
  <si>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</si>
  <si>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</si>
  <si>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</si>
  <si>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</si>
  <si>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</si>
  <si>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</si>
  <si>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</si>
  <si>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</si>
  <si>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</si>
  <si>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</si>
  <si>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</si>
  <si>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</si>
  <si>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</si>
  <si>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</si>
  <si>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</si>
  <si>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</si>
  <si>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</si>
  <si>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</si>
  <si>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</si>
  <si>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</si>
  <si>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</si>
  <si>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</si>
  <si>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</si>
  <si>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</si>
  <si>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</si>
  <si>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</si>
  <si>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</si>
  <si>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</si>
  <si>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</si>
  <si>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</si>
  <si>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</si>
  <si>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</si>
  <si>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</si>
  <si>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</si>
  <si>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</si>
  <si>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</si>
  <si>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</si>
  <si>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</si>
  <si>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</si>
  <si>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</si>
  <si>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</si>
  <si>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</si>
  <si>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</si>
  <si>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</si>
  <si>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</si>
  <si>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</si>
  <si>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</si>
  <si>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</si>
  <si>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</si>
  <si>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</si>
  <si>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</si>
  <si>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</si>
  <si>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</si>
  <si>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</si>
  <si>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</si>
  <si>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</si>
  <si>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</si>
  <si>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</si>
  <si>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</si>
  <si>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</si>
  <si>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</si>
  <si>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</si>
  <si>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</si>
  <si>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</si>
  <si>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</si>
  <si>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</si>
  <si>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</si>
  <si>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</si>
  <si>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</si>
  <si>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</si>
  <si>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</si>
  <si>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</si>
  <si>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</si>
  <si>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</si>
  <si>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</si>
  <si>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</si>
  <si>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</si>
  <si>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</si>
  <si>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</si>
  <si>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</si>
  <si>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</si>
  <si>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</si>
  <si>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</si>
  <si>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</si>
  <si>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</si>
  <si>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</si>
  <si>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</si>
  <si>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</si>
  <si>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</si>
  <si>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</si>
  <si>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</si>
  <si>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</si>
  <si>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</si>
  <si>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</si>
  <si>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</si>
  <si>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</si>
  <si>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</si>
  <si>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</si>
  <si>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11044</t>
  </si>
  <si>
    <t>STABROEK</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</si>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</sst>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1CAF6DF-3B06-4B13-A38F-035DF456EE7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151926.84936397983</c:v>
                </c:pt>
                <c:pt idx="1">
                  <c:v>30902.34118399072</c:v>
                </c:pt>
                <c:pt idx="2">
                  <c:v>871.60299999999995</c:v>
                </c:pt>
                <c:pt idx="3">
                  <c:v>1837.1065447964877</c:v>
                </c:pt>
                <c:pt idx="4">
                  <c:v>37477.113151581325</c:v>
                </c:pt>
                <c:pt idx="5">
                  <c:v>133867.57203361281</c:v>
                </c:pt>
                <c:pt idx="6">
                  <c:v>1663.2117203087912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151926.84936397983</c:v>
                </c:pt>
                <c:pt idx="1">
                  <c:v>30902.34118399072</c:v>
                </c:pt>
                <c:pt idx="2">
                  <c:v>871.60299999999995</c:v>
                </c:pt>
                <c:pt idx="3">
                  <c:v>1837.1065447964877</c:v>
                </c:pt>
                <c:pt idx="4">
                  <c:v>37477.113151581325</c:v>
                </c:pt>
                <c:pt idx="5">
                  <c:v>133867.57203361281</c:v>
                </c:pt>
                <c:pt idx="6">
                  <c:v>1663.2117203087912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29959.163116772328</c:v>
                </c:pt>
                <c:pt idx="2">
                  <c:v>6269.5803658973718</c:v>
                </c:pt>
                <c:pt idx="3">
                  <c:v>175.54718231216771</c:v>
                </c:pt>
                <c:pt idx="4">
                  <c:v>464.52616337687317</c:v>
                </c:pt>
                <c:pt idx="5">
                  <c:v>7653.5219806251998</c:v>
                </c:pt>
                <c:pt idx="6">
                  <c:v>33557.067505809478</c:v>
                </c:pt>
                <c:pt idx="7">
                  <c:v>419.05074613321062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29959.163116772328</c:v>
                </c:pt>
                <c:pt idx="2">
                  <c:v>6269.5803658973718</c:v>
                </c:pt>
                <c:pt idx="3">
                  <c:v>175.54718231216771</c:v>
                </c:pt>
                <c:pt idx="4">
                  <c:v>464.52616337687317</c:v>
                </c:pt>
                <c:pt idx="5">
                  <c:v>7653.5219806251998</c:v>
                </c:pt>
                <c:pt idx="6">
                  <c:v>33557.067505809478</c:v>
                </c:pt>
                <c:pt idx="7">
                  <c:v>419.05074613321062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11044</v>
      </c>
      <c r="B6" s="380"/>
      <c r="C6" s="381"/>
    </row>
    <row r="7" spans="1:7" s="378" customFormat="1" ht="15.75" customHeight="1">
      <c r="A7" s="382" t="str">
        <f>txtMunicipality</f>
        <v>STABROEK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0.20140727178792148</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0.20140727178792148</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7745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1135.9000000000001</v>
      </c>
      <c r="C14" s="322"/>
      <c r="D14" s="322"/>
      <c r="E14" s="322"/>
      <c r="F14" s="322"/>
    </row>
    <row r="15" spans="1:6">
      <c r="A15" s="1248" t="s">
        <v>177</v>
      </c>
      <c r="B15" s="1249">
        <v>7</v>
      </c>
      <c r="C15" s="322"/>
      <c r="D15" s="322"/>
      <c r="E15" s="322"/>
      <c r="F15" s="322"/>
    </row>
    <row r="16" spans="1:6">
      <c r="A16" s="1248" t="s">
        <v>6</v>
      </c>
      <c r="B16" s="1249">
        <v>318</v>
      </c>
      <c r="C16" s="322"/>
      <c r="D16" s="322"/>
      <c r="E16" s="322"/>
      <c r="F16" s="322"/>
    </row>
    <row r="17" spans="1:6">
      <c r="A17" s="1248" t="s">
        <v>7</v>
      </c>
      <c r="B17" s="1249">
        <v>334</v>
      </c>
      <c r="C17" s="322"/>
      <c r="D17" s="322"/>
      <c r="E17" s="322"/>
      <c r="F17" s="322"/>
    </row>
    <row r="18" spans="1:6">
      <c r="A18" s="1248" t="s">
        <v>8</v>
      </c>
      <c r="B18" s="1249">
        <v>486</v>
      </c>
      <c r="C18" s="322"/>
      <c r="D18" s="322"/>
      <c r="E18" s="322"/>
      <c r="F18" s="322"/>
    </row>
    <row r="19" spans="1:6">
      <c r="A19" s="1248" t="s">
        <v>9</v>
      </c>
      <c r="B19" s="1249">
        <v>415</v>
      </c>
      <c r="C19" s="322"/>
      <c r="D19" s="322"/>
      <c r="E19" s="322"/>
      <c r="F19" s="322"/>
    </row>
    <row r="20" spans="1:6">
      <c r="A20" s="1248" t="s">
        <v>10</v>
      </c>
      <c r="B20" s="1249">
        <v>397</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126</v>
      </c>
      <c r="C26" s="322"/>
      <c r="D26" s="322"/>
      <c r="E26" s="322"/>
      <c r="F26" s="322"/>
    </row>
    <row r="27" spans="1:6">
      <c r="A27" s="1248" t="s">
        <v>17</v>
      </c>
      <c r="B27" s="1249">
        <v>853</v>
      </c>
      <c r="C27" s="322"/>
      <c r="D27" s="322"/>
      <c r="E27" s="322"/>
      <c r="F27" s="322"/>
    </row>
    <row r="28" spans="1:6">
      <c r="A28" s="1248" t="s">
        <v>18</v>
      </c>
      <c r="B28" s="1250">
        <v>7819</v>
      </c>
      <c r="C28" s="322"/>
      <c r="D28" s="322"/>
      <c r="E28" s="322"/>
      <c r="F28" s="322"/>
    </row>
    <row r="29" spans="1:6">
      <c r="A29" s="1248" t="s">
        <v>691</v>
      </c>
      <c r="B29" s="1250">
        <v>71</v>
      </c>
      <c r="C29" s="322"/>
      <c r="D29" s="322"/>
      <c r="E29" s="322"/>
      <c r="F29" s="322"/>
    </row>
    <row r="30" spans="1:6">
      <c r="A30" s="1243" t="s">
        <v>692</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2718.2795292351998</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6577</v>
      </c>
      <c r="D39" s="1249">
        <v>100705373.13887611</v>
      </c>
      <c r="E39" s="1249">
        <v>7833</v>
      </c>
      <c r="F39" s="1249">
        <v>26147093.846799601</v>
      </c>
    </row>
    <row r="40" spans="1:6">
      <c r="A40" s="1248" t="s">
        <v>29</v>
      </c>
      <c r="B40" s="1248" t="s">
        <v>28</v>
      </c>
      <c r="C40" s="1249">
        <v>1</v>
      </c>
      <c r="D40" s="1249">
        <v>9134</v>
      </c>
      <c r="E40" s="1249">
        <v>2</v>
      </c>
      <c r="F40" s="1249">
        <v>8075.1038490110004</v>
      </c>
    </row>
    <row r="41" spans="1:6">
      <c r="A41" s="1248" t="s">
        <v>31</v>
      </c>
      <c r="B41" s="1248" t="s">
        <v>32</v>
      </c>
      <c r="C41" s="1249">
        <v>75</v>
      </c>
      <c r="D41" s="1249">
        <v>1647396.6</v>
      </c>
      <c r="E41" s="1249">
        <v>111</v>
      </c>
      <c r="F41" s="1249">
        <v>583081.26534989802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13</v>
      </c>
      <c r="D44" s="1249">
        <v>458313</v>
      </c>
      <c r="E44" s="1249">
        <v>8</v>
      </c>
      <c r="F44" s="1249">
        <v>105364.094382517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4</v>
      </c>
      <c r="D48" s="1249">
        <v>160386</v>
      </c>
      <c r="E48" s="1249">
        <v>35</v>
      </c>
      <c r="F48" s="1249">
        <v>2559554.4046690301</v>
      </c>
    </row>
    <row r="49" spans="1:6">
      <c r="A49" s="1248" t="s">
        <v>31</v>
      </c>
      <c r="B49" s="1248" t="s">
        <v>39</v>
      </c>
      <c r="C49" s="1249">
        <v>0</v>
      </c>
      <c r="D49" s="1249">
        <v>0</v>
      </c>
      <c r="E49" s="1249">
        <v>0</v>
      </c>
      <c r="F49" s="1249">
        <v>0</v>
      </c>
    </row>
    <row r="50" spans="1:6">
      <c r="A50" s="1248" t="s">
        <v>31</v>
      </c>
      <c r="B50" s="1248" t="s">
        <v>40</v>
      </c>
      <c r="C50" s="1249">
        <v>14</v>
      </c>
      <c r="D50" s="1249">
        <v>34361095</v>
      </c>
      <c r="E50" s="1249">
        <v>12</v>
      </c>
      <c r="F50" s="1249">
        <v>444852.07583353802</v>
      </c>
    </row>
    <row r="51" spans="1:6">
      <c r="A51" s="1248" t="s">
        <v>41</v>
      </c>
      <c r="B51" s="1248" t="s">
        <v>42</v>
      </c>
      <c r="C51" s="1249">
        <v>12</v>
      </c>
      <c r="D51" s="1249">
        <v>192653</v>
      </c>
      <c r="E51" s="1249">
        <v>33</v>
      </c>
      <c r="F51" s="1249">
        <v>294266.64832283102</v>
      </c>
    </row>
    <row r="52" spans="1:6">
      <c r="A52" s="1248" t="s">
        <v>41</v>
      </c>
      <c r="B52" s="1248" t="s">
        <v>28</v>
      </c>
      <c r="C52" s="1249">
        <v>0</v>
      </c>
      <c r="D52" s="1249">
        <v>0</v>
      </c>
      <c r="E52" s="1249">
        <v>6</v>
      </c>
      <c r="F52" s="1249">
        <v>39425.361804811</v>
      </c>
    </row>
    <row r="53" spans="1:6">
      <c r="A53" s="1248" t="s">
        <v>43</v>
      </c>
      <c r="B53" s="1248" t="s">
        <v>44</v>
      </c>
      <c r="C53" s="1249">
        <v>75</v>
      </c>
      <c r="D53" s="1249">
        <v>1415839.3</v>
      </c>
      <c r="E53" s="1249">
        <v>228</v>
      </c>
      <c r="F53" s="1249">
        <v>603858.50634928199</v>
      </c>
    </row>
    <row r="54" spans="1:6">
      <c r="A54" s="1248" t="s">
        <v>45</v>
      </c>
      <c r="B54" s="1248" t="s">
        <v>46</v>
      </c>
      <c r="C54" s="1249">
        <v>0</v>
      </c>
      <c r="D54" s="1249">
        <v>0</v>
      </c>
      <c r="E54" s="1249">
        <v>1</v>
      </c>
      <c r="F54" s="1249">
        <v>871603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32</v>
      </c>
      <c r="D57" s="1249">
        <v>724696</v>
      </c>
      <c r="E57" s="1249">
        <v>34</v>
      </c>
      <c r="F57" s="1249">
        <v>182760.17613906701</v>
      </c>
    </row>
    <row r="58" spans="1:6">
      <c r="A58" s="1248" t="s">
        <v>48</v>
      </c>
      <c r="B58" s="1248" t="s">
        <v>50</v>
      </c>
      <c r="C58" s="1249">
        <v>30</v>
      </c>
      <c r="D58" s="1249">
        <v>2287556</v>
      </c>
      <c r="E58" s="1249">
        <v>28</v>
      </c>
      <c r="F58" s="1249">
        <v>256195.791833661</v>
      </c>
    </row>
    <row r="59" spans="1:6">
      <c r="A59" s="1248" t="s">
        <v>48</v>
      </c>
      <c r="B59" s="1248" t="s">
        <v>51</v>
      </c>
      <c r="C59" s="1249">
        <v>85</v>
      </c>
      <c r="D59" s="1249">
        <v>3067408.2</v>
      </c>
      <c r="E59" s="1249">
        <v>87</v>
      </c>
      <c r="F59" s="1249">
        <v>3970253.2031295202</v>
      </c>
    </row>
    <row r="60" spans="1:6">
      <c r="A60" s="1248" t="s">
        <v>48</v>
      </c>
      <c r="B60" s="1248" t="s">
        <v>52</v>
      </c>
      <c r="C60" s="1249">
        <v>37</v>
      </c>
      <c r="D60" s="1249">
        <v>1983980</v>
      </c>
      <c r="E60" s="1249">
        <v>40</v>
      </c>
      <c r="F60" s="1249">
        <v>1092829.3101151299</v>
      </c>
    </row>
    <row r="61" spans="1:6">
      <c r="A61" s="1248" t="s">
        <v>48</v>
      </c>
      <c r="B61" s="1248" t="s">
        <v>53</v>
      </c>
      <c r="C61" s="1249">
        <v>169</v>
      </c>
      <c r="D61" s="1249">
        <v>9020116.5309999995</v>
      </c>
      <c r="E61" s="1249">
        <v>225</v>
      </c>
      <c r="F61" s="1249">
        <v>2681520.14581645</v>
      </c>
    </row>
    <row r="62" spans="1:6">
      <c r="A62" s="1248" t="s">
        <v>48</v>
      </c>
      <c r="B62" s="1248" t="s">
        <v>54</v>
      </c>
      <c r="C62" s="1249">
        <v>10</v>
      </c>
      <c r="D62" s="1249">
        <v>2152343</v>
      </c>
      <c r="E62" s="1249">
        <v>3</v>
      </c>
      <c r="F62" s="1249">
        <v>199775.49346872399</v>
      </c>
    </row>
    <row r="63" spans="1:6">
      <c r="A63" s="1248" t="s">
        <v>48</v>
      </c>
      <c r="B63" s="1248" t="s">
        <v>28</v>
      </c>
      <c r="C63" s="1249">
        <v>0</v>
      </c>
      <c r="D63" s="1249">
        <v>0</v>
      </c>
      <c r="E63" s="1249">
        <v>96</v>
      </c>
      <c r="F63" s="1249">
        <v>2967430.2417252799</v>
      </c>
    </row>
    <row r="64" spans="1:6">
      <c r="A64" s="1248" t="s">
        <v>55</v>
      </c>
      <c r="B64" s="1248" t="s">
        <v>56</v>
      </c>
      <c r="C64" s="1249">
        <v>0</v>
      </c>
      <c r="D64" s="1249">
        <v>0</v>
      </c>
      <c r="E64" s="1249">
        <v>0</v>
      </c>
      <c r="F64" s="1249">
        <v>0</v>
      </c>
    </row>
    <row r="65" spans="1:6">
      <c r="A65" s="1248" t="s">
        <v>55</v>
      </c>
      <c r="B65" s="1248" t="s">
        <v>28</v>
      </c>
      <c r="C65" s="1249">
        <v>1</v>
      </c>
      <c r="D65" s="1249">
        <v>24087</v>
      </c>
      <c r="E65" s="1249">
        <v>1</v>
      </c>
      <c r="F65" s="1249">
        <v>4992.1801626821998</v>
      </c>
    </row>
    <row r="66" spans="1:6">
      <c r="A66" s="1248" t="s">
        <v>55</v>
      </c>
      <c r="B66" s="1248" t="s">
        <v>57</v>
      </c>
      <c r="C66" s="1249">
        <v>0</v>
      </c>
      <c r="D66" s="1249">
        <v>0</v>
      </c>
      <c r="E66" s="1249">
        <v>7</v>
      </c>
      <c r="F66" s="1249">
        <v>128968.487500068</v>
      </c>
    </row>
    <row r="67" spans="1:6">
      <c r="A67" s="1248" t="s">
        <v>55</v>
      </c>
      <c r="B67" s="1248" t="s">
        <v>58</v>
      </c>
      <c r="C67" s="1249">
        <v>0</v>
      </c>
      <c r="D67" s="1249">
        <v>0</v>
      </c>
      <c r="E67" s="1249">
        <v>68</v>
      </c>
      <c r="F67" s="1249">
        <v>657151.873211378</v>
      </c>
    </row>
    <row r="68" spans="1:6">
      <c r="A68" s="1243" t="s">
        <v>55</v>
      </c>
      <c r="B68" s="1243" t="s">
        <v>59</v>
      </c>
      <c r="C68" s="1251">
        <v>4</v>
      </c>
      <c r="D68" s="1251">
        <v>83006</v>
      </c>
      <c r="E68" s="1251">
        <v>3</v>
      </c>
      <c r="F68" s="1251">
        <v>14693.4379660547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31653547</v>
      </c>
      <c r="E73" s="439"/>
      <c r="F73" s="322"/>
    </row>
    <row r="74" spans="1:6">
      <c r="A74" s="1248" t="s">
        <v>63</v>
      </c>
      <c r="B74" s="1248" t="s">
        <v>617</v>
      </c>
      <c r="C74" s="1261" t="s">
        <v>619</v>
      </c>
      <c r="D74" s="1249">
        <v>2619457.5</v>
      </c>
      <c r="E74" s="439"/>
      <c r="F74" s="322"/>
    </row>
    <row r="75" spans="1:6">
      <c r="A75" s="1248" t="s">
        <v>64</v>
      </c>
      <c r="B75" s="1248" t="s">
        <v>616</v>
      </c>
      <c r="C75" s="1261" t="s">
        <v>620</v>
      </c>
      <c r="D75" s="1249">
        <v>14818098</v>
      </c>
      <c r="E75" s="439"/>
      <c r="F75" s="322"/>
    </row>
    <row r="76" spans="1:6">
      <c r="A76" s="1248" t="s">
        <v>64</v>
      </c>
      <c r="B76" s="1248" t="s">
        <v>617</v>
      </c>
      <c r="C76" s="1261" t="s">
        <v>621</v>
      </c>
      <c r="D76" s="1249">
        <v>239933.5</v>
      </c>
      <c r="E76" s="439"/>
      <c r="F76" s="322"/>
    </row>
    <row r="77" spans="1:6">
      <c r="A77" s="1248" t="s">
        <v>65</v>
      </c>
      <c r="B77" s="1248" t="s">
        <v>616</v>
      </c>
      <c r="C77" s="1261" t="s">
        <v>622</v>
      </c>
      <c r="D77" s="1249">
        <v>70579661</v>
      </c>
      <c r="E77" s="439"/>
      <c r="F77" s="322"/>
    </row>
    <row r="78" spans="1:6">
      <c r="A78" s="1243" t="s">
        <v>65</v>
      </c>
      <c r="B78" s="1243" t="s">
        <v>617</v>
      </c>
      <c r="C78" s="1243" t="s">
        <v>623</v>
      </c>
      <c r="D78" s="1251">
        <v>17260496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452371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3336.087649467418</v>
      </c>
      <c r="C91" s="322"/>
      <c r="D91" s="322"/>
      <c r="E91" s="322"/>
      <c r="F91" s="322"/>
    </row>
    <row r="92" spans="1:6">
      <c r="A92" s="1243" t="s">
        <v>68</v>
      </c>
      <c r="B92" s="1244">
        <v>927.71288741867136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5071</v>
      </c>
      <c r="C97" s="322"/>
      <c r="D97" s="322"/>
      <c r="E97" s="322"/>
      <c r="F97" s="322"/>
    </row>
    <row r="98" spans="1:6">
      <c r="A98" s="1248" t="s">
        <v>71</v>
      </c>
      <c r="B98" s="1249">
        <v>4</v>
      </c>
      <c r="C98" s="322"/>
      <c r="D98" s="322"/>
      <c r="E98" s="322"/>
      <c r="F98" s="322"/>
    </row>
    <row r="99" spans="1:6">
      <c r="A99" s="1248" t="s">
        <v>72</v>
      </c>
      <c r="B99" s="1249">
        <v>7</v>
      </c>
      <c r="C99" s="322"/>
      <c r="D99" s="322"/>
      <c r="E99" s="322"/>
      <c r="F99" s="322"/>
    </row>
    <row r="100" spans="1:6">
      <c r="A100" s="1248" t="s">
        <v>73</v>
      </c>
      <c r="B100" s="1249">
        <v>451</v>
      </c>
      <c r="C100" s="322"/>
      <c r="D100" s="322"/>
      <c r="E100" s="322"/>
      <c r="F100" s="322"/>
    </row>
    <row r="101" spans="1:6">
      <c r="A101" s="1248" t="s">
        <v>74</v>
      </c>
      <c r="B101" s="1249">
        <v>52</v>
      </c>
      <c r="C101" s="322"/>
      <c r="D101" s="322"/>
      <c r="E101" s="322"/>
      <c r="F101" s="322"/>
    </row>
    <row r="102" spans="1:6">
      <c r="A102" s="1248" t="s">
        <v>75</v>
      </c>
      <c r="B102" s="1249">
        <v>84</v>
      </c>
      <c r="C102" s="322"/>
      <c r="D102" s="322"/>
      <c r="E102" s="322"/>
      <c r="F102" s="322"/>
    </row>
    <row r="103" spans="1:6">
      <c r="A103" s="1248" t="s">
        <v>76</v>
      </c>
      <c r="B103" s="1249">
        <v>115</v>
      </c>
      <c r="C103" s="322"/>
      <c r="D103" s="322"/>
      <c r="E103" s="322"/>
      <c r="F103" s="322"/>
    </row>
    <row r="104" spans="1:6">
      <c r="A104" s="1248" t="s">
        <v>77</v>
      </c>
      <c r="B104" s="1249">
        <v>786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8</v>
      </c>
      <c r="C123" s="1249">
        <v>14</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105</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47329.680464764278</v>
      </c>
      <c r="C3" s="43" t="s">
        <v>163</v>
      </c>
      <c r="D3" s="43"/>
      <c r="E3" s="153"/>
      <c r="F3" s="43"/>
      <c r="G3" s="43"/>
      <c r="H3" s="43"/>
      <c r="I3" s="43"/>
      <c r="J3" s="43"/>
      <c r="K3" s="96"/>
    </row>
    <row r="4" spans="1:11">
      <c r="A4" s="348" t="s">
        <v>164</v>
      </c>
      <c r="B4" s="49">
        <f>IF(ISERROR('SEAP template'!B78+'SEAP template'!C78),0,'SEAP template'!B78+'SEAP template'!C78)</f>
        <v>5163.8005368860895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213.88235294117646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0.20140727178792148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305.54621848739504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1285.7142857142858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871.60299999999995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871.60299999999995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0.20140727178792148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175.54718231216771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26155.168950648615</v>
      </c>
      <c r="C5" s="17">
        <f>IF(ISERROR('Eigen informatie GS &amp; warmtenet'!B57),0,'Eigen informatie GS &amp; warmtenet'!B57)</f>
        <v>0</v>
      </c>
      <c r="D5" s="30">
        <f>(SUM(HH_hh_gas_kWh,HH_rest_gas_kWh)/1000)*0.902</f>
        <v>90844.485439266253</v>
      </c>
      <c r="E5" s="17">
        <f>B32*B41</f>
        <v>877.7957676083704</v>
      </c>
      <c r="F5" s="17">
        <f>B36*B45</f>
        <v>20346.622953833888</v>
      </c>
      <c r="G5" s="18"/>
      <c r="H5" s="17"/>
      <c r="I5" s="17"/>
      <c r="J5" s="17">
        <f>B35*B44+C35*C44</f>
        <v>104.56371947145158</v>
      </c>
      <c r="K5" s="17"/>
      <c r="L5" s="17"/>
      <c r="M5" s="17"/>
      <c r="N5" s="17">
        <f>B34*B43+C34*C43</f>
        <v>9637.554883683868</v>
      </c>
      <c r="O5" s="17">
        <f>B52*B53*B54</f>
        <v>186.03666666666666</v>
      </c>
      <c r="P5" s="17">
        <f>B60*B61*B62/1000-B60*B61*B62/1000/B63</f>
        <v>438.5333333333333</v>
      </c>
    </row>
    <row r="6" spans="1:16">
      <c r="A6" s="16" t="s">
        <v>582</v>
      </c>
      <c r="B6" s="716">
        <f>kWh_PV_kleiner_dan_10kW</f>
        <v>3336.087649467418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29491.256600116034</v>
      </c>
      <c r="C8" s="21">
        <f>C5</f>
        <v>0</v>
      </c>
      <c r="D8" s="21">
        <f>D5</f>
        <v>90844.485439266253</v>
      </c>
      <c r="E8" s="21">
        <f>E5</f>
        <v>877.7957676083704</v>
      </c>
      <c r="F8" s="21">
        <f>F5</f>
        <v>20346.622953833888</v>
      </c>
      <c r="G8" s="21"/>
      <c r="H8" s="21"/>
      <c r="I8" s="21"/>
      <c r="J8" s="21">
        <f>J5</f>
        <v>104.56371947145158</v>
      </c>
      <c r="K8" s="21"/>
      <c r="L8" s="21">
        <f>L5</f>
        <v>0</v>
      </c>
      <c r="M8" s="21">
        <f>M5</f>
        <v>0</v>
      </c>
      <c r="N8" s="21">
        <f>N5</f>
        <v>9637.554883683868</v>
      </c>
      <c r="O8" s="21">
        <f>O5</f>
        <v>186.03666666666666</v>
      </c>
      <c r="P8" s="21">
        <f>P5</f>
        <v>438.5333333333333</v>
      </c>
    </row>
    <row r="9" spans="1:16">
      <c r="B9" s="19"/>
      <c r="C9" s="19"/>
      <c r="D9" s="253"/>
      <c r="E9" s="19"/>
      <c r="F9" s="19"/>
      <c r="G9" s="19"/>
      <c r="H9" s="19"/>
      <c r="I9" s="19"/>
      <c r="J9" s="19"/>
      <c r="K9" s="19"/>
      <c r="L9" s="19"/>
      <c r="M9" s="19"/>
      <c r="N9" s="19"/>
      <c r="O9" s="19"/>
      <c r="P9" s="19"/>
    </row>
    <row r="10" spans="1:16">
      <c r="A10" s="24" t="s">
        <v>207</v>
      </c>
      <c r="B10" s="25">
        <f ca="1">'EF ele_warmte'!B12</f>
        <v>0.20140727178792148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5939.7535334269032</v>
      </c>
      <c r="C12" s="23">
        <f ca="1">C10*C8</f>
        <v>0</v>
      </c>
      <c r="D12" s="23">
        <f>D8*D10</f>
        <v>18350.586058731784</v>
      </c>
      <c r="E12" s="23">
        <f>E10*E8</f>
        <v>199.2596392471001</v>
      </c>
      <c r="F12" s="23">
        <f>F10*F8</f>
        <v>5432.5483286736489</v>
      </c>
      <c r="G12" s="23"/>
      <c r="H12" s="23"/>
      <c r="I12" s="23"/>
      <c r="J12" s="23">
        <f>J10*J8</f>
        <v>37.01555669289386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7745</v>
      </c>
      <c r="C26" s="36"/>
      <c r="D26" s="224"/>
    </row>
    <row r="27" spans="1:5" s="15" customFormat="1">
      <c r="A27" s="226" t="s">
        <v>736</v>
      </c>
      <c r="B27" s="37">
        <f>SUM(HH_hh_gas_aantal,HH_rest_gas_aantal)</f>
        <v>6578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6249.1</v>
      </c>
      <c r="C31" s="34" t="s">
        <v>104</v>
      </c>
      <c r="D31" s="170"/>
    </row>
    <row r="32" spans="1:5">
      <c r="A32" s="167" t="s">
        <v>72</v>
      </c>
      <c r="B32" s="33">
        <f>IF((B21*($B$26-($B$27-0.05*$B$27)-$B$60))&lt;0,0,B21*($B$26-($B$27-0.05*$B$27)-$B$60))</f>
        <v>16.220801789847954</v>
      </c>
      <c r="C32" s="34" t="s">
        <v>104</v>
      </c>
      <c r="D32" s="170"/>
    </row>
    <row r="33" spans="1:6">
      <c r="A33" s="167" t="s">
        <v>73</v>
      </c>
      <c r="B33" s="33">
        <f>IF((B22*($B$26-($B$27-0.05*$B$27)-$B$60))&lt;0,0,B22*($B$26-($B$27-0.05*$B$27)-$B$60))</f>
        <v>337.24409094203429</v>
      </c>
      <c r="C33" s="34" t="s">
        <v>104</v>
      </c>
      <c r="D33" s="170"/>
    </row>
    <row r="34" spans="1:6">
      <c r="A34" s="167" t="s">
        <v>74</v>
      </c>
      <c r="B34" s="33">
        <f>IF((B24*($B$26-($B$27-0.05*$B$27)-$B$60))&lt;0,0,B24*($B$26-($B$27-0.05*$B$27)-$B$60))</f>
        <v>131.62521253977107</v>
      </c>
      <c r="C34" s="33">
        <f>B26*C24</f>
        <v>1371.8303271741647</v>
      </c>
      <c r="D34" s="229"/>
    </row>
    <row r="35" spans="1:6">
      <c r="A35" s="167" t="s">
        <v>76</v>
      </c>
      <c r="B35" s="33">
        <f>IF((B19*($B$26-($B$27-0.05*$B$27)-$B$60))&lt;0,0,B19*($B$26-($B$27-0.05*$B$27)-$B$60))</f>
        <v>12.277397854868543</v>
      </c>
      <c r="C35" s="33">
        <f>B35/2</f>
        <v>6.1386989274342714</v>
      </c>
      <c r="D35" s="229"/>
    </row>
    <row r="36" spans="1:6">
      <c r="A36" s="167" t="s">
        <v>77</v>
      </c>
      <c r="B36" s="33">
        <f>IF((B18*($B$26-($B$27-0.05*$B$27)-$B$60))&lt;0,0,B18*($B$26-($B$27-0.05*$B$27)-$B$60))</f>
        <v>975.53249687347773</v>
      </c>
      <c r="C36" s="34" t="s">
        <v>104</v>
      </c>
      <c r="D36" s="170"/>
    </row>
    <row r="37" spans="1:6">
      <c r="A37" s="167" t="s">
        <v>78</v>
      </c>
      <c r="B37" s="33">
        <f>B60</f>
        <v>23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11350.764362227832</v>
      </c>
      <c r="C5" s="17">
        <f>IF(ISERROR('Eigen informatie GS &amp; warmtenet'!B58),0,'Eigen informatie GS &amp; warmtenet'!B58)</f>
        <v>0</v>
      </c>
      <c r="D5" s="30">
        <f>SUM(D6:D12)</f>
        <v>17350.961957362</v>
      </c>
      <c r="E5" s="17">
        <f>SUM(E6:E12)</f>
        <v>171.264157895127</v>
      </c>
      <c r="F5" s="17">
        <f>SUM(F6:F12)</f>
        <v>1646.7406540674237</v>
      </c>
      <c r="G5" s="18"/>
      <c r="H5" s="17"/>
      <c r="I5" s="17"/>
      <c r="J5" s="17">
        <f>SUM(J6:J12)</f>
        <v>8.0483846833982534E-3</v>
      </c>
      <c r="K5" s="17"/>
      <c r="L5" s="17"/>
      <c r="M5" s="17"/>
      <c r="N5" s="17">
        <f>SUM(N6:N12)</f>
        <v>344.46867072031932</v>
      </c>
      <c r="O5" s="17">
        <f>B38*B39*B40</f>
        <v>0</v>
      </c>
      <c r="P5" s="17">
        <f>B46*B47*B48/1000-B46*B47*B48/1000/B49</f>
        <v>38.133333333333333</v>
      </c>
      <c r="R5" s="32"/>
    </row>
    <row r="6" spans="1:18">
      <c r="A6" s="32" t="s">
        <v>53</v>
      </c>
      <c r="B6" s="37">
        <f>B26</f>
        <v>2681.5201458164502</v>
      </c>
      <c r="C6" s="33"/>
      <c r="D6" s="37">
        <f>IF(ISERROR(TER_kantoor_gas_kWh/1000),0,TER_kantoor_gas_kWh/1000)*0.902</f>
        <v>8136.1451109620002</v>
      </c>
      <c r="E6" s="33">
        <f>$C$26*'E Balans VL '!I12/100/3.6*1000000</f>
        <v>-2.2018770827152772E-4</v>
      </c>
      <c r="F6" s="33">
        <f>$C$26*('E Balans VL '!L12+'E Balans VL '!N12)/100/3.6*1000000</f>
        <v>339.83274995283176</v>
      </c>
      <c r="G6" s="34"/>
      <c r="H6" s="33"/>
      <c r="I6" s="33"/>
      <c r="J6" s="33">
        <f>$C$26*('E Balans VL '!D12+'E Balans VL '!E12)/100/3.6*1000000</f>
        <v>0</v>
      </c>
      <c r="K6" s="33"/>
      <c r="L6" s="33"/>
      <c r="M6" s="33"/>
      <c r="N6" s="33">
        <f>$C$26*'E Balans VL '!Y12/100/3.6*1000000</f>
        <v>3.2890430687262842</v>
      </c>
      <c r="O6" s="33"/>
      <c r="P6" s="33"/>
      <c r="R6" s="32"/>
    </row>
    <row r="7" spans="1:18">
      <c r="A7" s="32" t="s">
        <v>52</v>
      </c>
      <c r="B7" s="37">
        <f t="shared" ref="B7:B12" si="0">B27</f>
        <v>1092.8293101151298</v>
      </c>
      <c r="C7" s="33"/>
      <c r="D7" s="37">
        <f>IF(ISERROR(TER_horeca_gas_kWh/1000),0,TER_horeca_gas_kWh/1000)*0.902</f>
        <v>1789.5499600000001</v>
      </c>
      <c r="E7" s="33">
        <f>$C$27*'E Balans VL '!I9/100/3.6*1000000</f>
        <v>12.579000559581074</v>
      </c>
      <c r="F7" s="33">
        <f>$C$27*('E Balans VL '!L9+'E Balans VL '!N9)/100/3.6*1000000</f>
        <v>140.90267592929328</v>
      </c>
      <c r="G7" s="34"/>
      <c r="H7" s="33"/>
      <c r="I7" s="33"/>
      <c r="J7" s="33">
        <f>$C$27*('E Balans VL '!D9+'E Balans VL '!E9)/100/3.6*1000000</f>
        <v>0</v>
      </c>
      <c r="K7" s="33"/>
      <c r="L7" s="33"/>
      <c r="M7" s="33"/>
      <c r="N7" s="33">
        <f>$C$27*'E Balans VL '!Y9/100/3.6*1000000</f>
        <v>11.534562934936169</v>
      </c>
      <c r="O7" s="33"/>
      <c r="P7" s="33"/>
      <c r="R7" s="32"/>
    </row>
    <row r="8" spans="1:18">
      <c r="A8" s="6" t="s">
        <v>51</v>
      </c>
      <c r="B8" s="37">
        <f t="shared" si="0"/>
        <v>3970.25320312952</v>
      </c>
      <c r="C8" s="33"/>
      <c r="D8" s="37">
        <f>IF(ISERROR(TER_handel_gas_kWh/1000),0,TER_handel_gas_kWh/1000)*0.902</f>
        <v>2766.8021964000004</v>
      </c>
      <c r="E8" s="33">
        <f>$C$28*'E Balans VL '!I13/100/3.6*1000000</f>
        <v>112.01833177266998</v>
      </c>
      <c r="F8" s="33">
        <f>$C$28*('E Balans VL '!L13+'E Balans VL '!N13)/100/3.6*1000000</f>
        <v>399.32235476334131</v>
      </c>
      <c r="G8" s="34"/>
      <c r="H8" s="33"/>
      <c r="I8" s="33"/>
      <c r="J8" s="33">
        <f>$C$28*('E Balans VL '!D13+'E Balans VL '!E13)/100/3.6*1000000</f>
        <v>0</v>
      </c>
      <c r="K8" s="33"/>
      <c r="L8" s="33"/>
      <c r="M8" s="33"/>
      <c r="N8" s="33">
        <f>$C$28*'E Balans VL '!Y13/100/3.6*1000000</f>
        <v>5.480489833709691</v>
      </c>
      <c r="O8" s="33"/>
      <c r="P8" s="33"/>
      <c r="R8" s="32"/>
    </row>
    <row r="9" spans="1:18">
      <c r="A9" s="32" t="s">
        <v>50</v>
      </c>
      <c r="B9" s="37">
        <f t="shared" si="0"/>
        <v>256.19579183366102</v>
      </c>
      <c r="C9" s="33"/>
      <c r="D9" s="37">
        <f>IF(ISERROR(TER_gezond_gas_kWh/1000),0,TER_gezond_gas_kWh/1000)*0.902</f>
        <v>2063.3755120000001</v>
      </c>
      <c r="E9" s="33">
        <f>$C$29*'E Balans VL '!I10/100/3.6*1000000</f>
        <v>0.51180031808379067</v>
      </c>
      <c r="F9" s="33">
        <f>$C$29*('E Balans VL '!L10+'E Balans VL '!N10)/100/3.6*1000000</f>
        <v>22.447890402374796</v>
      </c>
      <c r="G9" s="34"/>
      <c r="H9" s="33"/>
      <c r="I9" s="33"/>
      <c r="J9" s="33">
        <f>$C$29*('E Balans VL '!D10+'E Balans VL '!E10)/100/3.6*1000000</f>
        <v>0</v>
      </c>
      <c r="K9" s="33"/>
      <c r="L9" s="33"/>
      <c r="M9" s="33"/>
      <c r="N9" s="33">
        <f>$C$29*'E Balans VL '!Y10/100/3.6*1000000</f>
        <v>3.8753296130861927</v>
      </c>
      <c r="O9" s="33"/>
      <c r="P9" s="33"/>
      <c r="R9" s="32"/>
    </row>
    <row r="10" spans="1:18">
      <c r="A10" s="32" t="s">
        <v>49</v>
      </c>
      <c r="B10" s="37">
        <f t="shared" si="0"/>
        <v>182.76017613906703</v>
      </c>
      <c r="C10" s="33"/>
      <c r="D10" s="37">
        <f>IF(ISERROR(TER_ander_gas_kWh/1000),0,TER_ander_gas_kWh/1000)*0.902</f>
        <v>653.675792</v>
      </c>
      <c r="E10" s="33">
        <f>$C$30*'E Balans VL '!I14/100/3.6*1000000</f>
        <v>2.5746498623075253</v>
      </c>
      <c r="F10" s="33">
        <f>$C$30*('E Balans VL '!L14+'E Balans VL '!N14)/100/3.6*1000000</f>
        <v>110.86466598852454</v>
      </c>
      <c r="G10" s="34"/>
      <c r="H10" s="33"/>
      <c r="I10" s="33"/>
      <c r="J10" s="33">
        <f>$C$30*('E Balans VL '!D14+'E Balans VL '!E14)/100/3.6*1000000</f>
        <v>2.0063554003935573E-3</v>
      </c>
      <c r="K10" s="33"/>
      <c r="L10" s="33"/>
      <c r="M10" s="33"/>
      <c r="N10" s="33">
        <f>$C$30*'E Balans VL '!Y14/100/3.6*1000000</f>
        <v>77.294989041164484</v>
      </c>
      <c r="O10" s="33"/>
      <c r="P10" s="33"/>
      <c r="R10" s="32"/>
    </row>
    <row r="11" spans="1:18">
      <c r="A11" s="32" t="s">
        <v>54</v>
      </c>
      <c r="B11" s="37">
        <f t="shared" si="0"/>
        <v>199.77549346872399</v>
      </c>
      <c r="C11" s="33"/>
      <c r="D11" s="37">
        <f>IF(ISERROR(TER_onderwijs_gas_kWh/1000),0,TER_onderwijs_gas_kWh/1000)*0.902</f>
        <v>1941.4133859999999</v>
      </c>
      <c r="E11" s="33">
        <f>$C$31*'E Balans VL '!I11/100/3.6*1000000</f>
        <v>5.2142385758233596</v>
      </c>
      <c r="F11" s="33">
        <f>$C$31*('E Balans VL '!L11+'E Balans VL '!N11)/100/3.6*1000000</f>
        <v>24.584053198215557</v>
      </c>
      <c r="G11" s="34"/>
      <c r="H11" s="33"/>
      <c r="I11" s="33"/>
      <c r="J11" s="33">
        <f>$C$31*('E Balans VL '!D11+'E Balans VL '!E11)/100/3.6*1000000</f>
        <v>0</v>
      </c>
      <c r="K11" s="33"/>
      <c r="L11" s="33"/>
      <c r="M11" s="33"/>
      <c r="N11" s="33">
        <f>$C$31*'E Balans VL '!Y11/100/3.6*1000000</f>
        <v>0.63263004875623563</v>
      </c>
      <c r="O11" s="33"/>
      <c r="P11" s="33"/>
      <c r="R11" s="32"/>
    </row>
    <row r="12" spans="1:18">
      <c r="A12" s="32" t="s">
        <v>248</v>
      </c>
      <c r="B12" s="37">
        <f t="shared" si="0"/>
        <v>2967.4302417252798</v>
      </c>
      <c r="C12" s="33"/>
      <c r="D12" s="37">
        <f>IF(ISERROR(TER_rest_gas_kWh/1000),0,TER_rest_gas_kWh/1000)*0.902</f>
        <v>0</v>
      </c>
      <c r="E12" s="33">
        <f>$C$32*'E Balans VL '!I8/100/3.6*1000000</f>
        <v>38.366356994369539</v>
      </c>
      <c r="F12" s="33">
        <f>$C$32*('E Balans VL '!L8+'E Balans VL '!N8)/100/3.6*1000000</f>
        <v>608.78626383284245</v>
      </c>
      <c r="G12" s="34"/>
      <c r="H12" s="33"/>
      <c r="I12" s="33"/>
      <c r="J12" s="33">
        <f>$C$32*('E Balans VL '!D8+'E Balans VL '!E8)/100/3.6*1000000</f>
        <v>6.0420292830046969E-3</v>
      </c>
      <c r="K12" s="33"/>
      <c r="L12" s="33"/>
      <c r="M12" s="33"/>
      <c r="N12" s="33">
        <f>$C$32*'E Balans VL '!Y8/100/3.6*1000000</f>
        <v>242.36162617994026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11350.764362227832</v>
      </c>
      <c r="C16" s="21">
        <f t="shared" ca="1" si="1"/>
        <v>0</v>
      </c>
      <c r="D16" s="21">
        <f t="shared" ca="1" si="1"/>
        <v>17350.961957362</v>
      </c>
      <c r="E16" s="21">
        <f t="shared" si="1"/>
        <v>171.264157895127</v>
      </c>
      <c r="F16" s="21">
        <f t="shared" ca="1" si="1"/>
        <v>1646.7406540674237</v>
      </c>
      <c r="G16" s="21">
        <f t="shared" si="1"/>
        <v>0</v>
      </c>
      <c r="H16" s="21">
        <f t="shared" si="1"/>
        <v>0</v>
      </c>
      <c r="I16" s="21">
        <f t="shared" si="1"/>
        <v>0</v>
      </c>
      <c r="J16" s="21">
        <f t="shared" si="1"/>
        <v>8.0483846833982534E-3</v>
      </c>
      <c r="K16" s="21">
        <f t="shared" si="1"/>
        <v>0</v>
      </c>
      <c r="L16" s="21">
        <f t="shared" ca="1" si="1"/>
        <v>0</v>
      </c>
      <c r="M16" s="21">
        <f t="shared" si="1"/>
        <v>0</v>
      </c>
      <c r="N16" s="21">
        <f t="shared" ca="1" si="1"/>
        <v>344.46867072031932</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0.20140727178792148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2286.1264829038741</v>
      </c>
      <c r="C20" s="23">
        <f t="shared" ref="C20:P20" ca="1" si="2">C16*C18</f>
        <v>0</v>
      </c>
      <c r="D20" s="23">
        <f t="shared" ca="1" si="2"/>
        <v>3504.8943153871242</v>
      </c>
      <c r="E20" s="23">
        <f t="shared" si="2"/>
        <v>38.876963842193831</v>
      </c>
      <c r="F20" s="23">
        <f t="shared" ca="1" si="2"/>
        <v>439.67975463600214</v>
      </c>
      <c r="G20" s="23">
        <f t="shared" si="2"/>
        <v>0</v>
      </c>
      <c r="H20" s="23">
        <f t="shared" si="2"/>
        <v>0</v>
      </c>
      <c r="I20" s="23">
        <f t="shared" si="2"/>
        <v>0</v>
      </c>
      <c r="J20" s="23">
        <f t="shared" si="2"/>
        <v>2.8491281779229817E-3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2681.5201458164502</v>
      </c>
      <c r="C26" s="39">
        <f>IF(ISERROR(B26*3.6/1000000/'E Balans VL '!Z12*100),0,B26*3.6/1000000/'E Balans VL '!Z12*100)</f>
        <v>7.269831564661601E-2</v>
      </c>
      <c r="D26" s="232" t="s">
        <v>700</v>
      </c>
      <c r="F26" s="6"/>
    </row>
    <row r="27" spans="1:18">
      <c r="A27" s="227" t="s">
        <v>52</v>
      </c>
      <c r="B27" s="33">
        <f>IF(ISERROR(TER_horeca_ele_kWh/1000),0,TER_horeca_ele_kWh/1000)</f>
        <v>1092.8293101151298</v>
      </c>
      <c r="C27" s="39">
        <f>IF(ISERROR(B27*3.6/1000000/'E Balans VL '!Z9*100),0,B27*3.6/1000000/'E Balans VL '!Z9*100)</f>
        <v>8.4531493493972709E-2</v>
      </c>
      <c r="D27" s="232" t="s">
        <v>700</v>
      </c>
      <c r="F27" s="6"/>
    </row>
    <row r="28" spans="1:18">
      <c r="A28" s="167" t="s">
        <v>51</v>
      </c>
      <c r="B28" s="33">
        <f>IF(ISERROR(TER_handel_ele_kWh/1000),0,TER_handel_ele_kWh/1000)</f>
        <v>3970.25320312952</v>
      </c>
      <c r="C28" s="39">
        <f>IF(ISERROR(B28*3.6/1000000/'E Balans VL '!Z13*100),0,B28*3.6/1000000/'E Balans VL '!Z13*100)</f>
        <v>0.11482999092559862</v>
      </c>
      <c r="D28" s="232" t="s">
        <v>700</v>
      </c>
      <c r="F28" s="6"/>
    </row>
    <row r="29" spans="1:18">
      <c r="A29" s="227" t="s">
        <v>50</v>
      </c>
      <c r="B29" s="33">
        <f>IF(ISERROR(TER_gezond_ele_kWh/1000),0,TER_gezond_ele_kWh/1000)</f>
        <v>256.19579183366102</v>
      </c>
      <c r="C29" s="39">
        <f>IF(ISERROR(B29*3.6/1000000/'E Balans VL '!Z10*100),0,B29*3.6/1000000/'E Balans VL '!Z10*100)</f>
        <v>2.6385654050423243E-2</v>
      </c>
      <c r="D29" s="232" t="s">
        <v>700</v>
      </c>
      <c r="F29" s="6"/>
    </row>
    <row r="30" spans="1:18">
      <c r="A30" s="227" t="s">
        <v>49</v>
      </c>
      <c r="B30" s="33">
        <f>IF(ISERROR(TER_ander_ele_kWh/1000),0,TER_ander_ele_kWh/1000)</f>
        <v>182.76017613906703</v>
      </c>
      <c r="C30" s="39">
        <f>IF(ISERROR(B30*3.6/1000000/'E Balans VL '!Z14*100),0,B30*3.6/1000000/'E Balans VL '!Z14*100)</f>
        <v>8.2171552234548417E-3</v>
      </c>
      <c r="D30" s="232" t="s">
        <v>700</v>
      </c>
      <c r="F30" s="6"/>
    </row>
    <row r="31" spans="1:18">
      <c r="A31" s="227" t="s">
        <v>54</v>
      </c>
      <c r="B31" s="33">
        <f>IF(ISERROR(TER_onderwijs_ele_kWh/1000),0,TER_onderwijs_ele_kWh/1000)</f>
        <v>199.77549346872399</v>
      </c>
      <c r="C31" s="39">
        <f>IF(ISERROR(B31*3.6/1000000/'E Balans VL '!Z11*100),0,B31*3.6/1000000/'E Balans VL '!Z11*100)</f>
        <v>5.5830643509494605E-2</v>
      </c>
      <c r="D31" s="232" t="s">
        <v>700</v>
      </c>
    </row>
    <row r="32" spans="1:18">
      <c r="A32" s="227" t="s">
        <v>248</v>
      </c>
      <c r="B32" s="33">
        <f>IF(ISERROR(TER_rest_ele_kWh/1000),0,TER_rest_ele_kWh/1000)</f>
        <v>2967.4302417252798</v>
      </c>
      <c r="C32" s="39">
        <f>IF(ISERROR(B32*3.6/1000000/'E Balans VL '!Z8*100),0,B32*3.6/1000000/'E Balans VL '!Z8*100)</f>
        <v>2.4745512421862237E-2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3692.8518402349832</v>
      </c>
      <c r="C5" s="17">
        <f>IF(ISERROR('Eigen informatie GS &amp; warmtenet'!B59),0,'Eigen informatie GS &amp; warmtenet'!B59)</f>
        <v>0</v>
      </c>
      <c r="D5" s="30">
        <f>SUM(D6:D15)</f>
        <v>33037.725921199999</v>
      </c>
      <c r="E5" s="17">
        <f>SUM(E6:E15)</f>
        <v>143.75471884950028</v>
      </c>
      <c r="F5" s="17">
        <f>SUM(F6:F15)</f>
        <v>872.38490888903425</v>
      </c>
      <c r="G5" s="18"/>
      <c r="H5" s="17"/>
      <c r="I5" s="17"/>
      <c r="J5" s="17">
        <f>SUM(J6:J15)</f>
        <v>9.0136914234612941</v>
      </c>
      <c r="K5" s="17"/>
      <c r="L5" s="17"/>
      <c r="M5" s="17"/>
      <c r="N5" s="17">
        <f>SUM(N6:N15)</f>
        <v>107.09635669863246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105.364094382517</v>
      </c>
      <c r="C8" s="33"/>
      <c r="D8" s="37">
        <f>IF( ISERROR(IND_metaal_Gas_kWH/1000),0,IND_metaal_Gas_kWH/1000)*0.902</f>
        <v>413.398326</v>
      </c>
      <c r="E8" s="33">
        <f>C30*'E Balans VL '!I18/100/3.6*1000000</f>
        <v>0.95621143833017053</v>
      </c>
      <c r="F8" s="33">
        <f>C30*'E Balans VL '!L18/100/3.6*1000000+C30*'E Balans VL '!N18/100/3.6*1000000</f>
        <v>9.6979307952336455</v>
      </c>
      <c r="G8" s="34"/>
      <c r="H8" s="33"/>
      <c r="I8" s="33"/>
      <c r="J8" s="40">
        <f>C30*'E Balans VL '!D18/100/3.6*1000000+C30*'E Balans VL '!E18/100/3.6*1000000</f>
        <v>0</v>
      </c>
      <c r="K8" s="33"/>
      <c r="L8" s="33"/>
      <c r="M8" s="33"/>
      <c r="N8" s="33">
        <f>C30*'E Balans VL '!Y18/100/3.6*1000000</f>
        <v>1.5382328051200025</v>
      </c>
      <c r="O8" s="33"/>
      <c r="P8" s="33"/>
      <c r="R8" s="32"/>
    </row>
    <row r="9" spans="1:18">
      <c r="A9" s="6" t="s">
        <v>32</v>
      </c>
      <c r="B9" s="37">
        <f t="shared" si="0"/>
        <v>583.08126534989799</v>
      </c>
      <c r="C9" s="33"/>
      <c r="D9" s="37">
        <f>IF( ISERROR(IND_andere_gas_kWh/1000),0,IND_andere_gas_kWh/1000)*0.902</f>
        <v>1485.9517332</v>
      </c>
      <c r="E9" s="33">
        <f>C31*'E Balans VL '!I19/100/3.6*1000000</f>
        <v>3.3843354382891944</v>
      </c>
      <c r="F9" s="33">
        <f>C31*'E Balans VL '!L19/100/3.6*1000000+C31*'E Balans VL '!N19/100/3.6*1000000</f>
        <v>384.53554722749004</v>
      </c>
      <c r="G9" s="34"/>
      <c r="H9" s="33"/>
      <c r="I9" s="33"/>
      <c r="J9" s="40">
        <f>C31*'E Balans VL '!D19/100/3.6*1000000+C31*'E Balans VL '!E19/100/3.6*1000000</f>
        <v>0</v>
      </c>
      <c r="K9" s="33"/>
      <c r="L9" s="33"/>
      <c r="M9" s="33"/>
      <c r="N9" s="33">
        <f>C31*'E Balans VL '!Y19/100/3.6*1000000</f>
        <v>27.003000246812242</v>
      </c>
      <c r="O9" s="33"/>
      <c r="P9" s="33"/>
      <c r="R9" s="32"/>
    </row>
    <row r="10" spans="1:18">
      <c r="A10" s="6" t="s">
        <v>40</v>
      </c>
      <c r="B10" s="37">
        <f t="shared" si="0"/>
        <v>444.85207583353804</v>
      </c>
      <c r="C10" s="33"/>
      <c r="D10" s="37">
        <f>IF( ISERROR(IND_voed_gas_kWh/1000),0,IND_voed_gas_kWh/1000)*0.902</f>
        <v>30993.707690000003</v>
      </c>
      <c r="E10" s="33">
        <f>C32*'E Balans VL '!I20/100/3.6*1000000</f>
        <v>0.94274531361726621</v>
      </c>
      <c r="F10" s="33">
        <f>C32*'E Balans VL '!L20/100/3.6*1000000+C32*'E Balans VL '!N20/100/3.6*1000000</f>
        <v>28.272187030481192</v>
      </c>
      <c r="G10" s="34"/>
      <c r="H10" s="33"/>
      <c r="I10" s="33"/>
      <c r="J10" s="40">
        <f>C32*'E Balans VL '!D20/100/3.6*1000000+C32*'E Balans VL '!E20/100/3.6*1000000</f>
        <v>0</v>
      </c>
      <c r="K10" s="33"/>
      <c r="L10" s="33"/>
      <c r="M10" s="33"/>
      <c r="N10" s="33">
        <f>C32*'E Balans VL '!Y20/100/3.6*1000000</f>
        <v>12.895768965880963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2559.5544046690302</v>
      </c>
      <c r="C15" s="33"/>
      <c r="D15" s="37">
        <f>IF( ISERROR(IND_rest_gas_kWh/1000),0,IND_rest_gas_kWh/1000)*0.902</f>
        <v>144.668172</v>
      </c>
      <c r="E15" s="33">
        <f>C37*'E Balans VL '!I15/100/3.6*1000000</f>
        <v>138.47142665926364</v>
      </c>
      <c r="F15" s="33">
        <f>C37*'E Balans VL '!L15/100/3.6*1000000+C37*'E Balans VL '!N15/100/3.6*1000000</f>
        <v>449.87924383582941</v>
      </c>
      <c r="G15" s="34"/>
      <c r="H15" s="33"/>
      <c r="I15" s="33"/>
      <c r="J15" s="40">
        <f>C37*'E Balans VL '!D15/100/3.6*1000000+C37*'E Balans VL '!E15/100/3.6*1000000</f>
        <v>9.0136914234612941</v>
      </c>
      <c r="K15" s="33"/>
      <c r="L15" s="33"/>
      <c r="M15" s="33"/>
      <c r="N15" s="33">
        <f>C37*'E Balans VL '!Y15/100/3.6*1000000</f>
        <v>65.659354680819263</v>
      </c>
      <c r="O15" s="33"/>
      <c r="P15" s="33"/>
      <c r="R15" s="32"/>
    </row>
    <row r="16" spans="1:18">
      <c r="A16" s="16" t="s">
        <v>473</v>
      </c>
      <c r="B16" s="242">
        <f>'lokale energieproductie'!N37+'lokale energieproductie'!N30</f>
        <v>900</v>
      </c>
      <c r="C16" s="242">
        <f>'lokale energieproductie'!O37+'lokale energieproductie'!O30</f>
        <v>1285.7142857142858</v>
      </c>
      <c r="D16" s="300">
        <f>('lokale energieproductie'!P30+'lokale energieproductie'!P37)*(-1)</f>
        <v>-2571.4285714285716</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4592.8518402349837</v>
      </c>
      <c r="C18" s="21">
        <f>C5+C16</f>
        <v>1285.7142857142858</v>
      </c>
      <c r="D18" s="21">
        <f>MAX((D5+D16),0)</f>
        <v>30466.297349771427</v>
      </c>
      <c r="E18" s="21">
        <f>MAX((E5+E16),0)</f>
        <v>143.75471884950028</v>
      </c>
      <c r="F18" s="21">
        <f>MAX((F5+F16),0)</f>
        <v>872.38490888903425</v>
      </c>
      <c r="G18" s="21"/>
      <c r="H18" s="21"/>
      <c r="I18" s="21"/>
      <c r="J18" s="21">
        <f>MAX((J5+J16),0)</f>
        <v>9.0136914234612941</v>
      </c>
      <c r="K18" s="21"/>
      <c r="L18" s="21">
        <f>MAX((L5+L16),0)</f>
        <v>0</v>
      </c>
      <c r="M18" s="21"/>
      <c r="N18" s="21">
        <f>MAX((N5+N16),0)</f>
        <v>107.09635669863246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0.20140727178792148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925.03375886786262</v>
      </c>
      <c r="C22" s="23">
        <f ca="1">C18*C20</f>
        <v>305.54621848739504</v>
      </c>
      <c r="D22" s="23">
        <f>D18*D20</f>
        <v>6154.1920646538283</v>
      </c>
      <c r="E22" s="23">
        <f>E18*E20</f>
        <v>32.632321178836563</v>
      </c>
      <c r="F22" s="23">
        <f>F18*F20</f>
        <v>232.92677067337215</v>
      </c>
      <c r="G22" s="23"/>
      <c r="H22" s="23"/>
      <c r="I22" s="23"/>
      <c r="J22" s="23">
        <f>J18*J20</f>
        <v>3.1908467639052978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105.364094382517</v>
      </c>
      <c r="C30" s="39">
        <f>IF(ISERROR(B30*3.6/1000000/'E Balans VL '!Z18*100),0,B30*3.6/1000000/'E Balans VL '!Z18*100)</f>
        <v>6.1104451046104661E-3</v>
      </c>
      <c r="D30" s="232" t="s">
        <v>700</v>
      </c>
    </row>
    <row r="31" spans="1:18">
      <c r="A31" s="6" t="s">
        <v>32</v>
      </c>
      <c r="B31" s="37">
        <f>IF( ISERROR(IND_ander_ele_kWh/1000),0,IND_ander_ele_kWh/1000)</f>
        <v>583.08126534989799</v>
      </c>
      <c r="C31" s="39">
        <f>IF(ISERROR(B31*3.6/1000000/'E Balans VL '!Z19*100),0,B31*3.6/1000000/'E Balans VL '!Z19*100)</f>
        <v>2.4351667824026434E-2</v>
      </c>
      <c r="D31" s="232" t="s">
        <v>700</v>
      </c>
    </row>
    <row r="32" spans="1:18">
      <c r="A32" s="167" t="s">
        <v>40</v>
      </c>
      <c r="B32" s="37">
        <f>IF( ISERROR(IND_voed_ele_kWh/1000),0,IND_voed_ele_kWh/1000)</f>
        <v>444.85207583353804</v>
      </c>
      <c r="C32" s="39">
        <f>IF(ISERROR(B32*3.6/1000000/'E Balans VL '!Z20*100),0,B32*3.6/1000000/'E Balans VL '!Z20*100)</f>
        <v>1.3797558625811085E-2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2559.5544046690302</v>
      </c>
      <c r="C37" s="39">
        <f>IF(ISERROR(B37*3.6/1000000/'E Balans VL '!Z15*100),0,B37*3.6/1000000/'E Balans VL '!Z15*100)</f>
        <v>1.9956691029554281E-2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333.69201012764199</v>
      </c>
      <c r="C5" s="17">
        <f>'Eigen informatie GS &amp; warmtenet'!B60</f>
        <v>0</v>
      </c>
      <c r="D5" s="30">
        <f>IF(ISERROR(SUM(LB_lb_gas_kWh,LB_rest_gas_kWh)/1000),0,SUM(LB_lb_gas_kWh,LB_rest_gas_kWh)/1000)*0.902</f>
        <v>173.77300600000001</v>
      </c>
      <c r="E5" s="17">
        <f>B17*'E Balans VL '!I25/3.6*1000000/100</f>
        <v>10.82940266251817</v>
      </c>
      <c r="F5" s="17">
        <f>B17*('E Balans VL '!L25/3.6*1000000+'E Balans VL '!N25/3.6*1000000)/100</f>
        <v>1231.0545772757962</v>
      </c>
      <c r="G5" s="18"/>
      <c r="H5" s="17"/>
      <c r="I5" s="17"/>
      <c r="J5" s="17">
        <f>('E Balans VL '!D25+'E Balans VL '!E25)/3.6*1000000*landbouw!B17/100</f>
        <v>87.75754873053134</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333.69201012764199</v>
      </c>
      <c r="C8" s="21">
        <f>C5+C6</f>
        <v>0</v>
      </c>
      <c r="D8" s="21">
        <f>MAX((D5+D6),0)</f>
        <v>173.77300600000001</v>
      </c>
      <c r="E8" s="21">
        <f>MAX((E5+E6),0)</f>
        <v>10.82940266251817</v>
      </c>
      <c r="F8" s="21">
        <f>MAX((F5+F6),0)</f>
        <v>1231.0545772757962</v>
      </c>
      <c r="G8" s="21"/>
      <c r="H8" s="21"/>
      <c r="I8" s="21"/>
      <c r="J8" s="21">
        <f>MAX((J5+J6),0)</f>
        <v>87.75754873053134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0.20140727178792148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67.207997377235841</v>
      </c>
      <c r="C12" s="23">
        <f ca="1">C8*C10</f>
        <v>0</v>
      </c>
      <c r="D12" s="23">
        <f>D8*D10</f>
        <v>35.102147212000006</v>
      </c>
      <c r="E12" s="23">
        <f>E8*E10</f>
        <v>2.4582744043916245</v>
      </c>
      <c r="F12" s="23">
        <f>F8*F10</f>
        <v>328.69157213263759</v>
      </c>
      <c r="G12" s="23"/>
      <c r="H12" s="23"/>
      <c r="I12" s="23"/>
      <c r="J12" s="23">
        <f>J8*J10</f>
        <v>31.066172250608094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4.7351943163866171E-2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122.41454367137739</v>
      </c>
      <c r="C26" s="242">
        <f>B26*'GWP N2O_CH4'!B5</f>
        <v>2570.705417098925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15.289859836014934</v>
      </c>
      <c r="C27" s="242">
        <f>B27*'GWP N2O_CH4'!B5</f>
        <v>321.0870565563136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1.8455171120808342</v>
      </c>
      <c r="C28" s="242">
        <f>B28*'GWP N2O_CH4'!B4</f>
        <v>572.11030474505867</v>
      </c>
      <c r="D28" s="50"/>
    </row>
    <row r="29" spans="1:4">
      <c r="A29" s="41" t="s">
        <v>265</v>
      </c>
      <c r="B29" s="242">
        <f>B34*'ha_N2O bodem landbouw'!B4</f>
        <v>7.3904384533433678</v>
      </c>
      <c r="C29" s="242">
        <f>B29*'GWP N2O_CH4'!B4</f>
        <v>2291.0359205364439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1.6864725864690234E-3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2.4868801909839718E-4</v>
      </c>
      <c r="C5" s="427" t="s">
        <v>204</v>
      </c>
      <c r="D5" s="412">
        <f>SUM(D6:D11)</f>
        <v>3.7749567400212531E-4</v>
      </c>
      <c r="E5" s="412">
        <f>SUM(E6:E11)</f>
        <v>7.3465061763337944E-4</v>
      </c>
      <c r="F5" s="425" t="s">
        <v>204</v>
      </c>
      <c r="G5" s="412">
        <f>SUM(G6:G11)</f>
        <v>0.38896396447878373</v>
      </c>
      <c r="H5" s="412">
        <f>SUM(H6:H11)</f>
        <v>6.6903442221986811E-2</v>
      </c>
      <c r="I5" s="427" t="s">
        <v>204</v>
      </c>
      <c r="J5" s="427" t="s">
        <v>204</v>
      </c>
      <c r="K5" s="427" t="s">
        <v>204</v>
      </c>
      <c r="L5" s="427" t="s">
        <v>204</v>
      </c>
      <c r="M5" s="412">
        <f>SUM(M6:M11)</f>
        <v>2.4695018309501708E-2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5.552175720281259E-5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9.381297682156934E-5</v>
      </c>
      <c r="E6" s="818">
        <f>vkm_GW_PW*SUMIFS(TableVerdeelsleutelVkm[LPG],TableVerdeelsleutelVkm[Voertuigtype],"Lichte voertuigen")*SUMIFS(TableECFTransport[EnergieConsumptieFactor (PJ per km)],TableECFTransport[Index],CONCATENATE($A6,"_LPG_LPG"))</f>
        <v>1.6307514834249873E-4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4.9391137520344922E-2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1.6265407689727236E-2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3.3645671693011072E-3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7.6615314535605203E-7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2.4609023492110655E-2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4.9097257047472847E-7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1.4377982155702438E-3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3.4371914985377978E-5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7.435625157730485E-5</v>
      </c>
      <c r="E8" s="415">
        <f>vkm_NGW_PW*SUMIFS(TableVerdeelsleutelVkm[LPG],TableVerdeelsleutelVkm[Voertuigtype],"Lichte voertuigen")*SUMIFS(TableECFTransport[EnergieConsumptieFactor (PJ per km)],TableECFTransport[Index],CONCATENATE($A8,"_LPG_LPG"))</f>
        <v>1.2339334929105551E-4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3.4902957603499103E-2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1.2594444594960024E-2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2.4100136864474864E-3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7.0177052195458898E-8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2.8921644271894401E-3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5.4281671034191703E-8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1.6897648849016291E-4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1.5290957317012557E-4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2.093264456032511E-4</v>
      </c>
      <c r="E10" s="415">
        <f>vkm_SW_PW*SUMIFS(TableVerdeelsleutelVkm[LPG],TableVerdeelsleutelVkm[Voertuigtype],"Lichte voertuigen")*SUMIFS(TableECFTransport[EnergieConsumptieFactor (PJ per km)],TableECFTransport[Index],CONCATENATE($A10,"_LPG_LPG"))</f>
        <v>4.4818211999982517E-4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0.12271660235740528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3.8039714795382186E-2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8.2896921822955896E-3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5.0484435425295324E-6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0.15445207907823433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3.3298876758536326E-6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9.0239705673971198E-3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69.080005305110319</v>
      </c>
      <c r="C14" s="21"/>
      <c r="D14" s="21">
        <f t="shared" ref="D14:M14" si="0">((D5)*10^9/3600)+D12</f>
        <v>104.85990944503482</v>
      </c>
      <c r="E14" s="21">
        <f t="shared" si="0"/>
        <v>204.06961600927207</v>
      </c>
      <c r="F14" s="21"/>
      <c r="G14" s="21">
        <f t="shared" si="0"/>
        <v>108045.54568855104</v>
      </c>
      <c r="H14" s="21">
        <f t="shared" si="0"/>
        <v>18584.289506107445</v>
      </c>
      <c r="I14" s="21"/>
      <c r="J14" s="21"/>
      <c r="K14" s="21"/>
      <c r="L14" s="21"/>
      <c r="M14" s="21">
        <f t="shared" si="0"/>
        <v>6859.7273081949188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0.20140727178792148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13.913215403597411</v>
      </c>
      <c r="C18" s="23"/>
      <c r="D18" s="23">
        <f t="shared" ref="D18:M18" si="1">D14*D16</f>
        <v>21.181701707897034</v>
      </c>
      <c r="E18" s="23">
        <f t="shared" si="1"/>
        <v>46.323802834104761</v>
      </c>
      <c r="F18" s="23"/>
      <c r="G18" s="23">
        <f t="shared" si="1"/>
        <v>28848.160698843127</v>
      </c>
      <c r="H18" s="23">
        <f t="shared" si="1"/>
        <v>4627.4880870207535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5.9666905452212523E-5</v>
      </c>
      <c r="C50" s="311">
        <f t="shared" ref="C50:P50" si="2">SUM(C51:C52)</f>
        <v>0</v>
      </c>
      <c r="D50" s="311">
        <f t="shared" si="2"/>
        <v>0</v>
      </c>
      <c r="E50" s="311">
        <f t="shared" si="2"/>
        <v>0</v>
      </c>
      <c r="F50" s="311">
        <f t="shared" si="2"/>
        <v>0</v>
      </c>
      <c r="G50" s="311">
        <f t="shared" si="2"/>
        <v>5.6051136233573043E-3</v>
      </c>
      <c r="H50" s="311">
        <f t="shared" si="2"/>
        <v>0</v>
      </c>
      <c r="I50" s="311">
        <f t="shared" si="2"/>
        <v>0</v>
      </c>
      <c r="J50" s="311">
        <f t="shared" si="2"/>
        <v>0</v>
      </c>
      <c r="K50" s="311">
        <f t="shared" si="2"/>
        <v>0</v>
      </c>
      <c r="L50" s="311">
        <f t="shared" si="2"/>
        <v>0</v>
      </c>
      <c r="M50" s="311">
        <f t="shared" si="2"/>
        <v>3.2278166430213138E-4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5.9666905452212523E-5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5.6051136233573043E-3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3.2278166430213138E-4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16.574140403392366</v>
      </c>
      <c r="C54" s="21">
        <f t="shared" ref="C54:P54" si="3">(C50)*10^9/3600</f>
        <v>0</v>
      </c>
      <c r="D54" s="21">
        <f t="shared" si="3"/>
        <v>0</v>
      </c>
      <c r="E54" s="21">
        <f t="shared" si="3"/>
        <v>0</v>
      </c>
      <c r="F54" s="21">
        <f t="shared" si="3"/>
        <v>0</v>
      </c>
      <c r="G54" s="21">
        <f t="shared" si="3"/>
        <v>1556.97600648814</v>
      </c>
      <c r="H54" s="21">
        <f t="shared" si="3"/>
        <v>0</v>
      </c>
      <c r="I54" s="21">
        <f t="shared" si="3"/>
        <v>0</v>
      </c>
      <c r="J54" s="21">
        <f t="shared" si="3"/>
        <v>0</v>
      </c>
      <c r="K54" s="21">
        <f t="shared" si="3"/>
        <v>0</v>
      </c>
      <c r="L54" s="21">
        <f t="shared" si="3"/>
        <v>0</v>
      </c>
      <c r="M54" s="21">
        <f t="shared" si="3"/>
        <v>89.661573417258722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0.20140727178792148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3.3381524008772168</v>
      </c>
      <c r="C58" s="23">
        <f t="shared" ref="C58:P58" ca="1" si="4">C54*C56</f>
        <v>0</v>
      </c>
      <c r="D58" s="23">
        <f t="shared" si="4"/>
        <v>0</v>
      </c>
      <c r="E58" s="23">
        <f t="shared" si="4"/>
        <v>0</v>
      </c>
      <c r="F58" s="23">
        <f t="shared" si="4"/>
        <v>0</v>
      </c>
      <c r="G58" s="23">
        <f t="shared" si="4"/>
        <v>415.7125937323334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4263.8005368860895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900</v>
      </c>
      <c r="C8" s="534">
        <f>B48</f>
        <v>1058.8235294117646</v>
      </c>
      <c r="D8" s="962"/>
      <c r="E8" s="962">
        <f>E48</f>
        <v>0</v>
      </c>
      <c r="F8" s="963"/>
      <c r="G8" s="535"/>
      <c r="H8" s="962">
        <f>I48</f>
        <v>0</v>
      </c>
      <c r="I8" s="962">
        <f>G48+F48</f>
        <v>0</v>
      </c>
      <c r="J8" s="962">
        <f>H48+D48+C48</f>
        <v>0</v>
      </c>
      <c r="K8" s="962"/>
      <c r="L8" s="962"/>
      <c r="M8" s="962"/>
      <c r="N8" s="536"/>
      <c r="O8" s="537">
        <f>C8*$C$12+D8*$D$12+E8*$E$12+F8*$F$12+G8*$G$12+H8*$H$12+I8*$I$12+J8*$J$12</f>
        <v>213.88235294117646</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5163.8005368860895</v>
      </c>
      <c r="C10" s="547">
        <f t="shared" ref="C10:L10" si="0">SUM(C8:C9)</f>
        <v>1058.8235294117646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213.88235294117646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1285.7142857142858</v>
      </c>
      <c r="C17" s="559">
        <f>B49</f>
        <v>1512.6050420168069</v>
      </c>
      <c r="D17" s="560"/>
      <c r="E17" s="560">
        <f>E49</f>
        <v>0</v>
      </c>
      <c r="F17" s="968"/>
      <c r="G17" s="561"/>
      <c r="H17" s="559">
        <f>I49</f>
        <v>0</v>
      </c>
      <c r="I17" s="560">
        <f>G49+F49</f>
        <v>0</v>
      </c>
      <c r="J17" s="560">
        <f>H49+D49+C49</f>
        <v>0</v>
      </c>
      <c r="K17" s="560"/>
      <c r="L17" s="560"/>
      <c r="M17" s="560"/>
      <c r="N17" s="969"/>
      <c r="O17" s="562">
        <f>C17*$C$22+E17*$E$22+H17*$H$22+I17*$I$22+J17*$J$22+D17*$D$22+F17*$F$22+G17*$G$22+K17*$K$22+L17*$L$22</f>
        <v>305.54621848739504</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1285.7142857142858</v>
      </c>
      <c r="C20" s="546">
        <f>SUM(C17:C19)</f>
        <v>1512.6050420168069</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305.54621848739504</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11044</v>
      </c>
      <c r="C28" s="724">
        <v>2940</v>
      </c>
      <c r="D28" s="617"/>
      <c r="E28" s="616"/>
      <c r="F28" s="616"/>
      <c r="G28" s="616" t="s">
        <v>878</v>
      </c>
      <c r="H28" s="616" t="s">
        <v>879</v>
      </c>
      <c r="I28" s="616"/>
      <c r="J28" s="723"/>
      <c r="K28" s="723"/>
      <c r="L28" s="616" t="s">
        <v>880</v>
      </c>
      <c r="M28" s="616">
        <v>200</v>
      </c>
      <c r="N28" s="616">
        <v>900</v>
      </c>
      <c r="O28" s="616">
        <v>1285.7142857142858</v>
      </c>
      <c r="P28" s="616">
        <v>2571.4285714285716</v>
      </c>
      <c r="Q28" s="616">
        <v>0</v>
      </c>
      <c r="R28" s="616">
        <v>0</v>
      </c>
      <c r="S28" s="616">
        <v>0</v>
      </c>
      <c r="T28" s="616">
        <v>0</v>
      </c>
      <c r="U28" s="616">
        <v>0</v>
      </c>
      <c r="V28" s="616">
        <v>0</v>
      </c>
      <c r="W28" s="616">
        <v>0</v>
      </c>
      <c r="X28" s="616"/>
      <c r="Y28" s="616">
        <v>501</v>
      </c>
      <c r="Z28" s="616" t="s">
        <v>40</v>
      </c>
      <c r="AA28" s="618" t="s">
        <v>375</v>
      </c>
    </row>
    <row r="29" spans="1:27" s="554" customFormat="1" hidden="1">
      <c r="A29" s="572" t="s">
        <v>268</v>
      </c>
      <c r="B29" s="573"/>
      <c r="C29" s="573"/>
      <c r="D29" s="573"/>
      <c r="E29" s="573"/>
      <c r="F29" s="573"/>
      <c r="G29" s="573"/>
      <c r="H29" s="573"/>
      <c r="I29" s="573"/>
      <c r="J29" s="573"/>
      <c r="K29" s="573"/>
      <c r="L29" s="574"/>
      <c r="M29" s="574">
        <f>SUM(M28:M28)</f>
        <v>200</v>
      </c>
      <c r="N29" s="574">
        <f>SUM(N28:N28)</f>
        <v>900</v>
      </c>
      <c r="O29" s="574">
        <f>SUM(O28:O28)</f>
        <v>1285.7142857142858</v>
      </c>
      <c r="P29" s="574">
        <f>SUM(P28:P28)</f>
        <v>2571.4285714285716</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200</v>
      </c>
      <c r="N30" s="574">
        <f>SUMIF($AA$28:$AA$28,"industrie",N28:N28)</f>
        <v>900</v>
      </c>
      <c r="O30" s="574">
        <f>SUMIF($AA$28:$AA$28,"industrie",O28:O28)</f>
        <v>1285.7142857142858</v>
      </c>
      <c r="P30" s="574">
        <f>SUMIF($AA$28:$AA$28,"industrie",P28:P28)</f>
        <v>2571.4285714285716</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1058.8235294117646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1512.6050420168069</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12222.367362227831</v>
      </c>
      <c r="D10" s="931">
        <f ca="1">tertiair!C16</f>
        <v>0</v>
      </c>
      <c r="E10" s="931">
        <f ca="1">tertiair!D16</f>
        <v>17350.961957362</v>
      </c>
      <c r="F10" s="931">
        <f>tertiair!E16</f>
        <v>171.264157895127</v>
      </c>
      <c r="G10" s="931">
        <f ca="1">tertiair!F16</f>
        <v>1646.7406540674237</v>
      </c>
      <c r="H10" s="931">
        <f>tertiair!G16</f>
        <v>0</v>
      </c>
      <c r="I10" s="931">
        <f>tertiair!H16</f>
        <v>0</v>
      </c>
      <c r="J10" s="931">
        <f>tertiair!I16</f>
        <v>0</v>
      </c>
      <c r="K10" s="931">
        <f>tertiair!J16</f>
        <v>8.0483846833982534E-3</v>
      </c>
      <c r="L10" s="931">
        <f>tertiair!K16</f>
        <v>0</v>
      </c>
      <c r="M10" s="931">
        <f ca="1">tertiair!L16</f>
        <v>0</v>
      </c>
      <c r="N10" s="931">
        <f>tertiair!M16</f>
        <v>0</v>
      </c>
      <c r="O10" s="931">
        <f ca="1">tertiair!N16</f>
        <v>344.46867072031932</v>
      </c>
      <c r="P10" s="931">
        <f>tertiair!O16</f>
        <v>0</v>
      </c>
      <c r="Q10" s="932">
        <f>tertiair!P16</f>
        <v>38.133333333333333</v>
      </c>
      <c r="R10" s="628">
        <f ca="1">SUM(C10:Q10)</f>
        <v>31773.944183990716</v>
      </c>
      <c r="S10" s="67"/>
    </row>
    <row r="11" spans="1:19" s="437" customFormat="1">
      <c r="A11" s="736" t="s">
        <v>213</v>
      </c>
      <c r="B11" s="741"/>
      <c r="C11" s="931">
        <f>huishoudens!B8</f>
        <v>29491.256600116034</v>
      </c>
      <c r="D11" s="931">
        <f>huishoudens!C8</f>
        <v>0</v>
      </c>
      <c r="E11" s="931">
        <f>huishoudens!D8</f>
        <v>90844.485439266253</v>
      </c>
      <c r="F11" s="931">
        <f>huishoudens!E8</f>
        <v>877.7957676083704</v>
      </c>
      <c r="G11" s="931">
        <f>huishoudens!F8</f>
        <v>20346.622953833888</v>
      </c>
      <c r="H11" s="931">
        <f>huishoudens!G8</f>
        <v>0</v>
      </c>
      <c r="I11" s="931">
        <f>huishoudens!H8</f>
        <v>0</v>
      </c>
      <c r="J11" s="931">
        <f>huishoudens!I8</f>
        <v>0</v>
      </c>
      <c r="K11" s="931">
        <f>huishoudens!J8</f>
        <v>104.56371947145158</v>
      </c>
      <c r="L11" s="931">
        <f>huishoudens!K8</f>
        <v>0</v>
      </c>
      <c r="M11" s="931">
        <f>huishoudens!L8</f>
        <v>0</v>
      </c>
      <c r="N11" s="931">
        <f>huishoudens!M8</f>
        <v>0</v>
      </c>
      <c r="O11" s="931">
        <f>huishoudens!N8</f>
        <v>9637.554883683868</v>
      </c>
      <c r="P11" s="931">
        <f>huishoudens!O8</f>
        <v>186.03666666666666</v>
      </c>
      <c r="Q11" s="932">
        <f>huishoudens!P8</f>
        <v>438.5333333333333</v>
      </c>
      <c r="R11" s="628">
        <f>SUM(C11:Q11)</f>
        <v>151926.84936397983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4592.8518402349837</v>
      </c>
      <c r="D13" s="931">
        <f>industrie!C18</f>
        <v>1285.7142857142858</v>
      </c>
      <c r="E13" s="931">
        <f>industrie!D18</f>
        <v>30466.297349771427</v>
      </c>
      <c r="F13" s="931">
        <f>industrie!E18</f>
        <v>143.75471884950028</v>
      </c>
      <c r="G13" s="931">
        <f>industrie!F18</f>
        <v>872.38490888903425</v>
      </c>
      <c r="H13" s="931">
        <f>industrie!G18</f>
        <v>0</v>
      </c>
      <c r="I13" s="931">
        <f>industrie!H18</f>
        <v>0</v>
      </c>
      <c r="J13" s="931">
        <f>industrie!I18</f>
        <v>0</v>
      </c>
      <c r="K13" s="931">
        <f>industrie!J18</f>
        <v>9.0136914234612941</v>
      </c>
      <c r="L13" s="931">
        <f>industrie!K18</f>
        <v>0</v>
      </c>
      <c r="M13" s="931">
        <f>industrie!L18</f>
        <v>0</v>
      </c>
      <c r="N13" s="931">
        <f>industrie!M18</f>
        <v>0</v>
      </c>
      <c r="O13" s="931">
        <f>industrie!N18</f>
        <v>107.09635669863246</v>
      </c>
      <c r="P13" s="931">
        <f>industrie!O18</f>
        <v>0</v>
      </c>
      <c r="Q13" s="932">
        <f>industrie!P18</f>
        <v>0</v>
      </c>
      <c r="R13" s="628">
        <f>SUM(C13:Q13)</f>
        <v>37477.113151581325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46306.475802578847</v>
      </c>
      <c r="D16" s="660">
        <f t="shared" ref="D16:R16" ca="1" si="0">SUM(D9:D15)</f>
        <v>1285.7142857142858</v>
      </c>
      <c r="E16" s="660">
        <f t="shared" ca="1" si="0"/>
        <v>138661.74474639969</v>
      </c>
      <c r="F16" s="660">
        <f t="shared" si="0"/>
        <v>1192.8146443529977</v>
      </c>
      <c r="G16" s="660">
        <f t="shared" ca="1" si="0"/>
        <v>22865.748516790347</v>
      </c>
      <c r="H16" s="660">
        <f t="shared" si="0"/>
        <v>0</v>
      </c>
      <c r="I16" s="660">
        <f t="shared" si="0"/>
        <v>0</v>
      </c>
      <c r="J16" s="660">
        <f t="shared" si="0"/>
        <v>0</v>
      </c>
      <c r="K16" s="660">
        <f t="shared" si="0"/>
        <v>113.58545927959626</v>
      </c>
      <c r="L16" s="660">
        <f t="shared" si="0"/>
        <v>0</v>
      </c>
      <c r="M16" s="660">
        <f t="shared" ca="1" si="0"/>
        <v>0</v>
      </c>
      <c r="N16" s="660">
        <f t="shared" si="0"/>
        <v>0</v>
      </c>
      <c r="O16" s="660">
        <f t="shared" ca="1" si="0"/>
        <v>10089.11991110282</v>
      </c>
      <c r="P16" s="660">
        <f t="shared" si="0"/>
        <v>186.03666666666666</v>
      </c>
      <c r="Q16" s="660">
        <f t="shared" si="0"/>
        <v>476.66666666666663</v>
      </c>
      <c r="R16" s="660">
        <f t="shared" ca="1" si="0"/>
        <v>221177.90669955185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16.574140403392366</v>
      </c>
      <c r="D19" s="931">
        <f>transport!C54</f>
        <v>0</v>
      </c>
      <c r="E19" s="931">
        <f>transport!D54</f>
        <v>0</v>
      </c>
      <c r="F19" s="931">
        <f>transport!E54</f>
        <v>0</v>
      </c>
      <c r="G19" s="931">
        <f>transport!F54</f>
        <v>0</v>
      </c>
      <c r="H19" s="931">
        <f>transport!G54</f>
        <v>1556.97600648814</v>
      </c>
      <c r="I19" s="931">
        <f>transport!H54</f>
        <v>0</v>
      </c>
      <c r="J19" s="931">
        <f>transport!I54</f>
        <v>0</v>
      </c>
      <c r="K19" s="931">
        <f>transport!J54</f>
        <v>0</v>
      </c>
      <c r="L19" s="931">
        <f>transport!K54</f>
        <v>0</v>
      </c>
      <c r="M19" s="931">
        <f>transport!L54</f>
        <v>0</v>
      </c>
      <c r="N19" s="931">
        <f>transport!M54</f>
        <v>89.661573417258722</v>
      </c>
      <c r="O19" s="931">
        <f>transport!N54</f>
        <v>0</v>
      </c>
      <c r="P19" s="931">
        <f>transport!O54</f>
        <v>0</v>
      </c>
      <c r="Q19" s="932">
        <f>transport!P54</f>
        <v>0</v>
      </c>
      <c r="R19" s="628">
        <f>SUM(C19:Q19)</f>
        <v>1663.2117203087912</v>
      </c>
      <c r="S19" s="67"/>
    </row>
    <row r="20" spans="1:19" s="437" customFormat="1">
      <c r="A20" s="736" t="s">
        <v>295</v>
      </c>
      <c r="B20" s="741"/>
      <c r="C20" s="931">
        <f>transport!B14</f>
        <v>69.080005305110319</v>
      </c>
      <c r="D20" s="931">
        <f>transport!C14</f>
        <v>0</v>
      </c>
      <c r="E20" s="931">
        <f>transport!D14</f>
        <v>104.85990944503482</v>
      </c>
      <c r="F20" s="931">
        <f>transport!E14</f>
        <v>204.06961600927207</v>
      </c>
      <c r="G20" s="931">
        <f>transport!F14</f>
        <v>0</v>
      </c>
      <c r="H20" s="931">
        <f>transport!G14</f>
        <v>108045.54568855104</v>
      </c>
      <c r="I20" s="931">
        <f>transport!H14</f>
        <v>18584.289506107445</v>
      </c>
      <c r="J20" s="931">
        <f>transport!I14</f>
        <v>0</v>
      </c>
      <c r="K20" s="931">
        <f>transport!J14</f>
        <v>0</v>
      </c>
      <c r="L20" s="931">
        <f>transport!K14</f>
        <v>0</v>
      </c>
      <c r="M20" s="931">
        <f>transport!L14</f>
        <v>0</v>
      </c>
      <c r="N20" s="931">
        <f>transport!M14</f>
        <v>6859.7273081949188</v>
      </c>
      <c r="O20" s="931">
        <f>transport!N14</f>
        <v>0</v>
      </c>
      <c r="P20" s="931">
        <f>transport!O14</f>
        <v>0</v>
      </c>
      <c r="Q20" s="932">
        <f>transport!P14</f>
        <v>0</v>
      </c>
      <c r="R20" s="628">
        <f>SUM(C20:Q20)</f>
        <v>133867.57203361281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85.654145708502682</v>
      </c>
      <c r="D22" s="739">
        <f t="shared" ref="D22:R22" si="1">SUM(D18:D21)</f>
        <v>0</v>
      </c>
      <c r="E22" s="739">
        <f t="shared" si="1"/>
        <v>104.85990944503482</v>
      </c>
      <c r="F22" s="739">
        <f t="shared" si="1"/>
        <v>204.06961600927207</v>
      </c>
      <c r="G22" s="739">
        <f t="shared" si="1"/>
        <v>0</v>
      </c>
      <c r="H22" s="739">
        <f t="shared" si="1"/>
        <v>109602.52169503918</v>
      </c>
      <c r="I22" s="739">
        <f t="shared" si="1"/>
        <v>18584.289506107445</v>
      </c>
      <c r="J22" s="739">
        <f t="shared" si="1"/>
        <v>0</v>
      </c>
      <c r="K22" s="739">
        <f t="shared" si="1"/>
        <v>0</v>
      </c>
      <c r="L22" s="739">
        <f t="shared" si="1"/>
        <v>0</v>
      </c>
      <c r="M22" s="739">
        <f t="shared" si="1"/>
        <v>0</v>
      </c>
      <c r="N22" s="739">
        <f t="shared" si="1"/>
        <v>6949.3888816121771</v>
      </c>
      <c r="O22" s="739">
        <f t="shared" si="1"/>
        <v>0</v>
      </c>
      <c r="P22" s="739">
        <f t="shared" si="1"/>
        <v>0</v>
      </c>
      <c r="Q22" s="739">
        <f t="shared" si="1"/>
        <v>0</v>
      </c>
      <c r="R22" s="739">
        <f t="shared" si="1"/>
        <v>135530.7837539216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333.69201012764199</v>
      </c>
      <c r="D24" s="931">
        <f>+landbouw!C8</f>
        <v>0</v>
      </c>
      <c r="E24" s="931">
        <f>+landbouw!D8</f>
        <v>173.77300600000001</v>
      </c>
      <c r="F24" s="931">
        <f>+landbouw!E8</f>
        <v>10.82940266251817</v>
      </c>
      <c r="G24" s="931">
        <f>+landbouw!F8</f>
        <v>1231.0545772757962</v>
      </c>
      <c r="H24" s="931">
        <f>+landbouw!G8</f>
        <v>0</v>
      </c>
      <c r="I24" s="931">
        <f>+landbouw!H8</f>
        <v>0</v>
      </c>
      <c r="J24" s="931">
        <f>+landbouw!I8</f>
        <v>0</v>
      </c>
      <c r="K24" s="931">
        <f>+landbouw!J8</f>
        <v>87.75754873053134</v>
      </c>
      <c r="L24" s="931">
        <f>+landbouw!K8</f>
        <v>0</v>
      </c>
      <c r="M24" s="931">
        <f>+landbouw!L8</f>
        <v>0</v>
      </c>
      <c r="N24" s="931">
        <f>+landbouw!M8</f>
        <v>0</v>
      </c>
      <c r="O24" s="931">
        <f>+landbouw!N8</f>
        <v>0</v>
      </c>
      <c r="P24" s="931">
        <f>+landbouw!O8</f>
        <v>0</v>
      </c>
      <c r="Q24" s="932">
        <f>+landbouw!P8</f>
        <v>0</v>
      </c>
      <c r="R24" s="628">
        <f>SUM(C24:Q24)</f>
        <v>1837.1065447964877</v>
      </c>
      <c r="S24" s="67"/>
    </row>
    <row r="25" spans="1:19" s="437" customFormat="1" ht="15" thickBot="1">
      <c r="A25" s="758" t="s">
        <v>775</v>
      </c>
      <c r="B25" s="934"/>
      <c r="C25" s="935">
        <f>IF(Onbekend_ele_kWh="---",0,Onbekend_ele_kWh)/1000+IF(REST_rest_ele_kWh="---",0,REST_rest_ele_kWh)/1000</f>
        <v>603.85850634928204</v>
      </c>
      <c r="D25" s="935"/>
      <c r="E25" s="935">
        <f>IF(onbekend_gas_kWh="---",0,onbekend_gas_kWh)/1000+IF(REST_rest_gas_kWh="---",0,REST_rest_gas_kWh)/1000</f>
        <v>1415.8393000000001</v>
      </c>
      <c r="F25" s="935"/>
      <c r="G25" s="935"/>
      <c r="H25" s="935"/>
      <c r="I25" s="935"/>
      <c r="J25" s="935"/>
      <c r="K25" s="935"/>
      <c r="L25" s="935"/>
      <c r="M25" s="935"/>
      <c r="N25" s="935"/>
      <c r="O25" s="935"/>
      <c r="P25" s="935"/>
      <c r="Q25" s="936"/>
      <c r="R25" s="628">
        <f>SUM(C25:Q25)</f>
        <v>2019.697806349282</v>
      </c>
      <c r="S25" s="67"/>
    </row>
    <row r="26" spans="1:19" s="437" customFormat="1" ht="15.75" thickBot="1">
      <c r="A26" s="633" t="s">
        <v>776</v>
      </c>
      <c r="B26" s="744"/>
      <c r="C26" s="739">
        <f>SUM(C24:C25)</f>
        <v>937.55051647692403</v>
      </c>
      <c r="D26" s="739">
        <f t="shared" ref="D26:R26" si="2">SUM(D24:D25)</f>
        <v>0</v>
      </c>
      <c r="E26" s="739">
        <f t="shared" si="2"/>
        <v>1589.612306</v>
      </c>
      <c r="F26" s="739">
        <f t="shared" si="2"/>
        <v>10.82940266251817</v>
      </c>
      <c r="G26" s="739">
        <f t="shared" si="2"/>
        <v>1231.0545772757962</v>
      </c>
      <c r="H26" s="739">
        <f t="shared" si="2"/>
        <v>0</v>
      </c>
      <c r="I26" s="739">
        <f t="shared" si="2"/>
        <v>0</v>
      </c>
      <c r="J26" s="739">
        <f t="shared" si="2"/>
        <v>0</v>
      </c>
      <c r="K26" s="739">
        <f t="shared" si="2"/>
        <v>87.75754873053134</v>
      </c>
      <c r="L26" s="739">
        <f t="shared" si="2"/>
        <v>0</v>
      </c>
      <c r="M26" s="739">
        <f t="shared" si="2"/>
        <v>0</v>
      </c>
      <c r="N26" s="739">
        <f t="shared" si="2"/>
        <v>0</v>
      </c>
      <c r="O26" s="739">
        <f t="shared" si="2"/>
        <v>0</v>
      </c>
      <c r="P26" s="739">
        <f t="shared" si="2"/>
        <v>0</v>
      </c>
      <c r="Q26" s="739">
        <f t="shared" si="2"/>
        <v>0</v>
      </c>
      <c r="R26" s="739">
        <f t="shared" si="2"/>
        <v>3856.8043511457699</v>
      </c>
      <c r="S26" s="67"/>
    </row>
    <row r="27" spans="1:19" s="437" customFormat="1" ht="17.25" thickTop="1" thickBot="1">
      <c r="A27" s="634" t="s">
        <v>109</v>
      </c>
      <c r="B27" s="732"/>
      <c r="C27" s="635">
        <f ca="1">C22+C16+C26</f>
        <v>47329.680464764278</v>
      </c>
      <c r="D27" s="635">
        <f t="shared" ref="D27:R27" ca="1" si="3">D22+D16+D26</f>
        <v>1285.7142857142858</v>
      </c>
      <c r="E27" s="635">
        <f t="shared" ca="1" si="3"/>
        <v>140356.21696184474</v>
      </c>
      <c r="F27" s="635">
        <f t="shared" si="3"/>
        <v>1407.7136630247878</v>
      </c>
      <c r="G27" s="635">
        <f t="shared" ca="1" si="3"/>
        <v>24096.803094066145</v>
      </c>
      <c r="H27" s="635">
        <f t="shared" si="3"/>
        <v>109602.52169503918</v>
      </c>
      <c r="I27" s="635">
        <f t="shared" si="3"/>
        <v>18584.289506107445</v>
      </c>
      <c r="J27" s="635">
        <f t="shared" si="3"/>
        <v>0</v>
      </c>
      <c r="K27" s="635">
        <f t="shared" si="3"/>
        <v>201.34300801012762</v>
      </c>
      <c r="L27" s="635">
        <f t="shared" si="3"/>
        <v>0</v>
      </c>
      <c r="M27" s="635">
        <f t="shared" ca="1" si="3"/>
        <v>0</v>
      </c>
      <c r="N27" s="635">
        <f t="shared" si="3"/>
        <v>6949.3888816121771</v>
      </c>
      <c r="O27" s="635">
        <f t="shared" ca="1" si="3"/>
        <v>10089.11991110282</v>
      </c>
      <c r="P27" s="635">
        <f t="shared" si="3"/>
        <v>186.03666666666666</v>
      </c>
      <c r="Q27" s="635">
        <f t="shared" si="3"/>
        <v>476.66666666666663</v>
      </c>
      <c r="R27" s="635">
        <f t="shared" ca="1" si="3"/>
        <v>360565.49480461923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2461.6736652160416</v>
      </c>
      <c r="D40" s="931">
        <f ca="1">tertiair!C20</f>
        <v>0</v>
      </c>
      <c r="E40" s="931">
        <f ca="1">tertiair!D20</f>
        <v>3504.8943153871242</v>
      </c>
      <c r="F40" s="931">
        <f>tertiair!E20</f>
        <v>38.876963842193831</v>
      </c>
      <c r="G40" s="931">
        <f ca="1">tertiair!F20</f>
        <v>439.67975463600214</v>
      </c>
      <c r="H40" s="931">
        <f>tertiair!G20</f>
        <v>0</v>
      </c>
      <c r="I40" s="931">
        <f>tertiair!H20</f>
        <v>0</v>
      </c>
      <c r="J40" s="931">
        <f>tertiair!I20</f>
        <v>0</v>
      </c>
      <c r="K40" s="931">
        <f>tertiair!J20</f>
        <v>2.8491281779229817E-3</v>
      </c>
      <c r="L40" s="931">
        <f>tertiair!K20</f>
        <v>0</v>
      </c>
      <c r="M40" s="931">
        <f ca="1">tertiair!L20</f>
        <v>0</v>
      </c>
      <c r="N40" s="931">
        <f>tertiair!M20</f>
        <v>0</v>
      </c>
      <c r="O40" s="931">
        <f ca="1">tertiair!N20</f>
        <v>0</v>
      </c>
      <c r="P40" s="931">
        <f>tertiair!O20</f>
        <v>0</v>
      </c>
      <c r="Q40" s="702">
        <f>tertiair!P20</f>
        <v>0</v>
      </c>
      <c r="R40" s="777">
        <f t="shared" ca="1" si="4"/>
        <v>6445.1275482095398</v>
      </c>
    </row>
    <row r="41" spans="1:18">
      <c r="A41" s="749" t="s">
        <v>213</v>
      </c>
      <c r="B41" s="756"/>
      <c r="C41" s="931">
        <f ca="1">huishoudens!B12</f>
        <v>5939.7535334269032</v>
      </c>
      <c r="D41" s="931">
        <f ca="1">huishoudens!C12</f>
        <v>0</v>
      </c>
      <c r="E41" s="931">
        <f>huishoudens!D12</f>
        <v>18350.586058731784</v>
      </c>
      <c r="F41" s="931">
        <f>huishoudens!E12</f>
        <v>199.2596392471001</v>
      </c>
      <c r="G41" s="931">
        <f>huishoudens!F12</f>
        <v>5432.5483286736489</v>
      </c>
      <c r="H41" s="931">
        <f>huishoudens!G12</f>
        <v>0</v>
      </c>
      <c r="I41" s="931">
        <f>huishoudens!H12</f>
        <v>0</v>
      </c>
      <c r="J41" s="931">
        <f>huishoudens!I12</f>
        <v>0</v>
      </c>
      <c r="K41" s="931">
        <f>huishoudens!J12</f>
        <v>37.01555669289386</v>
      </c>
      <c r="L41" s="931">
        <f>huishoudens!K12</f>
        <v>0</v>
      </c>
      <c r="M41" s="931">
        <f>huishoudens!L12</f>
        <v>0</v>
      </c>
      <c r="N41" s="931">
        <f>huishoudens!M12</f>
        <v>0</v>
      </c>
      <c r="O41" s="931">
        <f>huishoudens!N12</f>
        <v>0</v>
      </c>
      <c r="P41" s="931">
        <f>huishoudens!O12</f>
        <v>0</v>
      </c>
      <c r="Q41" s="702">
        <f>huishoudens!P12</f>
        <v>0</v>
      </c>
      <c r="R41" s="777">
        <f t="shared" ca="1" si="4"/>
        <v>29959.163116772328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925.03375886786262</v>
      </c>
      <c r="D43" s="931">
        <f ca="1">industrie!C22</f>
        <v>305.54621848739504</v>
      </c>
      <c r="E43" s="931">
        <f>industrie!D22</f>
        <v>6154.1920646538283</v>
      </c>
      <c r="F43" s="931">
        <f>industrie!E22</f>
        <v>32.632321178836563</v>
      </c>
      <c r="G43" s="931">
        <f>industrie!F22</f>
        <v>232.92677067337215</v>
      </c>
      <c r="H43" s="931">
        <f>industrie!G22</f>
        <v>0</v>
      </c>
      <c r="I43" s="931">
        <f>industrie!H22</f>
        <v>0</v>
      </c>
      <c r="J43" s="931">
        <f>industrie!I22</f>
        <v>0</v>
      </c>
      <c r="K43" s="931">
        <f>industrie!J22</f>
        <v>3.1908467639052978</v>
      </c>
      <c r="L43" s="931">
        <f>industrie!K22</f>
        <v>0</v>
      </c>
      <c r="M43" s="931">
        <f>industrie!L22</f>
        <v>0</v>
      </c>
      <c r="N43" s="931">
        <f>industrie!M22</f>
        <v>0</v>
      </c>
      <c r="O43" s="931">
        <f>industrie!N22</f>
        <v>0</v>
      </c>
      <c r="P43" s="931">
        <f>industrie!O22</f>
        <v>0</v>
      </c>
      <c r="Q43" s="702">
        <f>industrie!P22</f>
        <v>0</v>
      </c>
      <c r="R43" s="776">
        <f t="shared" ca="1" si="4"/>
        <v>7653.5219806251998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9326.4609575108079</v>
      </c>
      <c r="D46" s="660">
        <f t="shared" ref="D46:Q46" ca="1" si="5">SUM(D39:D45)</f>
        <v>305.54621848739504</v>
      </c>
      <c r="E46" s="660">
        <f t="shared" ca="1" si="5"/>
        <v>28009.672438772737</v>
      </c>
      <c r="F46" s="660">
        <f t="shared" si="5"/>
        <v>270.76892426813049</v>
      </c>
      <c r="G46" s="660">
        <f t="shared" ca="1" si="5"/>
        <v>6105.1548539830228</v>
      </c>
      <c r="H46" s="660">
        <f t="shared" si="5"/>
        <v>0</v>
      </c>
      <c r="I46" s="660">
        <f t="shared" si="5"/>
        <v>0</v>
      </c>
      <c r="J46" s="660">
        <f t="shared" si="5"/>
        <v>0</v>
      </c>
      <c r="K46" s="660">
        <f t="shared" si="5"/>
        <v>40.209252584977079</v>
      </c>
      <c r="L46" s="660">
        <f t="shared" si="5"/>
        <v>0</v>
      </c>
      <c r="M46" s="660">
        <f t="shared" ca="1" si="5"/>
        <v>0</v>
      </c>
      <c r="N46" s="660">
        <f t="shared" si="5"/>
        <v>0</v>
      </c>
      <c r="O46" s="660">
        <f t="shared" ca="1" si="5"/>
        <v>0</v>
      </c>
      <c r="P46" s="660">
        <f t="shared" si="5"/>
        <v>0</v>
      </c>
      <c r="Q46" s="660">
        <f t="shared" si="5"/>
        <v>0</v>
      </c>
      <c r="R46" s="660">
        <f ca="1">SUM(R39:R45)</f>
        <v>44057.812645607068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3.3381524008772168</v>
      </c>
      <c r="D49" s="931">
        <f ca="1">transport!C58</f>
        <v>0</v>
      </c>
      <c r="E49" s="931">
        <f>transport!D58</f>
        <v>0</v>
      </c>
      <c r="F49" s="931">
        <f>transport!E58</f>
        <v>0</v>
      </c>
      <c r="G49" s="931">
        <f>transport!F58</f>
        <v>0</v>
      </c>
      <c r="H49" s="931">
        <f>transport!G58</f>
        <v>415.7125937323334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419.05074613321062</v>
      </c>
    </row>
    <row r="50" spans="1:18">
      <c r="A50" s="752" t="s">
        <v>295</v>
      </c>
      <c r="B50" s="762"/>
      <c r="C50" s="631">
        <f ca="1">transport!B18</f>
        <v>13.913215403597411</v>
      </c>
      <c r="D50" s="631">
        <f>transport!C18</f>
        <v>0</v>
      </c>
      <c r="E50" s="631">
        <f>transport!D18</f>
        <v>21.181701707897034</v>
      </c>
      <c r="F50" s="631">
        <f>transport!E18</f>
        <v>46.323802834104761</v>
      </c>
      <c r="G50" s="631">
        <f>transport!F18</f>
        <v>0</v>
      </c>
      <c r="H50" s="631">
        <f>transport!G18</f>
        <v>28848.160698843127</v>
      </c>
      <c r="I50" s="631">
        <f>transport!H18</f>
        <v>4627.4880870207535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33557.067505809478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17.251367804474626</v>
      </c>
      <c r="D52" s="660">
        <f t="shared" ref="D52:Q52" ca="1" si="6">SUM(D48:D51)</f>
        <v>0</v>
      </c>
      <c r="E52" s="660">
        <f t="shared" si="6"/>
        <v>21.181701707897034</v>
      </c>
      <c r="F52" s="660">
        <f t="shared" si="6"/>
        <v>46.323802834104761</v>
      </c>
      <c r="G52" s="660">
        <f t="shared" si="6"/>
        <v>0</v>
      </c>
      <c r="H52" s="660">
        <f t="shared" si="6"/>
        <v>29263.873292575459</v>
      </c>
      <c r="I52" s="660">
        <f t="shared" si="6"/>
        <v>4627.4880870207535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33976.118251942687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67.207997377235841</v>
      </c>
      <c r="D54" s="631">
        <f ca="1">+landbouw!C12</f>
        <v>0</v>
      </c>
      <c r="E54" s="631">
        <f>+landbouw!D12</f>
        <v>35.102147212000006</v>
      </c>
      <c r="F54" s="631">
        <f>+landbouw!E12</f>
        <v>2.4582744043916245</v>
      </c>
      <c r="G54" s="631">
        <f>+landbouw!F12</f>
        <v>328.69157213263759</v>
      </c>
      <c r="H54" s="631">
        <f>+landbouw!G12</f>
        <v>0</v>
      </c>
      <c r="I54" s="631">
        <f>+landbouw!H12</f>
        <v>0</v>
      </c>
      <c r="J54" s="631">
        <f>+landbouw!I12</f>
        <v>0</v>
      </c>
      <c r="K54" s="631">
        <f>+landbouw!J12</f>
        <v>31.066172250608094</v>
      </c>
      <c r="L54" s="631">
        <f>+landbouw!K12</f>
        <v>0</v>
      </c>
      <c r="M54" s="631">
        <f>+landbouw!L12</f>
        <v>0</v>
      </c>
      <c r="N54" s="631">
        <f>+landbouw!M12</f>
        <v>0</v>
      </c>
      <c r="O54" s="631">
        <f>+landbouw!N12</f>
        <v>0</v>
      </c>
      <c r="P54" s="631">
        <f>+landbouw!O12</f>
        <v>0</v>
      </c>
      <c r="Q54" s="632">
        <f>+landbouw!P12</f>
        <v>0</v>
      </c>
      <c r="R54" s="659">
        <f ca="1">SUM(C54:Q54)</f>
        <v>464.52616337687317</v>
      </c>
    </row>
    <row r="55" spans="1:18" ht="15" thickBot="1">
      <c r="A55" s="752" t="s">
        <v>775</v>
      </c>
      <c r="B55" s="762"/>
      <c r="C55" s="631">
        <f ca="1">C25*'EF ele_warmte'!B12</f>
        <v>121.62149430973815</v>
      </c>
      <c r="D55" s="631"/>
      <c r="E55" s="631">
        <f>E25*EF_CO2_aardgas</f>
        <v>285.99953860000005</v>
      </c>
      <c r="F55" s="631"/>
      <c r="G55" s="631"/>
      <c r="H55" s="631"/>
      <c r="I55" s="631"/>
      <c r="J55" s="631"/>
      <c r="K55" s="631"/>
      <c r="L55" s="631"/>
      <c r="M55" s="631"/>
      <c r="N55" s="631"/>
      <c r="O55" s="631"/>
      <c r="P55" s="631"/>
      <c r="Q55" s="632"/>
      <c r="R55" s="659">
        <f ca="1">SUM(C55:Q55)</f>
        <v>407.62103290973823</v>
      </c>
    </row>
    <row r="56" spans="1:18" ht="15.75" thickBot="1">
      <c r="A56" s="750" t="s">
        <v>776</v>
      </c>
      <c r="B56" s="763"/>
      <c r="C56" s="660">
        <f ca="1">SUM(C54:C55)</f>
        <v>188.829491686974</v>
      </c>
      <c r="D56" s="660">
        <f t="shared" ref="D56:Q56" ca="1" si="7">SUM(D54:D55)</f>
        <v>0</v>
      </c>
      <c r="E56" s="660">
        <f t="shared" si="7"/>
        <v>321.10168581200003</v>
      </c>
      <c r="F56" s="660">
        <f t="shared" si="7"/>
        <v>2.4582744043916245</v>
      </c>
      <c r="G56" s="660">
        <f t="shared" si="7"/>
        <v>328.69157213263759</v>
      </c>
      <c r="H56" s="660">
        <f t="shared" si="7"/>
        <v>0</v>
      </c>
      <c r="I56" s="660">
        <f t="shared" si="7"/>
        <v>0</v>
      </c>
      <c r="J56" s="660">
        <f t="shared" si="7"/>
        <v>0</v>
      </c>
      <c r="K56" s="660">
        <f t="shared" si="7"/>
        <v>31.066172250608094</v>
      </c>
      <c r="L56" s="660">
        <f t="shared" si="7"/>
        <v>0</v>
      </c>
      <c r="M56" s="660">
        <f t="shared" si="7"/>
        <v>0</v>
      </c>
      <c r="N56" s="660">
        <f t="shared" si="7"/>
        <v>0</v>
      </c>
      <c r="O56" s="660">
        <f t="shared" si="7"/>
        <v>0</v>
      </c>
      <c r="P56" s="660">
        <f t="shared" si="7"/>
        <v>0</v>
      </c>
      <c r="Q56" s="661">
        <f t="shared" si="7"/>
        <v>0</v>
      </c>
      <c r="R56" s="662">
        <f ca="1">SUM(R54:R55)</f>
        <v>872.14719628661146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9532.5418170022567</v>
      </c>
      <c r="D61" s="668">
        <f t="shared" ref="D61:Q61" ca="1" si="8">D46+D52+D56</f>
        <v>305.54621848739504</v>
      </c>
      <c r="E61" s="668">
        <f t="shared" ca="1" si="8"/>
        <v>28351.955826292633</v>
      </c>
      <c r="F61" s="668">
        <f t="shared" si="8"/>
        <v>319.55100150662685</v>
      </c>
      <c r="G61" s="668">
        <f t="shared" ca="1" si="8"/>
        <v>6433.8464261156605</v>
      </c>
      <c r="H61" s="668">
        <f t="shared" si="8"/>
        <v>29263.873292575459</v>
      </c>
      <c r="I61" s="668">
        <f t="shared" si="8"/>
        <v>4627.4880870207535</v>
      </c>
      <c r="J61" s="668">
        <f t="shared" si="8"/>
        <v>0</v>
      </c>
      <c r="K61" s="668">
        <f t="shared" si="8"/>
        <v>71.27542483558517</v>
      </c>
      <c r="L61" s="668">
        <f t="shared" si="8"/>
        <v>0</v>
      </c>
      <c r="M61" s="668">
        <f t="shared" ca="1" si="8"/>
        <v>0</v>
      </c>
      <c r="N61" s="668">
        <f t="shared" si="8"/>
        <v>0</v>
      </c>
      <c r="O61" s="668">
        <f t="shared" ca="1" si="8"/>
        <v>0</v>
      </c>
      <c r="P61" s="668">
        <f t="shared" si="8"/>
        <v>0</v>
      </c>
      <c r="Q61" s="668">
        <f t="shared" si="8"/>
        <v>0</v>
      </c>
      <c r="R61" s="668">
        <f ca="1">R46+R52+R56</f>
        <v>78906.07809383636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0.20140727178792148</v>
      </c>
      <c r="D63" s="709">
        <f t="shared" ca="1" si="9"/>
        <v>0.23764705882352946</v>
      </c>
      <c r="E63" s="942">
        <f t="shared" ca="1" si="9"/>
        <v>0.20199999999999999</v>
      </c>
      <c r="F63" s="709">
        <f t="shared" si="9"/>
        <v>0.22700000000000001</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4263.8005368860895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900</v>
      </c>
      <c r="D76" s="952">
        <f>'lokale energieproductie'!C8</f>
        <v>1058.8235294117646</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213.88235294117646</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4263.8005368860895</v>
      </c>
      <c r="C78" s="683">
        <f>SUM(C72:C77)</f>
        <v>900</v>
      </c>
      <c r="D78" s="684">
        <f t="shared" ref="D78:H78" si="10">SUM(D76:D77)</f>
        <v>1058.8235294117646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213.88235294117646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1285.7142857142858</v>
      </c>
      <c r="D87" s="705">
        <f>'lokale energieproductie'!C17</f>
        <v>1512.6050420168069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305.54621848739504</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1285.7142857142858</v>
      </c>
      <c r="D90" s="683">
        <f t="shared" ref="D90:H90" si="12">SUM(D87:D89)</f>
        <v>1512.6050420168069</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305.54621848739504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29491.256600116034</v>
      </c>
      <c r="C4" s="441">
        <f>huishoudens!C8</f>
        <v>0</v>
      </c>
      <c r="D4" s="441">
        <f>huishoudens!D8</f>
        <v>90844.485439266253</v>
      </c>
      <c r="E4" s="441">
        <f>huishoudens!E8</f>
        <v>877.7957676083704</v>
      </c>
      <c r="F4" s="441">
        <f>huishoudens!F8</f>
        <v>20346.622953833888</v>
      </c>
      <c r="G4" s="441">
        <f>huishoudens!G8</f>
        <v>0</v>
      </c>
      <c r="H4" s="441">
        <f>huishoudens!H8</f>
        <v>0</v>
      </c>
      <c r="I4" s="441">
        <f>huishoudens!I8</f>
        <v>0</v>
      </c>
      <c r="J4" s="441">
        <f>huishoudens!J8</f>
        <v>104.56371947145158</v>
      </c>
      <c r="K4" s="441">
        <f>huishoudens!K8</f>
        <v>0</v>
      </c>
      <c r="L4" s="441">
        <f>huishoudens!L8</f>
        <v>0</v>
      </c>
      <c r="M4" s="441">
        <f>huishoudens!M8</f>
        <v>0</v>
      </c>
      <c r="N4" s="441">
        <f>huishoudens!N8</f>
        <v>9637.554883683868</v>
      </c>
      <c r="O4" s="441">
        <f>huishoudens!O8</f>
        <v>186.03666666666666</v>
      </c>
      <c r="P4" s="442">
        <f>huishoudens!P8</f>
        <v>438.5333333333333</v>
      </c>
      <c r="Q4" s="443">
        <f>SUM(B4:P4)</f>
        <v>151926.84936397983</v>
      </c>
    </row>
    <row r="5" spans="1:17">
      <c r="A5" s="440" t="s">
        <v>149</v>
      </c>
      <c r="B5" s="441">
        <f ca="1">tertiair!B16</f>
        <v>11350.764362227832</v>
      </c>
      <c r="C5" s="441">
        <f ca="1">tertiair!C16</f>
        <v>0</v>
      </c>
      <c r="D5" s="441">
        <f ca="1">tertiair!D16</f>
        <v>17350.961957362</v>
      </c>
      <c r="E5" s="441">
        <f>tertiair!E16</f>
        <v>171.264157895127</v>
      </c>
      <c r="F5" s="441">
        <f ca="1">tertiair!F16</f>
        <v>1646.7406540674237</v>
      </c>
      <c r="G5" s="441">
        <f>tertiair!G16</f>
        <v>0</v>
      </c>
      <c r="H5" s="441">
        <f>tertiair!H16</f>
        <v>0</v>
      </c>
      <c r="I5" s="441">
        <f>tertiair!I16</f>
        <v>0</v>
      </c>
      <c r="J5" s="441">
        <f>tertiair!J16</f>
        <v>8.0483846833982534E-3</v>
      </c>
      <c r="K5" s="441">
        <f>tertiair!K16</f>
        <v>0</v>
      </c>
      <c r="L5" s="441">
        <f ca="1">tertiair!L16</f>
        <v>0</v>
      </c>
      <c r="M5" s="441">
        <f>tertiair!M16</f>
        <v>0</v>
      </c>
      <c r="N5" s="441">
        <f ca="1">tertiair!N16</f>
        <v>344.46867072031932</v>
      </c>
      <c r="O5" s="441">
        <f>tertiair!O16</f>
        <v>0</v>
      </c>
      <c r="P5" s="442">
        <f>tertiair!P16</f>
        <v>38.133333333333333</v>
      </c>
      <c r="Q5" s="440">
        <f t="shared" ref="Q5:Q14" ca="1" si="0">SUM(B5:P5)</f>
        <v>30902.34118399072</v>
      </c>
    </row>
    <row r="6" spans="1:17">
      <c r="A6" s="440" t="s">
        <v>187</v>
      </c>
      <c r="B6" s="441">
        <f>'openbare verlichting'!B8</f>
        <v>871.60299999999995</v>
      </c>
      <c r="C6" s="441"/>
      <c r="D6" s="441"/>
      <c r="E6" s="441"/>
      <c r="F6" s="441"/>
      <c r="G6" s="441"/>
      <c r="H6" s="441"/>
      <c r="I6" s="441"/>
      <c r="J6" s="441"/>
      <c r="K6" s="441"/>
      <c r="L6" s="441"/>
      <c r="M6" s="441"/>
      <c r="N6" s="441"/>
      <c r="O6" s="441"/>
      <c r="P6" s="442"/>
      <c r="Q6" s="440">
        <f t="shared" si="0"/>
        <v>871.60299999999995</v>
      </c>
    </row>
    <row r="7" spans="1:17">
      <c r="A7" s="440" t="s">
        <v>105</v>
      </c>
      <c r="B7" s="441">
        <f>landbouw!B8</f>
        <v>333.69201012764199</v>
      </c>
      <c r="C7" s="441">
        <f>landbouw!C8</f>
        <v>0</v>
      </c>
      <c r="D7" s="441">
        <f>landbouw!D8</f>
        <v>173.77300600000001</v>
      </c>
      <c r="E7" s="441">
        <f>landbouw!E8</f>
        <v>10.82940266251817</v>
      </c>
      <c r="F7" s="441">
        <f>landbouw!F8</f>
        <v>1231.0545772757962</v>
      </c>
      <c r="G7" s="441">
        <f>landbouw!G8</f>
        <v>0</v>
      </c>
      <c r="H7" s="441">
        <f>landbouw!H8</f>
        <v>0</v>
      </c>
      <c r="I7" s="441">
        <f>landbouw!I8</f>
        <v>0</v>
      </c>
      <c r="J7" s="441">
        <f>landbouw!J8</f>
        <v>87.75754873053134</v>
      </c>
      <c r="K7" s="441">
        <f>landbouw!K8</f>
        <v>0</v>
      </c>
      <c r="L7" s="441">
        <f>landbouw!L8</f>
        <v>0</v>
      </c>
      <c r="M7" s="441">
        <f>landbouw!M8</f>
        <v>0</v>
      </c>
      <c r="N7" s="441">
        <f>landbouw!N8</f>
        <v>0</v>
      </c>
      <c r="O7" s="441">
        <f>landbouw!O8</f>
        <v>0</v>
      </c>
      <c r="P7" s="442">
        <f>landbouw!P8</f>
        <v>0</v>
      </c>
      <c r="Q7" s="440">
        <f t="shared" si="0"/>
        <v>1837.1065447964877</v>
      </c>
    </row>
    <row r="8" spans="1:17">
      <c r="A8" s="440" t="s">
        <v>596</v>
      </c>
      <c r="B8" s="441">
        <f>industrie!B18</f>
        <v>4592.8518402349837</v>
      </c>
      <c r="C8" s="441">
        <f>industrie!C18</f>
        <v>1285.7142857142858</v>
      </c>
      <c r="D8" s="441">
        <f>industrie!D18</f>
        <v>30466.297349771427</v>
      </c>
      <c r="E8" s="441">
        <f>industrie!E18</f>
        <v>143.75471884950028</v>
      </c>
      <c r="F8" s="441">
        <f>industrie!F18</f>
        <v>872.38490888903425</v>
      </c>
      <c r="G8" s="441">
        <f>industrie!G18</f>
        <v>0</v>
      </c>
      <c r="H8" s="441">
        <f>industrie!H18</f>
        <v>0</v>
      </c>
      <c r="I8" s="441">
        <f>industrie!I18</f>
        <v>0</v>
      </c>
      <c r="J8" s="441">
        <f>industrie!J18</f>
        <v>9.0136914234612941</v>
      </c>
      <c r="K8" s="441">
        <f>industrie!K18</f>
        <v>0</v>
      </c>
      <c r="L8" s="441">
        <f>industrie!L18</f>
        <v>0</v>
      </c>
      <c r="M8" s="441">
        <f>industrie!M18</f>
        <v>0</v>
      </c>
      <c r="N8" s="441">
        <f>industrie!N18</f>
        <v>107.09635669863246</v>
      </c>
      <c r="O8" s="441">
        <f>industrie!O18</f>
        <v>0</v>
      </c>
      <c r="P8" s="442">
        <f>industrie!P18</f>
        <v>0</v>
      </c>
      <c r="Q8" s="440">
        <f t="shared" si="0"/>
        <v>37477.113151581325</v>
      </c>
    </row>
    <row r="9" spans="1:17" s="446" customFormat="1">
      <c r="A9" s="444" t="s">
        <v>545</v>
      </c>
      <c r="B9" s="445">
        <f>transport!B14</f>
        <v>69.080005305110319</v>
      </c>
      <c r="C9" s="445">
        <f>transport!C14</f>
        <v>0</v>
      </c>
      <c r="D9" s="445">
        <f>transport!D14</f>
        <v>104.85990944503482</v>
      </c>
      <c r="E9" s="445">
        <f>transport!E14</f>
        <v>204.06961600927207</v>
      </c>
      <c r="F9" s="445">
        <f>transport!F14</f>
        <v>0</v>
      </c>
      <c r="G9" s="445">
        <f>transport!G14</f>
        <v>108045.54568855104</v>
      </c>
      <c r="H9" s="445">
        <f>transport!H14</f>
        <v>18584.289506107445</v>
      </c>
      <c r="I9" s="445">
        <f>transport!I14</f>
        <v>0</v>
      </c>
      <c r="J9" s="445">
        <f>transport!J14</f>
        <v>0</v>
      </c>
      <c r="K9" s="445">
        <f>transport!K14</f>
        <v>0</v>
      </c>
      <c r="L9" s="445">
        <f>transport!L14</f>
        <v>0</v>
      </c>
      <c r="M9" s="445">
        <f>transport!M14</f>
        <v>6859.7273081949188</v>
      </c>
      <c r="N9" s="445">
        <f>transport!N14</f>
        <v>0</v>
      </c>
      <c r="O9" s="445">
        <f>transport!O14</f>
        <v>0</v>
      </c>
      <c r="P9" s="445">
        <f>transport!P14</f>
        <v>0</v>
      </c>
      <c r="Q9" s="444">
        <f>SUM(B9:P9)</f>
        <v>133867.57203361281</v>
      </c>
    </row>
    <row r="10" spans="1:17">
      <c r="A10" s="440" t="s">
        <v>535</v>
      </c>
      <c r="B10" s="441">
        <f>transport!B54</f>
        <v>16.574140403392366</v>
      </c>
      <c r="C10" s="441">
        <f>transport!C54</f>
        <v>0</v>
      </c>
      <c r="D10" s="441">
        <f>transport!D54</f>
        <v>0</v>
      </c>
      <c r="E10" s="441">
        <f>transport!E54</f>
        <v>0</v>
      </c>
      <c r="F10" s="441">
        <f>transport!F54</f>
        <v>0</v>
      </c>
      <c r="G10" s="441">
        <f>transport!G54</f>
        <v>1556.97600648814</v>
      </c>
      <c r="H10" s="441">
        <f>transport!H54</f>
        <v>0</v>
      </c>
      <c r="I10" s="441">
        <f>transport!I54</f>
        <v>0</v>
      </c>
      <c r="J10" s="441">
        <f>transport!J54</f>
        <v>0</v>
      </c>
      <c r="K10" s="441">
        <f>transport!K54</f>
        <v>0</v>
      </c>
      <c r="L10" s="441">
        <f>transport!L54</f>
        <v>0</v>
      </c>
      <c r="M10" s="441">
        <f>transport!M54</f>
        <v>89.661573417258722</v>
      </c>
      <c r="N10" s="441">
        <f>transport!N54</f>
        <v>0</v>
      </c>
      <c r="O10" s="441">
        <f>transport!O54</f>
        <v>0</v>
      </c>
      <c r="P10" s="442">
        <f>transport!P54</f>
        <v>0</v>
      </c>
      <c r="Q10" s="440">
        <f t="shared" si="0"/>
        <v>1663.2117203087912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603.85850634928204</v>
      </c>
      <c r="C14" s="448"/>
      <c r="D14" s="448">
        <f>'SEAP template'!E25</f>
        <v>1415.8393000000001</v>
      </c>
      <c r="E14" s="448"/>
      <c r="F14" s="448"/>
      <c r="G14" s="448"/>
      <c r="H14" s="448"/>
      <c r="I14" s="448"/>
      <c r="J14" s="448"/>
      <c r="K14" s="448"/>
      <c r="L14" s="448"/>
      <c r="M14" s="448"/>
      <c r="N14" s="448"/>
      <c r="O14" s="448"/>
      <c r="P14" s="449"/>
      <c r="Q14" s="440">
        <f t="shared" si="0"/>
        <v>2019.697806349282</v>
      </c>
    </row>
    <row r="15" spans="1:17" s="450" customFormat="1">
      <c r="A15" s="957" t="s">
        <v>539</v>
      </c>
      <c r="B15" s="905">
        <f ca="1">SUM(B4:B14)</f>
        <v>47329.680464764278</v>
      </c>
      <c r="C15" s="905">
        <f t="shared" ref="C15:Q15" ca="1" si="1">SUM(C4:C14)</f>
        <v>1285.7142857142858</v>
      </c>
      <c r="D15" s="905">
        <f t="shared" ca="1" si="1"/>
        <v>140356.21696184471</v>
      </c>
      <c r="E15" s="905">
        <f t="shared" si="1"/>
        <v>1407.7136630247878</v>
      </c>
      <c r="F15" s="905">
        <f t="shared" ca="1" si="1"/>
        <v>24096.803094066145</v>
      </c>
      <c r="G15" s="905">
        <f t="shared" si="1"/>
        <v>109602.52169503918</v>
      </c>
      <c r="H15" s="905">
        <f t="shared" si="1"/>
        <v>18584.289506107445</v>
      </c>
      <c r="I15" s="905">
        <f t="shared" si="1"/>
        <v>0</v>
      </c>
      <c r="J15" s="905">
        <f t="shared" si="1"/>
        <v>201.34300801012762</v>
      </c>
      <c r="K15" s="905">
        <f t="shared" si="1"/>
        <v>0</v>
      </c>
      <c r="L15" s="905">
        <f t="shared" ca="1" si="1"/>
        <v>0</v>
      </c>
      <c r="M15" s="905">
        <f t="shared" si="1"/>
        <v>6949.3888816121771</v>
      </c>
      <c r="N15" s="905">
        <f t="shared" ca="1" si="1"/>
        <v>10089.11991110282</v>
      </c>
      <c r="O15" s="905">
        <f t="shared" si="1"/>
        <v>186.03666666666666</v>
      </c>
      <c r="P15" s="905">
        <f t="shared" si="1"/>
        <v>476.66666666666663</v>
      </c>
      <c r="Q15" s="905">
        <f t="shared" ca="1" si="1"/>
        <v>360565.49480461923</v>
      </c>
    </row>
    <row r="17" spans="1:17">
      <c r="A17" s="451" t="s">
        <v>540</v>
      </c>
      <c r="B17" s="714">
        <f ca="1">huishoudens!B10</f>
        <v>0.20140727178792148</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5939.7535334269032</v>
      </c>
      <c r="C22" s="441">
        <f t="shared" ref="C22:C32" ca="1" si="3">C4*$C$17</f>
        <v>0</v>
      </c>
      <c r="D22" s="441">
        <f t="shared" ref="D22:D32" si="4">D4*$D$17</f>
        <v>18350.586058731784</v>
      </c>
      <c r="E22" s="441">
        <f t="shared" ref="E22:E32" si="5">E4*$E$17</f>
        <v>199.2596392471001</v>
      </c>
      <c r="F22" s="441">
        <f t="shared" ref="F22:F32" si="6">F4*$F$17</f>
        <v>5432.5483286736489</v>
      </c>
      <c r="G22" s="441">
        <f t="shared" ref="G22:G32" si="7">G4*$G$17</f>
        <v>0</v>
      </c>
      <c r="H22" s="441">
        <f t="shared" ref="H22:H32" si="8">H4*$H$17</f>
        <v>0</v>
      </c>
      <c r="I22" s="441">
        <f t="shared" ref="I22:I32" si="9">I4*$I$17</f>
        <v>0</v>
      </c>
      <c r="J22" s="441">
        <f t="shared" ref="J22:J32" si="10">J4*$J$17</f>
        <v>37.01555669289386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29959.163116772328</v>
      </c>
    </row>
    <row r="23" spans="1:17">
      <c r="A23" s="440" t="s">
        <v>149</v>
      </c>
      <c r="B23" s="441">
        <f t="shared" ca="1" si="2"/>
        <v>2286.1264829038741</v>
      </c>
      <c r="C23" s="441">
        <f t="shared" ca="1" si="3"/>
        <v>0</v>
      </c>
      <c r="D23" s="441">
        <f t="shared" ca="1" si="4"/>
        <v>3504.8943153871242</v>
      </c>
      <c r="E23" s="441">
        <f t="shared" si="5"/>
        <v>38.876963842193831</v>
      </c>
      <c r="F23" s="441">
        <f t="shared" ca="1" si="6"/>
        <v>439.67975463600214</v>
      </c>
      <c r="G23" s="441">
        <f t="shared" si="7"/>
        <v>0</v>
      </c>
      <c r="H23" s="441">
        <f t="shared" si="8"/>
        <v>0</v>
      </c>
      <c r="I23" s="441">
        <f t="shared" si="9"/>
        <v>0</v>
      </c>
      <c r="J23" s="441">
        <f t="shared" si="10"/>
        <v>2.8491281779229817E-3</v>
      </c>
      <c r="K23" s="441">
        <f t="shared" si="11"/>
        <v>0</v>
      </c>
      <c r="L23" s="441">
        <f t="shared" ca="1" si="12"/>
        <v>0</v>
      </c>
      <c r="M23" s="441">
        <f t="shared" si="13"/>
        <v>0</v>
      </c>
      <c r="N23" s="441">
        <f t="shared" ca="1" si="14"/>
        <v>0</v>
      </c>
      <c r="O23" s="441">
        <f t="shared" si="15"/>
        <v>0</v>
      </c>
      <c r="P23" s="442">
        <f t="shared" si="16"/>
        <v>0</v>
      </c>
      <c r="Q23" s="440">
        <f t="shared" ref="Q23:Q32" ca="1" si="17">SUM(B23:P23)</f>
        <v>6269.5803658973718</v>
      </c>
    </row>
    <row r="24" spans="1:17">
      <c r="A24" s="440" t="s">
        <v>187</v>
      </c>
      <c r="B24" s="441">
        <f t="shared" ca="1" si="2"/>
        <v>175.54718231216771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175.54718231216771</v>
      </c>
    </row>
    <row r="25" spans="1:17">
      <c r="A25" s="440" t="s">
        <v>105</v>
      </c>
      <c r="B25" s="441">
        <f t="shared" ca="1" si="2"/>
        <v>67.207997377235841</v>
      </c>
      <c r="C25" s="441">
        <f t="shared" ca="1" si="3"/>
        <v>0</v>
      </c>
      <c r="D25" s="441">
        <f t="shared" si="4"/>
        <v>35.102147212000006</v>
      </c>
      <c r="E25" s="441">
        <f t="shared" si="5"/>
        <v>2.4582744043916245</v>
      </c>
      <c r="F25" s="441">
        <f t="shared" si="6"/>
        <v>328.69157213263759</v>
      </c>
      <c r="G25" s="441">
        <f t="shared" si="7"/>
        <v>0</v>
      </c>
      <c r="H25" s="441">
        <f t="shared" si="8"/>
        <v>0</v>
      </c>
      <c r="I25" s="441">
        <f t="shared" si="9"/>
        <v>0</v>
      </c>
      <c r="J25" s="441">
        <f t="shared" si="10"/>
        <v>31.066172250608094</v>
      </c>
      <c r="K25" s="441">
        <f t="shared" si="11"/>
        <v>0</v>
      </c>
      <c r="L25" s="441">
        <f t="shared" si="12"/>
        <v>0</v>
      </c>
      <c r="M25" s="441">
        <f t="shared" si="13"/>
        <v>0</v>
      </c>
      <c r="N25" s="441">
        <f t="shared" si="14"/>
        <v>0</v>
      </c>
      <c r="O25" s="441">
        <f t="shared" si="15"/>
        <v>0</v>
      </c>
      <c r="P25" s="442">
        <f t="shared" si="16"/>
        <v>0</v>
      </c>
      <c r="Q25" s="440">
        <f t="shared" ca="1" si="17"/>
        <v>464.52616337687317</v>
      </c>
    </row>
    <row r="26" spans="1:17">
      <c r="A26" s="440" t="s">
        <v>596</v>
      </c>
      <c r="B26" s="441">
        <f t="shared" ca="1" si="2"/>
        <v>925.03375886786262</v>
      </c>
      <c r="C26" s="441">
        <f t="shared" ca="1" si="3"/>
        <v>305.54621848739504</v>
      </c>
      <c r="D26" s="441">
        <f t="shared" si="4"/>
        <v>6154.1920646538283</v>
      </c>
      <c r="E26" s="441">
        <f t="shared" si="5"/>
        <v>32.632321178836563</v>
      </c>
      <c r="F26" s="441">
        <f t="shared" si="6"/>
        <v>232.92677067337215</v>
      </c>
      <c r="G26" s="441">
        <f t="shared" si="7"/>
        <v>0</v>
      </c>
      <c r="H26" s="441">
        <f t="shared" si="8"/>
        <v>0</v>
      </c>
      <c r="I26" s="441">
        <f t="shared" si="9"/>
        <v>0</v>
      </c>
      <c r="J26" s="441">
        <f t="shared" si="10"/>
        <v>3.1908467639052978</v>
      </c>
      <c r="K26" s="441">
        <f t="shared" si="11"/>
        <v>0</v>
      </c>
      <c r="L26" s="441">
        <f t="shared" si="12"/>
        <v>0</v>
      </c>
      <c r="M26" s="441">
        <f t="shared" si="13"/>
        <v>0</v>
      </c>
      <c r="N26" s="441">
        <f t="shared" si="14"/>
        <v>0</v>
      </c>
      <c r="O26" s="441">
        <f t="shared" si="15"/>
        <v>0</v>
      </c>
      <c r="P26" s="442">
        <f t="shared" si="16"/>
        <v>0</v>
      </c>
      <c r="Q26" s="440">
        <f t="shared" ca="1" si="17"/>
        <v>7653.5219806251998</v>
      </c>
    </row>
    <row r="27" spans="1:17" s="446" customFormat="1">
      <c r="A27" s="444" t="s">
        <v>545</v>
      </c>
      <c r="B27" s="708">
        <f t="shared" ca="1" si="2"/>
        <v>13.913215403597411</v>
      </c>
      <c r="C27" s="445">
        <f t="shared" ca="1" si="3"/>
        <v>0</v>
      </c>
      <c r="D27" s="445">
        <f t="shared" si="4"/>
        <v>21.181701707897034</v>
      </c>
      <c r="E27" s="445">
        <f t="shared" si="5"/>
        <v>46.323802834104761</v>
      </c>
      <c r="F27" s="445">
        <f t="shared" si="6"/>
        <v>0</v>
      </c>
      <c r="G27" s="445">
        <f t="shared" si="7"/>
        <v>28848.160698843127</v>
      </c>
      <c r="H27" s="445">
        <f t="shared" si="8"/>
        <v>4627.4880870207535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33557.067505809478</v>
      </c>
    </row>
    <row r="28" spans="1:17">
      <c r="A28" s="440" t="s">
        <v>535</v>
      </c>
      <c r="B28" s="441">
        <f t="shared" ca="1" si="2"/>
        <v>3.3381524008772168</v>
      </c>
      <c r="C28" s="441">
        <f t="shared" ca="1" si="3"/>
        <v>0</v>
      </c>
      <c r="D28" s="441">
        <f t="shared" si="4"/>
        <v>0</v>
      </c>
      <c r="E28" s="441">
        <f t="shared" si="5"/>
        <v>0</v>
      </c>
      <c r="F28" s="441">
        <f t="shared" si="6"/>
        <v>0</v>
      </c>
      <c r="G28" s="441">
        <f t="shared" si="7"/>
        <v>415.7125937323334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419.05074613321062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121.62149430973815</v>
      </c>
      <c r="C32" s="441">
        <f t="shared" ca="1" si="3"/>
        <v>0</v>
      </c>
      <c r="D32" s="441">
        <f t="shared" si="4"/>
        <v>285.99953860000005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407.62103290973823</v>
      </c>
    </row>
    <row r="33" spans="1:17" s="450" customFormat="1">
      <c r="A33" s="957" t="s">
        <v>539</v>
      </c>
      <c r="B33" s="905">
        <f ca="1">SUM(B22:B32)</f>
        <v>9532.5418170022567</v>
      </c>
      <c r="C33" s="905">
        <f t="shared" ref="C33:Q33" ca="1" si="18">SUM(C22:C32)</f>
        <v>305.54621848739504</v>
      </c>
      <c r="D33" s="905">
        <f t="shared" ca="1" si="18"/>
        <v>28351.955826292637</v>
      </c>
      <c r="E33" s="905">
        <f t="shared" si="18"/>
        <v>319.5510015066269</v>
      </c>
      <c r="F33" s="905">
        <f t="shared" ca="1" si="18"/>
        <v>6433.8464261156605</v>
      </c>
      <c r="G33" s="905">
        <f t="shared" si="18"/>
        <v>29263.873292575459</v>
      </c>
      <c r="H33" s="905">
        <f t="shared" si="18"/>
        <v>4627.4880870207535</v>
      </c>
      <c r="I33" s="905">
        <f t="shared" si="18"/>
        <v>0</v>
      </c>
      <c r="J33" s="905">
        <f t="shared" si="18"/>
        <v>71.27542483558517</v>
      </c>
      <c r="K33" s="905">
        <f t="shared" si="18"/>
        <v>0</v>
      </c>
      <c r="L33" s="905">
        <f t="shared" ca="1" si="18"/>
        <v>0</v>
      </c>
      <c r="M33" s="905">
        <f t="shared" si="18"/>
        <v>0</v>
      </c>
      <c r="N33" s="905">
        <f t="shared" ca="1" si="18"/>
        <v>0</v>
      </c>
      <c r="O33" s="905">
        <f t="shared" si="18"/>
        <v>0</v>
      </c>
      <c r="P33" s="905">
        <f t="shared" si="18"/>
        <v>0</v>
      </c>
      <c r="Q33" s="905">
        <f t="shared" ca="1" si="18"/>
        <v>78906.078093836375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4263.8005368860895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900</v>
      </c>
      <c r="D8" s="974">
        <f>'SEAP template'!D76</f>
        <v>1058.8235294117646</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213.88235294117646</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4263.8005368860895</v>
      </c>
      <c r="C10" s="978">
        <f>SUM(C4:C9)</f>
        <v>900</v>
      </c>
      <c r="D10" s="978">
        <f t="shared" ref="D10:H10" si="0">SUM(D8:D9)</f>
        <v>1058.8235294117646</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213.88235294117646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0.20140727178792148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1285.7142857142858</v>
      </c>
      <c r="D17" s="975">
        <f>'SEAP template'!D87</f>
        <v>1512.6050420168069</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305.54621848739504</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1285.7142857142858</v>
      </c>
      <c r="D20" s="978">
        <f t="shared" ref="D20:H20" si="2">SUM(D17:D19)</f>
        <v>1512.6050420168069</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305.54621848739504</v>
      </c>
    </row>
    <row r="22" spans="1:16">
      <c r="A22" s="451" t="s">
        <v>800</v>
      </c>
      <c r="B22" s="714" t="s">
        <v>794</v>
      </c>
      <c r="C22" s="714">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0.20140727178792148</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2022-07-26T10:31:07Z</dcterms:modified>
</cp:coreProperties>
</file>