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11B342A5-AC51-42AA-940F-9F2A5D190DF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<sst xmlns="http://schemas.openxmlformats.org/spreadsheetml/2006/main" count="2402" uniqueCount="881">
  <si>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</si>
  <si>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</si>
  <si>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</si>
  <si>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</si>
  <si>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</si>
  <si>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</si>
  <si>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</si>
  <si>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</si>
  <si>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</si>
  <si>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</si>
  <si>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</si>
  <si>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</si>
  <si>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</si>
  <si>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</si>
  <si>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</si>
  <si>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</si>
  <si>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</si>
  <si>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</si>
  <si>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</si>
  <si>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</si>
  <si>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</si>
  <si>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</si>
  <si>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</si>
  <si>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</si>
  <si>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</si>
  <si>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</si>
  <si>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</si>
  <si>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</si>
  <si>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</si>
  <si>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</si>
  <si>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</si>
  <si>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</si>
  <si>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</si>
  <si>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</si>
  <si>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</si>
  <si>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</si>
  <si>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</si>
  <si>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</si>
  <si>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</si>
  <si>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</si>
  <si>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</si>
  <si>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</si>
  <si>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</si>
  <si>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</si>
  <si>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</si>
  <si>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</si>
  <si>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</si>
  <si>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</si>
  <si>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</si>
  <si>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</si>
  <si>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</si>
  <si>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</si>
  <si>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</si>
  <si>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</si>
  <si>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</si>
  <si>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</si>
  <si>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</si>
  <si>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</si>
  <si>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</si>
  <si>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</si>
  <si>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</si>
  <si>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</si>
  <si>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</si>
  <si>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</si>
  <si>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</si>
  <si>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</si>
  <si>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</si>
  <si>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</si>
  <si>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</si>
  <si>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</si>
  <si>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</si>
  <si>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</si>
  <si>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</si>
  <si>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</si>
  <si>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</si>
  <si>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</si>
  <si>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</si>
  <si>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</si>
  <si>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</si>
  <si>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</si>
  <si>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</si>
  <si>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</si>
  <si>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</si>
  <si>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</si>
  <si>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</si>
  <si>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</si>
  <si>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</si>
  <si>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</si>
  <si>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</si>
  <si>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</si>
  <si>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</si>
  <si>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</si>
  <si>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</si>
  <si>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</si>
  <si>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</si>
  <si>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</si>
  <si>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</si>
  <si>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</si>
  <si>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</si>
  <si>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</si>
  <si>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</si>
  <si>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</si>
  <si>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</si>
  <si>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</si>
  <si>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</si>
  <si>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</si>
  <si>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</si>
  <si>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</si>
  <si>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</si>
  <si>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</si>
  <si>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</si>
  <si>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</si>
  <si>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</si>
  <si>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</si>
  <si>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</si>
  <si>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</si>
  <si>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</si>
  <si>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</si>
  <si>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</si>
  <si>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</si>
  <si>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</si>
  <si>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</si>
  <si>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</si>
  <si>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</si>
  <si>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</si>
  <si>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</si>
  <si>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</si>
  <si>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</si>
  <si>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</si>
  <si>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</si>
  <si>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</si>
  <si>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</si>
  <si>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</si>
  <si>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</si>
  <si>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</si>
  <si>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</si>
  <si>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</si>
  <si>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</si>
  <si>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</si>
  <si>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</si>
  <si>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</si>
  <si>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</si>
  <si>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</si>
  <si>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</si>
  <si>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</si>
  <si>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</si>
  <si>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</si>
  <si>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</si>
  <si>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</si>
  <si>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</si>
  <si>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</si>
  <si>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</si>
  <si>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</si>
  <si>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</si>
  <si>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</si>
  <si>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</si>
  <si>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</si>
  <si>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</si>
  <si>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</si>
  <si>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</si>
  <si>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</si>
  <si>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</si>
  <si>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</si>
  <si>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</si>
  <si>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</si>
  <si>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</si>
  <si>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</si>
  <si>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</si>
  <si>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</si>
  <si>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</si>
  <si>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</si>
  <si>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</si>
  <si>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</si>
  <si>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</si>
  <si>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</si>
  <si>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</si>
  <si>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</si>
  <si>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</si>
  <si>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</si>
  <si>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</si>
  <si>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</si>
  <si>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</si>
  <si>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</si>
  <si>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</si>
  <si>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</si>
  <si>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</si>
  <si>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</si>
  <si>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</si>
  <si>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</si>
  <si>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</si>
  <si>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</si>
  <si>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</si>
  <si>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</si>
  <si>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</si>
  <si>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</si>
  <si>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</si>
  <si>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</si>
  <si>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</si>
  <si>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</si>
  <si>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</si>
  <si>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</si>
  <si>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</si>
  <si>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</si>
  <si>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</si>
  <si>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</si>
  <si>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</si>
  <si>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</si>
  <si>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</si>
  <si>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</si>
  <si>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</si>
  <si>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</si>
  <si>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</si>
  <si>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</si>
  <si>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</si>
  <si>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</si>
  <si>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</si>
  <si>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</si>
  <si>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</si>
  <si>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</si>
  <si>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</si>
  <si>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</si>
  <si>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</si>
  <si>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</si>
  <si>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</si>
  <si>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</si>
  <si>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</si>
  <si>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</si>
  <si>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</si>
  <si>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</si>
  <si>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</si>
  <si>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</si>
  <si>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</si>
  <si>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</si>
  <si>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</si>
  <si>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</si>
  <si>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</si>
  <si>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</si>
  <si>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</si>
  <si>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</si>
  <si>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</si>
  <si>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</si>
  <si>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</si>
  <si>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</si>
  <si>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</si>
  <si>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</si>
  <si>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</si>
  <si>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</si>
  <si>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</si>
  <si>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</si>
  <si>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</si>
  <si>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</si>
  <si>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</si>
  <si>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</si>
  <si>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</si>
  <si>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</si>
  <si>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</si>
  <si>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</si>
  <si>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</si>
  <si>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</si>
  <si>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</si>
  <si>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</si>
  <si>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</si>
  <si>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</si>
  <si>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</si>
  <si>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</si>
  <si>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</si>
  <si>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</si>
  <si>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</si>
  <si>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</si>
  <si>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</si>
  <si>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</si>
  <si>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</si>
  <si>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</si>
  <si>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</si>
  <si>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</si>
  <si>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</si>
  <si>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</si>
  <si>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</si>
  <si>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</si>
  <si>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</si>
  <si>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</si>
  <si>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</si>
  <si>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</si>
  <si>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</si>
  <si>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</si>
  <si>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</si>
  <si>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</si>
  <si>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</si>
  <si>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</si>
  <si>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</si>
  <si>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</si>
  <si>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</si>
  <si>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</si>
  <si>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</si>
  <si>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</si>
  <si>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</si>
  <si>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</si>
  <si>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</si>
  <si>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</si>
  <si>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</si>
  <si>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</si>
  <si>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</si>
  <si>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</si>
  <si>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</si>
  <si>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</si>
  <si>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</si>
  <si>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</si>
  <si>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</si>
  <si>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</si>
  <si>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</si>
  <si>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</si>
  <si>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</si>
  <si>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</si>
  <si>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</si>
  <si>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</si>
  <si>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</si>
  <si>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</si>
  <si>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</si>
  <si>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</si>
  <si>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</si>
  <si>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</si>
  <si>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</si>
  <si>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</si>
  <si>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</si>
  <si>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</si>
  <si>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</si>
  <si>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</si>
  <si>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</si>
  <si>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</si>
  <si>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</si>
  <si>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</si>
  <si>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</si>
  <si>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</si>
  <si>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</si>
  <si>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</si>
  <si>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</si>
  <si>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</si>
  <si>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</si>
  <si>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</si>
  <si>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</si>
  <si>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</si>
  <si>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</si>
  <si>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</si>
  <si>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</si>
  <si>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</si>
  <si>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</si>
  <si>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</si>
  <si>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</si>
  <si>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</si>
  <si>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</si>
  <si>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</si>
  <si>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</si>
  <si>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</si>
  <si>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</si>
  <si>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</si>
  <si>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</si>
  <si>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</si>
  <si>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</si>
  <si>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</si>
  <si>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</si>
  <si>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</si>
  <si>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</si>
  <si>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</si>
  <si>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</si>
  <si>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</si>
  <si>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</si>
  <si>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</si>
  <si>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</si>
  <si>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</si>
  <si>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</si>
  <si>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</si>
  <si>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</si>
  <si>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</si>
  <si>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</si>
  <si>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</si>
  <si>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</si>
  <si>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</si>
  <si>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</si>
  <si>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</si>
  <si>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</si>
  <si>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</si>
  <si>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</si>
  <si>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</si>
  <si>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</si>
  <si>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</si>
  <si>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</si>
  <si>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</si>
  <si>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</si>
  <si>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</si>
  <si>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</si>
  <si>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</si>
  <si>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</si>
  <si>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</si>
  <si>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</si>
  <si>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</si>
  <si>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</si>
  <si>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</si>
  <si>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</si>
  <si>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</si>
  <si>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</si>
  <si>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</si>
  <si>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</si>
  <si>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</si>
  <si>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</si>
  <si>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</si>
  <si>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</si>
  <si>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</si>
  <si>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</si>
  <si>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</si>
  <si>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</si>
  <si>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</si>
  <si>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</si>
  <si>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</si>
  <si>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</si>
  <si>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</si>
  <si>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</si>
  <si>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</si>
  <si>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</si>
  <si>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</si>
  <si>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</si>
  <si>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</si>
  <si>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</si>
  <si>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</si>
  <si>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</si>
  <si>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</si>
  <si>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</si>
  <si>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</si>
  <si>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</si>
  <si>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</si>
  <si>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</si>
  <si>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</si>
  <si>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</si>
  <si>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</si>
  <si>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</si>
  <si>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</si>
  <si>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</si>
  <si>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</si>
  <si>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</si>
  <si>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</si>
  <si>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</si>
  <si>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</si>
  <si>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</si>
  <si>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</si>
  <si>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</si>
  <si>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</si>
  <si>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</si>
  <si>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</si>
  <si>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</si>
  <si>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</si>
  <si>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</si>
  <si>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</si>
  <si>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</si>
  <si>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</si>
  <si>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</si>
  <si>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</si>
  <si>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</si>
  <si>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</si>
  <si>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</si>
  <si>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</si>
  <si>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</si>
  <si>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</si>
  <si>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</si>
  <si>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</si>
  <si>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</si>
  <si>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</si>
  <si>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</si>
  <si>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</si>
  <si>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</si>
  <si>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</si>
  <si>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</si>
  <si>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</si>
  <si>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</si>
  <si>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</si>
  <si>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</si>
  <si>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</si>
  <si>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</si>
  <si>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</si>
  <si>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</si>
  <si>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</si>
  <si>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</si>
  <si>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</si>
  <si>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</si>
  <si>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</si>
  <si>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</si>
  <si>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</si>
  <si>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</si>
  <si>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</si>
  <si>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</si>
  <si>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</si>
  <si>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</si>
  <si>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</si>
  <si>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</si>
  <si>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</si>
  <si>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</si>
  <si>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</si>
  <si>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</si>
  <si>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</si>
  <si>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</si>
  <si>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</si>
  <si>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</si>
  <si>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</si>
  <si>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</si>
  <si>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</si>
  <si>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</si>
  <si>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</si>
  <si>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</si>
  <si>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</si>
  <si>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</si>
  <si>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</si>
  <si>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</si>
  <si>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</si>
  <si>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</si>
  <si>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</si>
  <si>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</si>
  <si>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</si>
  <si>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</si>
  <si>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</si>
  <si>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</si>
  <si>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</si>
  <si>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</si>
  <si>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</si>
  <si>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</si>
  <si>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</si>
  <si>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</si>
  <si>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</si>
  <si>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</si>
  <si>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</si>
  <si>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</si>
  <si>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</si>
  <si>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</si>
  <si>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</si>
  <si>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</si>
  <si>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</si>
  <si>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</si>
  <si>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</si>
  <si>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</si>
  <si>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</si>
  <si>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</si>
  <si>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</si>
  <si>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</si>
  <si>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</si>
  <si>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</si>
  <si>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</si>
  <si>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</si>
  <si>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</si>
  <si>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</si>
  <si>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</si>
  <si>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</si>
  <si>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</si>
  <si>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</si>
  <si>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</si>
  <si>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</si>
  <si>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</si>
  <si>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</si>
  <si>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</si>
  <si>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</si>
  <si>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</si>
  <si>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</si>
  <si>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</si>
  <si>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</si>
  <si>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</si>
  <si>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</si>
  <si>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</si>
  <si>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</si>
  <si>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</si>
  <si>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</si>
  <si>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</si>
  <si>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</si>
  <si>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</si>
  <si>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</si>
  <si>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</si>
  <si>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</si>
  <si>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</si>
  <si>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</si>
  <si>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</si>
  <si>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</si>
  <si>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</si>
  <si>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</si>
  <si>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</si>
  <si>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</si>
  <si>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</si>
  <si>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</si>
  <si>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</si>
  <si>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</si>
  <si>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</si>
  <si>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</si>
  <si>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</si>
  <si>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</si>
  <si>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</si>
  <si>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</si>
  <si>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</si>
  <si>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</si>
  <si>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</si>
  <si>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</si>
  <si>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</si>
  <si>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</si>
  <si>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</si>
  <si>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</si>
  <si>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</si>
  <si>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</si>
  <si>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</si>
  <si>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</si>
  <si>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</si>
  <si>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</si>
  <si>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</si>
  <si>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</si>
  <si>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</si>
  <si>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</si>
  <si>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</si>
  <si>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</si>
  <si>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</si>
  <si>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</si>
  <si>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</si>
  <si>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</si>
  <si>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</si>
  <si>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</si>
  <si>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</si>
  <si>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</si>
  <si>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</si>
  <si>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</si>
  <si>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</si>
  <si>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</si>
  <si>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</si>
  <si>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</si>
  <si>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</si>
  <si>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</si>
  <si>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</si>
  <si>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</si>
  <si>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</si>
  <si>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</si>
  <si>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</si>
  <si>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</si>
  <si>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</si>
  <si>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</si>
  <si>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</si>
  <si>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</si>
  <si>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</si>
  <si>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</si>
  <si>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</si>
  <si>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</si>
  <si>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</si>
  <si>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</si>
  <si>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</si>
  <si>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</si>
  <si>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</si>
  <si>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</si>
  <si>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</si>
  <si>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</si>
  <si>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</si>
  <si>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</si>
  <si>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</si>
  <si>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</si>
  <si>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</si>
  <si>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</si>
  <si>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</si>
  <si>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</si>
  <si>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</si>
  <si>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</si>
  <si>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</si>
  <si>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</si>
  <si>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</si>
  <si>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</si>
  <si>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</si>
  <si>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</si>
  <si>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</si>
  <si>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</si>
  <si>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</si>
  <si>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</si>
  <si>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</si>
  <si>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</si>
  <si>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</si>
  <si>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</si>
  <si>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</si>
  <si>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</si>
  <si>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</si>
  <si>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</si>
  <si>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</si>
  <si>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</si>
  <si>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</si>
  <si>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</si>
  <si>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</si>
  <si>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</si>
  <si>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</si>
  <si>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</si>
  <si>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</si>
  <si>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</si>
  <si>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</si>
  <si>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</si>
  <si>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</si>
  <si>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</si>
  <si>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</si>
  <si>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</si>
  <si>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</si>
  <si>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</si>
  <si>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</si>
  <si>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</si>
  <si>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</si>
  <si>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</si>
  <si>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</si>
  <si>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</si>
  <si>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</si>
  <si>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</si>
  <si>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</si>
  <si>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</si>
  <si>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</si>
  <si>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</si>
  <si>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</si>
  <si>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</si>
  <si>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</si>
  <si>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</si>
  <si>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</si>
  <si>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</si>
  <si>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</si>
  <si>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</si>
  <si>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</si>
  <si>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</si>
  <si>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</si>
  <si>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</si>
  <si>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</si>
  <si>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</si>
  <si>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</si>
  <si>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</si>
  <si>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</si>
  <si>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</si>
  <si>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</si>
  <si>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</si>
  <si>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</si>
  <si>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</si>
  <si>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</si>
  <si>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</si>
  <si>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</si>
  <si>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</si>
  <si>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</si>
  <si>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</si>
  <si>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</si>
  <si>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</si>
  <si>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</si>
  <si>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</si>
  <si>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</si>
  <si>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</si>
  <si>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</si>
  <si>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</si>
  <si>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</si>
  <si>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</si>
  <si>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</si>
  <si>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</si>
  <si>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</si>
  <si>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</si>
  <si>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</si>
  <si>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</si>
  <si>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</si>
  <si>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</si>
  <si>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</si>
  <si>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</si>
  <si>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</si>
  <si>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</si>
  <si>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</si>
  <si>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</si>
  <si>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</si>
  <si>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</si>
  <si>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</si>
  <si>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</si>
  <si>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</si>
  <si>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</si>
  <si>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</si>
  <si>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</si>
  <si>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</si>
  <si>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</si>
  <si>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</si>
  <si>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</si>
  <si>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</si>
  <si>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</si>
  <si>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</si>
  <si>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</si>
  <si>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</si>
  <si>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</si>
  <si>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</si>
  <si>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</si>
  <si>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</si>
  <si>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</si>
  <si>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</si>
  <si>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</si>
  <si>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</si>
  <si>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</si>
  <si>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</si>
  <si>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</si>
  <si>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</si>
  <si>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</si>
  <si>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</si>
  <si>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</si>
  <si>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</si>
  <si>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</si>
  <si>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</si>
  <si>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</si>
  <si>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</si>
  <si>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</si>
  <si>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</si>
  <si>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</si>
  <si>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</si>
  <si>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</si>
  <si>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</si>
  <si>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</si>
  <si>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</si>
  <si>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</si>
  <si>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</si>
  <si>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</si>
  <si>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</si>
  <si>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</si>
  <si>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</si>
  <si>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</si>
  <si>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</si>
  <si>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</si>
  <si>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</si>
  <si>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</si>
  <si>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</si>
  <si>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</si>
  <si>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</si>
  <si>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</si>
  <si>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</si>
  <si>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</si>
  <si>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</si>
  <si>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</si>
  <si>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</si>
  <si>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</si>
  <si>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</si>
  <si>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</si>
  <si>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</si>
  <si>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</si>
  <si>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</si>
  <si>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</si>
  <si>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</si>
  <si>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</si>
  <si>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</si>
  <si>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</si>
  <si>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</si>
  <si>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</si>
  <si>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</si>
  <si>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</si>
  <si>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</si>
  <si>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</si>
  <si>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</si>
  <si>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</si>
  <si>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</si>
  <si>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</si>
  <si>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</si>
  <si>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</si>
  <si>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</si>
  <si>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</si>
  <si>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</si>
  <si>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</si>
  <si>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</si>
  <si>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</si>
  <si>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</si>
  <si>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</si>
  <si>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</si>
  <si>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</si>
  <si>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</si>
  <si>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</si>
  <si>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</si>
  <si>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</si>
  <si>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</si>
  <si>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</si>
  <si>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</si>
  <si>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</si>
  <si>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</si>
  <si>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</si>
  <si>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</si>
  <si>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</si>
  <si>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</si>
  <si>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</si>
  <si>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</si>
  <si>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</si>
  <si>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</si>
  <si>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</si>
  <si>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</si>
  <si>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11007</t>
  </si>
  <si>
    <t>BORSBEEK</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</si>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</sst>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C8AE1837-5BFA-4FCE-89AA-C0F3207DA0D0}"/>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82304.98945794077</c:v>
                </c:pt>
                <c:pt idx="1">
                  <c:v>22289.561325471772</c:v>
                </c:pt>
                <c:pt idx="2">
                  <c:v>475.15300000000002</c:v>
                </c:pt>
                <c:pt idx="3">
                  <c:v>21193.623231128819</c:v>
                </c:pt>
                <c:pt idx="4">
                  <c:v>3755.1314009627845</c:v>
                </c:pt>
                <c:pt idx="5">
                  <c:v>29607.262437542406</c:v>
                </c:pt>
                <c:pt idx="6">
                  <c:v>1067.0937209587307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82304.98945794077</c:v>
                </c:pt>
                <c:pt idx="1">
                  <c:v>22289.561325471772</c:v>
                </c:pt>
                <c:pt idx="2">
                  <c:v>475.15300000000002</c:v>
                </c:pt>
                <c:pt idx="3">
                  <c:v>21193.623231128819</c:v>
                </c:pt>
                <c:pt idx="4">
                  <c:v>3755.1314009627845</c:v>
                </c:pt>
                <c:pt idx="5">
                  <c:v>29607.262437542406</c:v>
                </c:pt>
                <c:pt idx="6">
                  <c:v>1067.0937209587307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16409.717805827851</c:v>
                </c:pt>
                <c:pt idx="2">
                  <c:v>4742.8801950745374</c:v>
                </c:pt>
                <c:pt idx="3">
                  <c:v>106.09103672556557</c:v>
                </c:pt>
                <c:pt idx="4">
                  <c:v>5065.5539062785892</c:v>
                </c:pt>
                <c:pt idx="5">
                  <c:v>830.5370311046006</c:v>
                </c:pt>
                <c:pt idx="6">
                  <c:v>7412.5039935401819</c:v>
                </c:pt>
                <c:pt idx="7">
                  <c:v>269.08974799415955</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16409.717805827851</c:v>
                </c:pt>
                <c:pt idx="2">
                  <c:v>4742.8801950745374</c:v>
                </c:pt>
                <c:pt idx="3">
                  <c:v>106.09103672556557</c:v>
                </c:pt>
                <c:pt idx="4">
                  <c:v>5065.5539062785892</c:v>
                </c:pt>
                <c:pt idx="5">
                  <c:v>830.5370311046006</c:v>
                </c:pt>
                <c:pt idx="6">
                  <c:v>7412.5039935401819</c:v>
                </c:pt>
                <c:pt idx="7">
                  <c:v>269.08974799415955</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11007</v>
      </c>
      <c r="B6" s="380"/>
      <c r="C6" s="381"/>
    </row>
    <row r="7" spans="1:7" s="378" customFormat="1" ht="15.75" customHeight="1">
      <c r="A7" s="382" t="str">
        <f>txtMunicipality</f>
        <v>BORSBEEK</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0.22327763210074558</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0.22327763210074558</v>
      </c>
      <c r="C29" s="489">
        <f ca="1">'EF ele_warmte'!B22</f>
        <v>0.23764705882352943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4645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78.569999999999993</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0</v>
      </c>
      <c r="C17" s="322"/>
      <c r="D17" s="322"/>
      <c r="E17" s="322"/>
      <c r="F17" s="322"/>
    </row>
    <row r="18" spans="1:6">
      <c r="A18" s="1248" t="s">
        <v>8</v>
      </c>
      <c r="B18" s="1249">
        <v>2</v>
      </c>
      <c r="C18" s="322"/>
      <c r="D18" s="322"/>
      <c r="E18" s="322"/>
      <c r="F18" s="322"/>
    </row>
    <row r="19" spans="1:6">
      <c r="A19" s="1248" t="s">
        <v>9</v>
      </c>
      <c r="B19" s="1249">
        <v>2</v>
      </c>
      <c r="C19" s="322"/>
      <c r="D19" s="322"/>
      <c r="E19" s="322"/>
      <c r="F19" s="322"/>
    </row>
    <row r="20" spans="1:6">
      <c r="A20" s="1248" t="s">
        <v>10</v>
      </c>
      <c r="B20" s="1249">
        <v>3</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11</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33</v>
      </c>
      <c r="C29" s="322"/>
      <c r="D29" s="322"/>
      <c r="E29" s="322"/>
      <c r="F29" s="322"/>
    </row>
    <row r="30" spans="1:6">
      <c r="A30" s="1243" t="s">
        <v>692</v>
      </c>
      <c r="B30" s="1251">
        <v>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925.80575651280003</v>
      </c>
      <c r="E38" s="1249">
        <v>3</v>
      </c>
      <c r="F38" s="1249">
        <v>2535.9162358423</v>
      </c>
    </row>
    <row r="39" spans="1:6">
      <c r="A39" s="1248" t="s">
        <v>29</v>
      </c>
      <c r="B39" s="1248" t="s">
        <v>30</v>
      </c>
      <c r="C39" s="1249">
        <v>4180</v>
      </c>
      <c r="D39" s="1249">
        <v>57557204.204575397</v>
      </c>
      <c r="E39" s="1249">
        <v>4903</v>
      </c>
      <c r="F39" s="1249">
        <v>14206151.5837273</v>
      </c>
    </row>
    <row r="40" spans="1:6">
      <c r="A40" s="1248" t="s">
        <v>29</v>
      </c>
      <c r="B40" s="1248" t="s">
        <v>28</v>
      </c>
      <c r="C40" s="1249">
        <v>0</v>
      </c>
      <c r="D40" s="1249">
        <v>0</v>
      </c>
      <c r="E40" s="1249">
        <v>0</v>
      </c>
      <c r="F40" s="1249">
        <v>0</v>
      </c>
    </row>
    <row r="41" spans="1:6">
      <c r="A41" s="1248" t="s">
        <v>31</v>
      </c>
      <c r="B41" s="1248" t="s">
        <v>32</v>
      </c>
      <c r="C41" s="1249">
        <v>15</v>
      </c>
      <c r="D41" s="1249">
        <v>258400.89359782901</v>
      </c>
      <c r="E41" s="1249">
        <v>52</v>
      </c>
      <c r="F41" s="1249">
        <v>600199.58872115205</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0</v>
      </c>
      <c r="F44" s="1249">
        <v>0</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19</v>
      </c>
      <c r="D48" s="1249">
        <v>809411.71447897295</v>
      </c>
      <c r="E48" s="1249">
        <v>19</v>
      </c>
      <c r="F48" s="1249">
        <v>1082310.5766006799</v>
      </c>
    </row>
    <row r="49" spans="1:6">
      <c r="A49" s="1248" t="s">
        <v>31</v>
      </c>
      <c r="B49" s="1248" t="s">
        <v>39</v>
      </c>
      <c r="C49" s="1249">
        <v>0</v>
      </c>
      <c r="D49" s="1249">
        <v>0</v>
      </c>
      <c r="E49" s="1249">
        <v>0</v>
      </c>
      <c r="F49" s="1249">
        <v>0</v>
      </c>
    </row>
    <row r="50" spans="1:6">
      <c r="A50" s="1248" t="s">
        <v>31</v>
      </c>
      <c r="B50" s="1248" t="s">
        <v>40</v>
      </c>
      <c r="C50" s="1249">
        <v>0</v>
      </c>
      <c r="D50" s="1249">
        <v>0</v>
      </c>
      <c r="E50" s="1249">
        <v>4</v>
      </c>
      <c r="F50" s="1249">
        <v>367227.02181300102</v>
      </c>
    </row>
    <row r="51" spans="1:6">
      <c r="A51" s="1248" t="s">
        <v>41</v>
      </c>
      <c r="B51" s="1248" t="s">
        <v>42</v>
      </c>
      <c r="C51" s="1249">
        <v>0</v>
      </c>
      <c r="D51" s="1249">
        <v>0</v>
      </c>
      <c r="E51" s="1249">
        <v>10</v>
      </c>
      <c r="F51" s="1249">
        <v>230786.496180719</v>
      </c>
    </row>
    <row r="52" spans="1:6">
      <c r="A52" s="1248" t="s">
        <v>41</v>
      </c>
      <c r="B52" s="1248" t="s">
        <v>28</v>
      </c>
      <c r="C52" s="1249">
        <v>4</v>
      </c>
      <c r="D52" s="1249">
        <v>36841873.571073301</v>
      </c>
      <c r="E52" s="1249">
        <v>3</v>
      </c>
      <c r="F52" s="1249">
        <v>2368.8290197760002</v>
      </c>
    </row>
    <row r="53" spans="1:6">
      <c r="A53" s="1248" t="s">
        <v>43</v>
      </c>
      <c r="B53" s="1248" t="s">
        <v>44</v>
      </c>
      <c r="C53" s="1249">
        <v>87</v>
      </c>
      <c r="D53" s="1249">
        <v>1187399.3943139301</v>
      </c>
      <c r="E53" s="1249">
        <v>320</v>
      </c>
      <c r="F53" s="1249">
        <v>364483.03870357998</v>
      </c>
    </row>
    <row r="54" spans="1:6">
      <c r="A54" s="1248" t="s">
        <v>45</v>
      </c>
      <c r="B54" s="1248" t="s">
        <v>46</v>
      </c>
      <c r="C54" s="1249">
        <v>0</v>
      </c>
      <c r="D54" s="1249">
        <v>0</v>
      </c>
      <c r="E54" s="1249">
        <v>1</v>
      </c>
      <c r="F54" s="1249">
        <v>475153</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20</v>
      </c>
      <c r="D57" s="1249">
        <v>376304.309403477</v>
      </c>
      <c r="E57" s="1249">
        <v>32</v>
      </c>
      <c r="F57" s="1249">
        <v>342133.888865549</v>
      </c>
    </row>
    <row r="58" spans="1:6">
      <c r="A58" s="1248" t="s">
        <v>48</v>
      </c>
      <c r="B58" s="1248" t="s">
        <v>50</v>
      </c>
      <c r="C58" s="1249">
        <v>15</v>
      </c>
      <c r="D58" s="1249">
        <v>1712903.7524601</v>
      </c>
      <c r="E58" s="1249">
        <v>20</v>
      </c>
      <c r="F58" s="1249">
        <v>507795.59883101302</v>
      </c>
    </row>
    <row r="59" spans="1:6">
      <c r="A59" s="1248" t="s">
        <v>48</v>
      </c>
      <c r="B59" s="1248" t="s">
        <v>51</v>
      </c>
      <c r="C59" s="1249">
        <v>44</v>
      </c>
      <c r="D59" s="1249">
        <v>1589177.5934769199</v>
      </c>
      <c r="E59" s="1249">
        <v>81</v>
      </c>
      <c r="F59" s="1249">
        <v>5146356.3987660697</v>
      </c>
    </row>
    <row r="60" spans="1:6">
      <c r="A60" s="1248" t="s">
        <v>48</v>
      </c>
      <c r="B60" s="1248" t="s">
        <v>52</v>
      </c>
      <c r="C60" s="1249">
        <v>25</v>
      </c>
      <c r="D60" s="1249">
        <v>1653434.87635115</v>
      </c>
      <c r="E60" s="1249">
        <v>28</v>
      </c>
      <c r="F60" s="1249">
        <v>715229.25879375101</v>
      </c>
    </row>
    <row r="61" spans="1:6">
      <c r="A61" s="1248" t="s">
        <v>48</v>
      </c>
      <c r="B61" s="1248" t="s">
        <v>53</v>
      </c>
      <c r="C61" s="1249">
        <v>68</v>
      </c>
      <c r="D61" s="1249">
        <v>2751417.1148734</v>
      </c>
      <c r="E61" s="1249">
        <v>195</v>
      </c>
      <c r="F61" s="1249">
        <v>1417918.8102949499</v>
      </c>
    </row>
    <row r="62" spans="1:6">
      <c r="A62" s="1248" t="s">
        <v>48</v>
      </c>
      <c r="B62" s="1248" t="s">
        <v>54</v>
      </c>
      <c r="C62" s="1249">
        <v>3</v>
      </c>
      <c r="D62" s="1249">
        <v>484999.09265509603</v>
      </c>
      <c r="E62" s="1249">
        <v>5</v>
      </c>
      <c r="F62" s="1249">
        <v>217550.598492294</v>
      </c>
    </row>
    <row r="63" spans="1:6">
      <c r="A63" s="1248" t="s">
        <v>48</v>
      </c>
      <c r="B63" s="1248" t="s">
        <v>28</v>
      </c>
      <c r="C63" s="1249">
        <v>85</v>
      </c>
      <c r="D63" s="1249">
        <v>3501350.06093165</v>
      </c>
      <c r="E63" s="1249">
        <v>86</v>
      </c>
      <c r="F63" s="1249">
        <v>1271822.5250339301</v>
      </c>
    </row>
    <row r="64" spans="1:6">
      <c r="A64" s="1248" t="s">
        <v>55</v>
      </c>
      <c r="B64" s="1248" t="s">
        <v>56</v>
      </c>
      <c r="C64" s="1249">
        <v>0</v>
      </c>
      <c r="D64" s="1249">
        <v>0</v>
      </c>
      <c r="E64" s="1249">
        <v>0</v>
      </c>
      <c r="F64" s="1249">
        <v>0</v>
      </c>
    </row>
    <row r="65" spans="1:6">
      <c r="A65" s="1248" t="s">
        <v>55</v>
      </c>
      <c r="B65" s="1248" t="s">
        <v>28</v>
      </c>
      <c r="C65" s="1249">
        <v>2</v>
      </c>
      <c r="D65" s="1249">
        <v>62659.868822242301</v>
      </c>
      <c r="E65" s="1249">
        <v>4</v>
      </c>
      <c r="F65" s="1249">
        <v>18020.856434831599</v>
      </c>
    </row>
    <row r="66" spans="1:6">
      <c r="A66" s="1248" t="s">
        <v>55</v>
      </c>
      <c r="B66" s="1248" t="s">
        <v>57</v>
      </c>
      <c r="C66" s="1249">
        <v>0</v>
      </c>
      <c r="D66" s="1249">
        <v>0</v>
      </c>
      <c r="E66" s="1249">
        <v>4</v>
      </c>
      <c r="F66" s="1249">
        <v>532469.35451113095</v>
      </c>
    </row>
    <row r="67" spans="1:6">
      <c r="A67" s="1248" t="s">
        <v>55</v>
      </c>
      <c r="B67" s="1248" t="s">
        <v>58</v>
      </c>
      <c r="C67" s="1249">
        <v>0</v>
      </c>
      <c r="D67" s="1249">
        <v>0</v>
      </c>
      <c r="E67" s="1249">
        <v>0</v>
      </c>
      <c r="F67" s="1249">
        <v>0</v>
      </c>
    </row>
    <row r="68" spans="1:6">
      <c r="A68" s="1243" t="s">
        <v>55</v>
      </c>
      <c r="B68" s="1243" t="s">
        <v>59</v>
      </c>
      <c r="C68" s="1251">
        <v>0</v>
      </c>
      <c r="D68" s="1251">
        <v>0</v>
      </c>
      <c r="E68" s="1251">
        <v>3</v>
      </c>
      <c r="F68" s="1251">
        <v>10552.397700679599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27755365</v>
      </c>
      <c r="E73" s="439"/>
      <c r="F73" s="322"/>
    </row>
    <row r="74" spans="1:6">
      <c r="A74" s="1248" t="s">
        <v>63</v>
      </c>
      <c r="B74" s="1248" t="s">
        <v>617</v>
      </c>
      <c r="C74" s="1261" t="s">
        <v>619</v>
      </c>
      <c r="D74" s="1249">
        <v>3138145.5</v>
      </c>
      <c r="E74" s="439"/>
      <c r="F74" s="322"/>
    </row>
    <row r="75" spans="1:6">
      <c r="A75" s="1248" t="s">
        <v>64</v>
      </c>
      <c r="B75" s="1248" t="s">
        <v>616</v>
      </c>
      <c r="C75" s="1261" t="s">
        <v>620</v>
      </c>
      <c r="D75" s="1249">
        <v>4258233</v>
      </c>
      <c r="E75" s="439"/>
      <c r="F75" s="322"/>
    </row>
    <row r="76" spans="1:6">
      <c r="A76" s="1248" t="s">
        <v>64</v>
      </c>
      <c r="B76" s="1248" t="s">
        <v>617</v>
      </c>
      <c r="C76" s="1261" t="s">
        <v>621</v>
      </c>
      <c r="D76" s="1249">
        <v>13853.1</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290235</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770.28201090189236</v>
      </c>
      <c r="C91" s="322"/>
      <c r="D91" s="322"/>
      <c r="E91" s="322"/>
      <c r="F91" s="322"/>
    </row>
    <row r="92" spans="1:6">
      <c r="A92" s="1243" t="s">
        <v>68</v>
      </c>
      <c r="B92" s="1244">
        <v>0</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3365</v>
      </c>
      <c r="C97" s="322"/>
      <c r="D97" s="322"/>
      <c r="E97" s="322"/>
      <c r="F97" s="322"/>
    </row>
    <row r="98" spans="1:6">
      <c r="A98" s="1248" t="s">
        <v>71</v>
      </c>
      <c r="B98" s="1249">
        <v>3</v>
      </c>
      <c r="C98" s="322"/>
      <c r="D98" s="322"/>
      <c r="E98" s="322"/>
      <c r="F98" s="322"/>
    </row>
    <row r="99" spans="1:6">
      <c r="A99" s="1248" t="s">
        <v>72</v>
      </c>
      <c r="B99" s="1249">
        <v>5</v>
      </c>
      <c r="C99" s="322"/>
      <c r="D99" s="322"/>
      <c r="E99" s="322"/>
      <c r="F99" s="322"/>
    </row>
    <row r="100" spans="1:6">
      <c r="A100" s="1248" t="s">
        <v>73</v>
      </c>
      <c r="B100" s="1249">
        <v>256</v>
      </c>
      <c r="C100" s="322"/>
      <c r="D100" s="322"/>
      <c r="E100" s="322"/>
      <c r="F100" s="322"/>
    </row>
    <row r="101" spans="1:6">
      <c r="A101" s="1248" t="s">
        <v>74</v>
      </c>
      <c r="B101" s="1249">
        <v>14</v>
      </c>
      <c r="C101" s="322"/>
      <c r="D101" s="322"/>
      <c r="E101" s="322"/>
      <c r="F101" s="322"/>
    </row>
    <row r="102" spans="1:6">
      <c r="A102" s="1248" t="s">
        <v>75</v>
      </c>
      <c r="B102" s="1249">
        <v>57</v>
      </c>
      <c r="C102" s="322"/>
      <c r="D102" s="322"/>
      <c r="E102" s="322"/>
      <c r="F102" s="322"/>
    </row>
    <row r="103" spans="1:6">
      <c r="A103" s="1248" t="s">
        <v>76</v>
      </c>
      <c r="B103" s="1249">
        <v>40</v>
      </c>
      <c r="C103" s="322"/>
      <c r="D103" s="322"/>
      <c r="E103" s="322"/>
      <c r="F103" s="322"/>
    </row>
    <row r="104" spans="1:6">
      <c r="A104" s="1248" t="s">
        <v>77</v>
      </c>
      <c r="B104" s="1249">
        <v>517</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4</v>
      </c>
      <c r="C123" s="1249">
        <v>6</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26</v>
      </c>
      <c r="C129" s="322"/>
      <c r="D129" s="322"/>
      <c r="E129" s="322"/>
      <c r="F129" s="322"/>
    </row>
    <row r="130" spans="1:6">
      <c r="A130" s="1248" t="s">
        <v>283</v>
      </c>
      <c r="B130" s="1249">
        <v>0</v>
      </c>
      <c r="C130" s="322"/>
      <c r="D130" s="322"/>
      <c r="E130" s="322"/>
      <c r="F130" s="322"/>
    </row>
    <row r="131" spans="1:6">
      <c r="A131" s="1248" t="s">
        <v>284</v>
      </c>
      <c r="B131" s="1249">
        <v>0</v>
      </c>
      <c r="C131" s="322"/>
      <c r="D131" s="322"/>
      <c r="E131" s="322"/>
      <c r="F131" s="322"/>
    </row>
    <row r="132" spans="1:6">
      <c r="A132" s="1243" t="s">
        <v>285</v>
      </c>
      <c r="B132" s="1244">
        <v>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27744.926142165652</v>
      </c>
      <c r="C3" s="43" t="s">
        <v>163</v>
      </c>
      <c r="D3" s="43"/>
      <c r="E3" s="153"/>
      <c r="F3" s="43"/>
      <c r="G3" s="43"/>
      <c r="H3" s="43"/>
      <c r="I3" s="43"/>
      <c r="J3" s="43"/>
      <c r="K3" s="96"/>
    </row>
    <row r="4" spans="1:11">
      <c r="A4" s="348" t="s">
        <v>164</v>
      </c>
      <c r="B4" s="49">
        <f>IF(ISERROR('SEAP template'!B78+'SEAP template'!C78),0,'SEAP template'!B78+'SEAP template'!C78)</f>
        <v>14792.282010901892</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3332.2870588235296</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0.22327763210074558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4760.4100840336141</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20031.428571428572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0.23764705882352943</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475.15300000000002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475.15300000000002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0.22327763210074558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106.09103672556557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14206.1515837273</v>
      </c>
      <c r="C5" s="17">
        <f>IF(ISERROR('Eigen informatie GS &amp; warmtenet'!B57),0,'Eigen informatie GS &amp; warmtenet'!B57)</f>
        <v>0</v>
      </c>
      <c r="D5" s="30">
        <f>(SUM(HH_hh_gas_kWh,HH_rest_gas_kWh)/1000)*0.902</f>
        <v>51916.59819252701</v>
      </c>
      <c r="E5" s="17">
        <f>B32*B41</f>
        <v>399.29605831869662</v>
      </c>
      <c r="F5" s="17">
        <f>B36*B45</f>
        <v>9255.3719730251269</v>
      </c>
      <c r="G5" s="18"/>
      <c r="H5" s="17"/>
      <c r="I5" s="17"/>
      <c r="J5" s="17">
        <f>B35*B44+C35*C44</f>
        <v>47.564459261234688</v>
      </c>
      <c r="K5" s="17"/>
      <c r="L5" s="17"/>
      <c r="M5" s="17"/>
      <c r="N5" s="17">
        <f>B34*B43+C34*C43</f>
        <v>5583.4318468461706</v>
      </c>
      <c r="O5" s="17">
        <f>B52*B53*B54</f>
        <v>50.026666666666671</v>
      </c>
      <c r="P5" s="17">
        <f>B60*B61*B62/1000-B60*B61*B62/1000/B63</f>
        <v>76.266666666666666</v>
      </c>
    </row>
    <row r="6" spans="1:16">
      <c r="A6" s="16" t="s">
        <v>582</v>
      </c>
      <c r="B6" s="716">
        <f>kWh_PV_kleiner_dan_10kW</f>
        <v>770.28201090189236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14976.433594629192</v>
      </c>
      <c r="C8" s="21">
        <f>C5</f>
        <v>0</v>
      </c>
      <c r="D8" s="21">
        <f>D5</f>
        <v>51916.59819252701</v>
      </c>
      <c r="E8" s="21">
        <f>E5</f>
        <v>399.29605831869662</v>
      </c>
      <c r="F8" s="21">
        <f>F5</f>
        <v>9255.3719730251269</v>
      </c>
      <c r="G8" s="21"/>
      <c r="H8" s="21"/>
      <c r="I8" s="21"/>
      <c r="J8" s="21">
        <f>J5</f>
        <v>47.564459261234688</v>
      </c>
      <c r="K8" s="21"/>
      <c r="L8" s="21">
        <f>L5</f>
        <v>0</v>
      </c>
      <c r="M8" s="21">
        <f>M5</f>
        <v>0</v>
      </c>
      <c r="N8" s="21">
        <f>N5</f>
        <v>5583.4318468461706</v>
      </c>
      <c r="O8" s="21">
        <f>O5</f>
        <v>50.026666666666671</v>
      </c>
      <c r="P8" s="21">
        <f>P5</f>
        <v>76.266666666666666</v>
      </c>
    </row>
    <row r="9" spans="1:16">
      <c r="B9" s="19"/>
      <c r="C9" s="19"/>
      <c r="D9" s="253"/>
      <c r="E9" s="19"/>
      <c r="F9" s="19"/>
      <c r="G9" s="19"/>
      <c r="H9" s="19"/>
      <c r="I9" s="19"/>
      <c r="J9" s="19"/>
      <c r="K9" s="19"/>
      <c r="L9" s="19"/>
      <c r="M9" s="19"/>
      <c r="N9" s="19"/>
      <c r="O9" s="19"/>
      <c r="P9" s="19"/>
    </row>
    <row r="10" spans="1:16">
      <c r="A10" s="24" t="s">
        <v>207</v>
      </c>
      <c r="B10" s="25">
        <f ca="1">'EF ele_warmte'!B12</f>
        <v>0.22327763210074558</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3343.9026303228634</v>
      </c>
      <c r="C12" s="23">
        <f ca="1">C10*C8</f>
        <v>0</v>
      </c>
      <c r="D12" s="23">
        <f>D8*D10</f>
        <v>10487.152834890456</v>
      </c>
      <c r="E12" s="23">
        <f>E10*E8</f>
        <v>90.640205238344137</v>
      </c>
      <c r="F12" s="23">
        <f>F10*F8</f>
        <v>2471.184316797709</v>
      </c>
      <c r="G12" s="23"/>
      <c r="H12" s="23"/>
      <c r="I12" s="23"/>
      <c r="J12" s="23">
        <f>J10*J8</f>
        <v>16.83781857847708</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4645</v>
      </c>
      <c r="C26" s="36"/>
      <c r="D26" s="224"/>
    </row>
    <row r="27" spans="1:5" s="15" customFormat="1">
      <c r="A27" s="226" t="s">
        <v>736</v>
      </c>
      <c r="B27" s="37">
        <f>SUM(HH_hh_gas_aantal,HH_rest_gas_aantal)</f>
        <v>4180</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3971</v>
      </c>
      <c r="C31" s="34" t="s">
        <v>104</v>
      </c>
      <c r="D31" s="170"/>
    </row>
    <row r="32" spans="1:5">
      <c r="A32" s="167" t="s">
        <v>72</v>
      </c>
      <c r="B32" s="33">
        <f>IF((B21*($B$26-($B$27-0.05*$B$27)-$B$60))&lt;0,0,B21*($B$26-($B$27-0.05*$B$27)-$B$60))</f>
        <v>7.3785981391799389</v>
      </c>
      <c r="C32" s="34" t="s">
        <v>104</v>
      </c>
      <c r="D32" s="170"/>
    </row>
    <row r="33" spans="1:6">
      <c r="A33" s="167" t="s">
        <v>73</v>
      </c>
      <c r="B33" s="33">
        <f>IF((B22*($B$26-($B$27-0.05*$B$27)-$B$60))&lt;0,0,B22*($B$26-($B$27-0.05*$B$27)-$B$60))</f>
        <v>153.40725163362279</v>
      </c>
      <c r="C33" s="34" t="s">
        <v>104</v>
      </c>
      <c r="D33" s="170"/>
    </row>
    <row r="34" spans="1:6">
      <c r="A34" s="167" t="s">
        <v>74</v>
      </c>
      <c r="B34" s="33">
        <f>IF((B24*($B$26-($B$27-0.05*$B$27)-$B$60))&lt;0,0,B24*($B$26-($B$27-0.05*$B$27)-$B$60))</f>
        <v>59.874324395170511</v>
      </c>
      <c r="C34" s="33">
        <f>B26*C24</f>
        <v>822.74394702698453</v>
      </c>
      <c r="D34" s="229"/>
    </row>
    <row r="35" spans="1:6">
      <c r="A35" s="167" t="s">
        <v>76</v>
      </c>
      <c r="B35" s="33">
        <f>IF((B19*($B$26-($B$27-0.05*$B$27)-$B$60))&lt;0,0,B19*($B$26-($B$27-0.05*$B$27)-$B$60))</f>
        <v>5.584803152122972</v>
      </c>
      <c r="C35" s="33">
        <f>B35/2</f>
        <v>2.792401576061486</v>
      </c>
      <c r="D35" s="229"/>
    </row>
    <row r="36" spans="1:6">
      <c r="A36" s="167" t="s">
        <v>77</v>
      </c>
      <c r="B36" s="33">
        <f>IF((B18*($B$26-($B$27-0.05*$B$27)-$B$60))&lt;0,0,B18*($B$26-($B$27-0.05*$B$27)-$B$60))</f>
        <v>443.75502267990379</v>
      </c>
      <c r="C36" s="34" t="s">
        <v>104</v>
      </c>
      <c r="D36" s="170"/>
    </row>
    <row r="37" spans="1:6">
      <c r="A37" s="167" t="s">
        <v>78</v>
      </c>
      <c r="B37" s="33">
        <f>B60</f>
        <v>4</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32</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4</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9618.8070790775564</v>
      </c>
      <c r="C5" s="17">
        <f>IF(ISERROR('Eigen informatie GS &amp; warmtenet'!B58),0,'Eigen informatie GS &amp; warmtenet'!B58)</f>
        <v>0</v>
      </c>
      <c r="D5" s="30">
        <f>SUM(D6:D12)</f>
        <v>10886.767293736917</v>
      </c>
      <c r="E5" s="17">
        <f>SUM(E6:E12)</f>
        <v>181.38993086420732</v>
      </c>
      <c r="F5" s="17">
        <f>SUM(F6:F12)</f>
        <v>1329.2545799951858</v>
      </c>
      <c r="G5" s="18"/>
      <c r="H5" s="17"/>
      <c r="I5" s="17"/>
      <c r="J5" s="17">
        <f>SUM(J6:J12)</f>
        <v>6.3455493347931782E-3</v>
      </c>
      <c r="K5" s="17"/>
      <c r="L5" s="17"/>
      <c r="M5" s="17"/>
      <c r="N5" s="17">
        <f>SUM(N6:N12)</f>
        <v>273.33609624857212</v>
      </c>
      <c r="O5" s="17">
        <f>B38*B39*B40</f>
        <v>0</v>
      </c>
      <c r="P5" s="17">
        <f>B46*B47*B48/1000-B46*B47*B48/1000/B49</f>
        <v>0</v>
      </c>
      <c r="R5" s="32"/>
    </row>
    <row r="6" spans="1:18">
      <c r="A6" s="32" t="s">
        <v>53</v>
      </c>
      <c r="B6" s="37">
        <f>B26</f>
        <v>1417.9188102949499</v>
      </c>
      <c r="C6" s="33"/>
      <c r="D6" s="37">
        <f>IF(ISERROR(TER_kantoor_gas_kWh/1000),0,TER_kantoor_gas_kWh/1000)*0.902</f>
        <v>2481.7782376158066</v>
      </c>
      <c r="E6" s="33">
        <f>$C$26*'E Balans VL '!I12/100/3.6*1000000</f>
        <v>-1.1642959082035058E-4</v>
      </c>
      <c r="F6" s="33">
        <f>$C$26*('E Balans VL '!L12+'E Balans VL '!N12)/100/3.6*1000000</f>
        <v>179.69480828407814</v>
      </c>
      <c r="G6" s="34"/>
      <c r="H6" s="33"/>
      <c r="I6" s="33"/>
      <c r="J6" s="33">
        <f>$C$26*('E Balans VL '!D12+'E Balans VL '!E12)/100/3.6*1000000</f>
        <v>0</v>
      </c>
      <c r="K6" s="33"/>
      <c r="L6" s="33"/>
      <c r="M6" s="33"/>
      <c r="N6" s="33">
        <f>$C$26*'E Balans VL '!Y12/100/3.6*1000000</f>
        <v>1.7391612896487432</v>
      </c>
      <c r="O6" s="33"/>
      <c r="P6" s="33"/>
      <c r="R6" s="32"/>
    </row>
    <row r="7" spans="1:18">
      <c r="A7" s="32" t="s">
        <v>52</v>
      </c>
      <c r="B7" s="37">
        <f t="shared" ref="B7:B12" si="0">B27</f>
        <v>715.229258793751</v>
      </c>
      <c r="C7" s="33"/>
      <c r="D7" s="37">
        <f>IF(ISERROR(TER_horeca_gas_kWh/1000),0,TER_horeca_gas_kWh/1000)*0.902</f>
        <v>1491.3982584687374</v>
      </c>
      <c r="E7" s="33">
        <f>$C$27*'E Balans VL '!I9/100/3.6*1000000</f>
        <v>8.2326390437382493</v>
      </c>
      <c r="F7" s="33">
        <f>$C$27*('E Balans VL '!L9+'E Balans VL '!N9)/100/3.6*1000000</f>
        <v>92.217252533561336</v>
      </c>
      <c r="G7" s="34"/>
      <c r="H7" s="33"/>
      <c r="I7" s="33"/>
      <c r="J7" s="33">
        <f>$C$27*('E Balans VL '!D9+'E Balans VL '!E9)/100/3.6*1000000</f>
        <v>0</v>
      </c>
      <c r="K7" s="33"/>
      <c r="L7" s="33"/>
      <c r="M7" s="33"/>
      <c r="N7" s="33">
        <f>$C$27*'E Balans VL '!Y9/100/3.6*1000000</f>
        <v>7.5490809242617658</v>
      </c>
      <c r="O7" s="33"/>
      <c r="P7" s="33"/>
      <c r="R7" s="32"/>
    </row>
    <row r="8" spans="1:18">
      <c r="A8" s="6" t="s">
        <v>51</v>
      </c>
      <c r="B8" s="37">
        <f t="shared" si="0"/>
        <v>5146.35639876607</v>
      </c>
      <c r="C8" s="33"/>
      <c r="D8" s="37">
        <f>IF(ISERROR(TER_handel_gas_kWh/1000),0,TER_handel_gas_kWh/1000)*0.902</f>
        <v>1433.4381893161817</v>
      </c>
      <c r="E8" s="33">
        <f>$C$28*'E Balans VL '!I13/100/3.6*1000000</f>
        <v>145.20138364046153</v>
      </c>
      <c r="F8" s="33">
        <f>$C$28*('E Balans VL '!L13+'E Balans VL '!N13)/100/3.6*1000000</f>
        <v>517.61312200107932</v>
      </c>
      <c r="G8" s="34"/>
      <c r="H8" s="33"/>
      <c r="I8" s="33"/>
      <c r="J8" s="33">
        <f>$C$28*('E Balans VL '!D13+'E Balans VL '!E13)/100/3.6*1000000</f>
        <v>0</v>
      </c>
      <c r="K8" s="33"/>
      <c r="L8" s="33"/>
      <c r="M8" s="33"/>
      <c r="N8" s="33">
        <f>$C$28*'E Balans VL '!Y13/100/3.6*1000000</f>
        <v>7.1039685584416263</v>
      </c>
      <c r="O8" s="33"/>
      <c r="P8" s="33"/>
      <c r="R8" s="32"/>
    </row>
    <row r="9" spans="1:18">
      <c r="A9" s="32" t="s">
        <v>50</v>
      </c>
      <c r="B9" s="37">
        <f t="shared" si="0"/>
        <v>507.79559883101302</v>
      </c>
      <c r="C9" s="33"/>
      <c r="D9" s="37">
        <f>IF(ISERROR(TER_gezond_gas_kWh/1000),0,TER_gezond_gas_kWh/1000)*0.902</f>
        <v>1545.0391847190101</v>
      </c>
      <c r="E9" s="33">
        <f>$C$29*'E Balans VL '!I10/100/3.6*1000000</f>
        <v>1.0144192734125734</v>
      </c>
      <c r="F9" s="33">
        <f>$C$29*('E Balans VL '!L10+'E Balans VL '!N10)/100/3.6*1000000</f>
        <v>44.493080342115036</v>
      </c>
      <c r="G9" s="34"/>
      <c r="H9" s="33"/>
      <c r="I9" s="33"/>
      <c r="J9" s="33">
        <f>$C$29*('E Balans VL '!D10+'E Balans VL '!E10)/100/3.6*1000000</f>
        <v>0</v>
      </c>
      <c r="K9" s="33"/>
      <c r="L9" s="33"/>
      <c r="M9" s="33"/>
      <c r="N9" s="33">
        <f>$C$29*'E Balans VL '!Y10/100/3.6*1000000</f>
        <v>7.6811383491510812</v>
      </c>
      <c r="O9" s="33"/>
      <c r="P9" s="33"/>
      <c r="R9" s="32"/>
    </row>
    <row r="10" spans="1:18">
      <c r="A10" s="32" t="s">
        <v>49</v>
      </c>
      <c r="B10" s="37">
        <f t="shared" si="0"/>
        <v>342.13388886554901</v>
      </c>
      <c r="C10" s="33"/>
      <c r="D10" s="37">
        <f>IF(ISERROR(TER_ander_gas_kWh/1000),0,TER_ander_gas_kWh/1000)*0.902</f>
        <v>339.42648708193627</v>
      </c>
      <c r="E10" s="33">
        <f>$C$30*'E Balans VL '!I14/100/3.6*1000000</f>
        <v>4.8198408891231486</v>
      </c>
      <c r="F10" s="33">
        <f>$C$30*('E Balans VL '!L14+'E Balans VL '!N14)/100/3.6*1000000</f>
        <v>207.54280343641011</v>
      </c>
      <c r="G10" s="34"/>
      <c r="H10" s="33"/>
      <c r="I10" s="33"/>
      <c r="J10" s="33">
        <f>$C$30*('E Balans VL '!D14+'E Balans VL '!E14)/100/3.6*1000000</f>
        <v>3.7559723900720669E-3</v>
      </c>
      <c r="K10" s="33"/>
      <c r="L10" s="33"/>
      <c r="M10" s="33"/>
      <c r="N10" s="33">
        <f>$C$30*'E Balans VL '!Y14/100/3.6*1000000</f>
        <v>144.69911196819336</v>
      </c>
      <c r="O10" s="33"/>
      <c r="P10" s="33"/>
      <c r="R10" s="32"/>
    </row>
    <row r="11" spans="1:18">
      <c r="A11" s="32" t="s">
        <v>54</v>
      </c>
      <c r="B11" s="37">
        <f t="shared" si="0"/>
        <v>217.550598492294</v>
      </c>
      <c r="C11" s="33"/>
      <c r="D11" s="37">
        <f>IF(ISERROR(TER_onderwijs_gas_kWh/1000),0,TER_onderwijs_gas_kWh/1000)*0.902</f>
        <v>437.46918157489665</v>
      </c>
      <c r="E11" s="33">
        <f>$C$31*'E Balans VL '!I11/100/3.6*1000000</f>
        <v>5.6781775539929749</v>
      </c>
      <c r="F11" s="33">
        <f>$C$31*('E Balans VL '!L11+'E Balans VL '!N11)/100/3.6*1000000</f>
        <v>26.771429236767183</v>
      </c>
      <c r="G11" s="34"/>
      <c r="H11" s="33"/>
      <c r="I11" s="33"/>
      <c r="J11" s="33">
        <f>$C$31*('E Balans VL '!D11+'E Balans VL '!E11)/100/3.6*1000000</f>
        <v>0</v>
      </c>
      <c r="K11" s="33"/>
      <c r="L11" s="33"/>
      <c r="M11" s="33"/>
      <c r="N11" s="33">
        <f>$C$31*'E Balans VL '!Y11/100/3.6*1000000</f>
        <v>0.68891856223934111</v>
      </c>
      <c r="O11" s="33"/>
      <c r="P11" s="33"/>
      <c r="R11" s="32"/>
    </row>
    <row r="12" spans="1:18">
      <c r="A12" s="32" t="s">
        <v>248</v>
      </c>
      <c r="B12" s="37">
        <f t="shared" si="0"/>
        <v>1271.8225250339301</v>
      </c>
      <c r="C12" s="33"/>
      <c r="D12" s="37">
        <f>IF(ISERROR(TER_rest_gas_kWh/1000),0,TER_rest_gas_kWh/1000)*0.902</f>
        <v>3158.2177549603484</v>
      </c>
      <c r="E12" s="33">
        <f>$C$32*'E Balans VL '!I8/100/3.6*1000000</f>
        <v>16.443586893069625</v>
      </c>
      <c r="F12" s="33">
        <f>$C$32*('E Balans VL '!L8+'E Balans VL '!N8)/100/3.6*1000000</f>
        <v>260.92208416117455</v>
      </c>
      <c r="G12" s="34"/>
      <c r="H12" s="33"/>
      <c r="I12" s="33"/>
      <c r="J12" s="33">
        <f>$C$32*('E Balans VL '!D8+'E Balans VL '!E8)/100/3.6*1000000</f>
        <v>2.5895769447211114E-3</v>
      </c>
      <c r="K12" s="33"/>
      <c r="L12" s="33"/>
      <c r="M12" s="33"/>
      <c r="N12" s="33">
        <f>$C$32*'E Balans VL '!Y8/100/3.6*1000000</f>
        <v>103.8747165966362</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9618.8070790775564</v>
      </c>
      <c r="C16" s="21">
        <f t="shared" ca="1" si="1"/>
        <v>0</v>
      </c>
      <c r="D16" s="21">
        <f t="shared" ca="1" si="1"/>
        <v>10886.767293736917</v>
      </c>
      <c r="E16" s="21">
        <f t="shared" si="1"/>
        <v>181.38993086420732</v>
      </c>
      <c r="F16" s="21">
        <f t="shared" ca="1" si="1"/>
        <v>1329.2545799951858</v>
      </c>
      <c r="G16" s="21">
        <f t="shared" si="1"/>
        <v>0</v>
      </c>
      <c r="H16" s="21">
        <f t="shared" si="1"/>
        <v>0</v>
      </c>
      <c r="I16" s="21">
        <f t="shared" si="1"/>
        <v>0</v>
      </c>
      <c r="J16" s="21">
        <f t="shared" si="1"/>
        <v>6.3455493347931782E-3</v>
      </c>
      <c r="K16" s="21">
        <f t="shared" si="1"/>
        <v>0</v>
      </c>
      <c r="L16" s="21">
        <f t="shared" ca="1" si="1"/>
        <v>0</v>
      </c>
      <c r="M16" s="21">
        <f t="shared" si="1"/>
        <v>0</v>
      </c>
      <c r="N16" s="21">
        <f t="shared" ca="1" si="1"/>
        <v>273.33609624857212</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0.22327763210074558</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2147.6644682503261</v>
      </c>
      <c r="C20" s="23">
        <f t="shared" ref="C20:P20" ca="1" si="2">C16*C18</f>
        <v>0</v>
      </c>
      <c r="D20" s="23">
        <f t="shared" ca="1" si="2"/>
        <v>2199.1269933348572</v>
      </c>
      <c r="E20" s="23">
        <f t="shared" si="2"/>
        <v>41.17551430617506</v>
      </c>
      <c r="F20" s="23">
        <f t="shared" ca="1" si="2"/>
        <v>354.91097285871462</v>
      </c>
      <c r="G20" s="23">
        <f t="shared" si="2"/>
        <v>0</v>
      </c>
      <c r="H20" s="23">
        <f t="shared" si="2"/>
        <v>0</v>
      </c>
      <c r="I20" s="23">
        <f t="shared" si="2"/>
        <v>0</v>
      </c>
      <c r="J20" s="23">
        <f t="shared" si="2"/>
        <v>2.2463244645167849E-3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1417.9188102949499</v>
      </c>
      <c r="C26" s="39">
        <f>IF(ISERROR(B26*3.6/1000000/'E Balans VL '!Z12*100),0,B26*3.6/1000000/'E Balans VL '!Z12*100)</f>
        <v>3.8440997503940567E-2</v>
      </c>
      <c r="D26" s="232" t="s">
        <v>700</v>
      </c>
      <c r="F26" s="6"/>
    </row>
    <row r="27" spans="1:18">
      <c r="A27" s="227" t="s">
        <v>52</v>
      </c>
      <c r="B27" s="33">
        <f>IF(ISERROR(TER_horeca_ele_kWh/1000),0,TER_horeca_ele_kWh/1000)</f>
        <v>715.229258793751</v>
      </c>
      <c r="C27" s="39">
        <f>IF(ISERROR(B27*3.6/1000000/'E Balans VL '!Z9*100),0,B27*3.6/1000000/'E Balans VL '!Z9*100)</f>
        <v>5.5323733429197178E-2</v>
      </c>
      <c r="D27" s="232" t="s">
        <v>700</v>
      </c>
      <c r="F27" s="6"/>
    </row>
    <row r="28" spans="1:18">
      <c r="A28" s="167" t="s">
        <v>51</v>
      </c>
      <c r="B28" s="33">
        <f>IF(ISERROR(TER_handel_ele_kWh/1000),0,TER_handel_ele_kWh/1000)</f>
        <v>5146.35639876607</v>
      </c>
      <c r="C28" s="39">
        <f>IF(ISERROR(B28*3.6/1000000/'E Balans VL '!Z13*100),0,B28*3.6/1000000/'E Balans VL '!Z13*100)</f>
        <v>0.14884593710657745</v>
      </c>
      <c r="D28" s="232" t="s">
        <v>700</v>
      </c>
      <c r="F28" s="6"/>
    </row>
    <row r="29" spans="1:18">
      <c r="A29" s="227" t="s">
        <v>50</v>
      </c>
      <c r="B29" s="33">
        <f>IF(ISERROR(TER_gezond_ele_kWh/1000),0,TER_gezond_ele_kWh/1000)</f>
        <v>507.79559883101302</v>
      </c>
      <c r="C29" s="39">
        <f>IF(ISERROR(B29*3.6/1000000/'E Balans VL '!Z10*100),0,B29*3.6/1000000/'E Balans VL '!Z10*100)</f>
        <v>5.2297966735463802E-2</v>
      </c>
      <c r="D29" s="232" t="s">
        <v>700</v>
      </c>
      <c r="F29" s="6"/>
    </row>
    <row r="30" spans="1:18">
      <c r="A30" s="227" t="s">
        <v>49</v>
      </c>
      <c r="B30" s="33">
        <f>IF(ISERROR(TER_ander_ele_kWh/1000),0,TER_ander_ele_kWh/1000)</f>
        <v>342.13388886554901</v>
      </c>
      <c r="C30" s="39">
        <f>IF(ISERROR(B30*3.6/1000000/'E Balans VL '!Z14*100),0,B30*3.6/1000000/'E Balans VL '!Z14*100)</f>
        <v>1.5382822075380479E-2</v>
      </c>
      <c r="D30" s="232" t="s">
        <v>700</v>
      </c>
      <c r="F30" s="6"/>
    </row>
    <row r="31" spans="1:18">
      <c r="A31" s="227" t="s">
        <v>54</v>
      </c>
      <c r="B31" s="33">
        <f>IF(ISERROR(TER_onderwijs_ele_kWh/1000),0,TER_onderwijs_ele_kWh/1000)</f>
        <v>217.550598492294</v>
      </c>
      <c r="C31" s="39">
        <f>IF(ISERROR(B31*3.6/1000000/'E Balans VL '!Z11*100),0,B31*3.6/1000000/'E Balans VL '!Z11*100)</f>
        <v>6.0798197510657064E-2</v>
      </c>
      <c r="D31" s="232" t="s">
        <v>700</v>
      </c>
    </row>
    <row r="32" spans="1:18">
      <c r="A32" s="227" t="s">
        <v>248</v>
      </c>
      <c r="B32" s="33">
        <f>IF(ISERROR(TER_rest_ele_kWh/1000),0,TER_rest_ele_kWh/1000)</f>
        <v>1271.8225250339301</v>
      </c>
      <c r="C32" s="39">
        <f>IF(ISERROR(B32*3.6/1000000/'E Balans VL '!Z8*100),0,B32*3.6/1000000/'E Balans VL '!Z8*100)</f>
        <v>1.0605775882816838E-2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2049.7371871348332</v>
      </c>
      <c r="C5" s="17">
        <f>IF(ISERROR('Eigen informatie GS &amp; warmtenet'!B59),0,'Eigen informatie GS &amp; warmtenet'!B59)</f>
        <v>0</v>
      </c>
      <c r="D5" s="30">
        <f>SUM(D6:D15)</f>
        <v>963.16697248527532</v>
      </c>
      <c r="E5" s="17">
        <f>SUM(E6:E15)</f>
        <v>62.814738651008994</v>
      </c>
      <c r="F5" s="17">
        <f>SUM(F6:F15)</f>
        <v>609.39564841461083</v>
      </c>
      <c r="G5" s="18"/>
      <c r="H5" s="17"/>
      <c r="I5" s="17"/>
      <c r="J5" s="17">
        <f>SUM(J6:J15)</f>
        <v>3.8114499711477969</v>
      </c>
      <c r="K5" s="17"/>
      <c r="L5" s="17"/>
      <c r="M5" s="17"/>
      <c r="N5" s="17">
        <f>SUM(N6:N15)</f>
        <v>66.205404305907791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600.19958872115205</v>
      </c>
      <c r="C9" s="33"/>
      <c r="D9" s="37">
        <f>IF( ISERROR(IND_andere_gas_kWh/1000),0,IND_andere_gas_kWh/1000)*0.902</f>
        <v>233.07760602524175</v>
      </c>
      <c r="E9" s="33">
        <f>C31*'E Balans VL '!I19/100/3.6*1000000</f>
        <v>3.4836940558133986</v>
      </c>
      <c r="F9" s="33">
        <f>C31*'E Balans VL '!L19/100/3.6*1000000+C31*'E Balans VL '!N19/100/3.6*1000000</f>
        <v>395.82488927354632</v>
      </c>
      <c r="G9" s="34"/>
      <c r="H9" s="33"/>
      <c r="I9" s="33"/>
      <c r="J9" s="40">
        <f>C31*'E Balans VL '!D19/100/3.6*1000000+C31*'E Balans VL '!E19/100/3.6*1000000</f>
        <v>0</v>
      </c>
      <c r="K9" s="33"/>
      <c r="L9" s="33"/>
      <c r="M9" s="33"/>
      <c r="N9" s="33">
        <f>C31*'E Balans VL '!Y19/100/3.6*1000000</f>
        <v>27.795764682386412</v>
      </c>
      <c r="O9" s="33"/>
      <c r="P9" s="33"/>
      <c r="R9" s="32"/>
    </row>
    <row r="10" spans="1:18">
      <c r="A10" s="6" t="s">
        <v>40</v>
      </c>
      <c r="B10" s="37">
        <f t="shared" si="0"/>
        <v>367.22702181300104</v>
      </c>
      <c r="C10" s="33"/>
      <c r="D10" s="37">
        <f>IF( ISERROR(IND_voed_gas_kWh/1000),0,IND_voed_gas_kWh/1000)*0.902</f>
        <v>0</v>
      </c>
      <c r="E10" s="33">
        <f>C32*'E Balans VL '!I20/100/3.6*1000000</f>
        <v>0.7782397175491198</v>
      </c>
      <c r="F10" s="33">
        <f>C32*'E Balans VL '!L20/100/3.6*1000000+C32*'E Balans VL '!N20/100/3.6*1000000</f>
        <v>23.338794191057751</v>
      </c>
      <c r="G10" s="34"/>
      <c r="H10" s="33"/>
      <c r="I10" s="33"/>
      <c r="J10" s="40">
        <f>C32*'E Balans VL '!D20/100/3.6*1000000+C32*'E Balans VL '!E20/100/3.6*1000000</f>
        <v>0</v>
      </c>
      <c r="K10" s="33"/>
      <c r="L10" s="33"/>
      <c r="M10" s="33"/>
      <c r="N10" s="33">
        <f>C32*'E Balans VL '!Y20/100/3.6*1000000</f>
        <v>10.645504626353731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1082.31057660068</v>
      </c>
      <c r="C15" s="33"/>
      <c r="D15" s="37">
        <f>IF( ISERROR(IND_rest_gas_kWh/1000),0,IND_rest_gas_kWh/1000)*0.902</f>
        <v>730.0893664600336</v>
      </c>
      <c r="E15" s="33">
        <f>C37*'E Balans VL '!I15/100/3.6*1000000</f>
        <v>58.55280487764648</v>
      </c>
      <c r="F15" s="33">
        <f>C37*'E Balans VL '!L15/100/3.6*1000000+C37*'E Balans VL '!N15/100/3.6*1000000</f>
        <v>190.23196495000673</v>
      </c>
      <c r="G15" s="34"/>
      <c r="H15" s="33"/>
      <c r="I15" s="33"/>
      <c r="J15" s="40">
        <f>C37*'E Balans VL '!D15/100/3.6*1000000+C37*'E Balans VL '!E15/100/3.6*1000000</f>
        <v>3.8114499711477969</v>
      </c>
      <c r="K15" s="33"/>
      <c r="L15" s="33"/>
      <c r="M15" s="33"/>
      <c r="N15" s="33">
        <f>C37*'E Balans VL '!Y15/100/3.6*1000000</f>
        <v>27.764134997167652</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2049.7371871348332</v>
      </c>
      <c r="C18" s="21">
        <f>C5+C16</f>
        <v>0</v>
      </c>
      <c r="D18" s="21">
        <f>MAX((D5+D16),0)</f>
        <v>963.16697248527532</v>
      </c>
      <c r="E18" s="21">
        <f>MAX((E5+E16),0)</f>
        <v>62.814738651008994</v>
      </c>
      <c r="F18" s="21">
        <f>MAX((F5+F16),0)</f>
        <v>609.39564841461083</v>
      </c>
      <c r="G18" s="21"/>
      <c r="H18" s="21"/>
      <c r="I18" s="21"/>
      <c r="J18" s="21">
        <f>MAX((J5+J16),0)</f>
        <v>3.8114499711477969</v>
      </c>
      <c r="K18" s="21"/>
      <c r="L18" s="21">
        <f>MAX((L5+L16),0)</f>
        <v>0</v>
      </c>
      <c r="M18" s="21"/>
      <c r="N18" s="21">
        <f>MAX((N5+N16),0)</f>
        <v>66.205404305907791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0.22327763210074558</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457.6604655723084</v>
      </c>
      <c r="C22" s="23">
        <f ca="1">C18*C20</f>
        <v>0</v>
      </c>
      <c r="D22" s="23">
        <f>D18*D20</f>
        <v>194.55972844202563</v>
      </c>
      <c r="E22" s="23">
        <f>E18*E20</f>
        <v>14.258945673779042</v>
      </c>
      <c r="F22" s="23">
        <f>F18*F20</f>
        <v>162.70863812670109</v>
      </c>
      <c r="G22" s="23"/>
      <c r="H22" s="23"/>
      <c r="I22" s="23"/>
      <c r="J22" s="23">
        <f>J18*J20</f>
        <v>1.3492532897863201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0</v>
      </c>
      <c r="C30" s="39">
        <f>IF(ISERROR(B30*3.6/1000000/'E Balans VL '!Z18*100),0,B30*3.6/1000000/'E Balans VL '!Z18*100)</f>
        <v>0</v>
      </c>
      <c r="D30" s="232" t="s">
        <v>700</v>
      </c>
    </row>
    <row r="31" spans="1:18">
      <c r="A31" s="6" t="s">
        <v>32</v>
      </c>
      <c r="B31" s="37">
        <f>IF( ISERROR(IND_ander_ele_kWh/1000),0,IND_ander_ele_kWh/1000)</f>
        <v>600.19958872115205</v>
      </c>
      <c r="C31" s="39">
        <f>IF(ISERROR(B31*3.6/1000000/'E Balans VL '!Z19*100),0,B31*3.6/1000000/'E Balans VL '!Z19*100)</f>
        <v>2.5066593425676312E-2</v>
      </c>
      <c r="D31" s="232" t="s">
        <v>700</v>
      </c>
    </row>
    <row r="32" spans="1:18">
      <c r="A32" s="167" t="s">
        <v>40</v>
      </c>
      <c r="B32" s="37">
        <f>IF( ISERROR(IND_voed_ele_kWh/1000),0,IND_voed_ele_kWh/1000)</f>
        <v>367.22702181300104</v>
      </c>
      <c r="C32" s="39">
        <f>IF(ISERROR(B32*3.6/1000000/'E Balans VL '!Z20*100),0,B32*3.6/1000000/'E Balans VL '!Z20*100)</f>
        <v>1.1389935301421137E-2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1082.31057660068</v>
      </c>
      <c r="C37" s="39">
        <f>IF(ISERROR(B37*3.6/1000000/'E Balans VL '!Z15*100),0,B37*3.6/1000000/'E Balans VL '!Z15*100)</f>
        <v>8.4387101660499623E-3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233.15532520049499</v>
      </c>
      <c r="C5" s="17">
        <f>'Eigen informatie GS &amp; warmtenet'!B60</f>
        <v>0</v>
      </c>
      <c r="D5" s="30">
        <f>IF(ISERROR(SUM(LB_lb_gas_kWh,LB_rest_gas_kWh)/1000),0,SUM(LB_lb_gas_kWh,LB_rest_gas_kWh)/1000)*0.902</f>
        <v>33231.369961108117</v>
      </c>
      <c r="E5" s="17">
        <f>B17*'E Balans VL '!I25/3.6*1000000/100</f>
        <v>7.5666567459637619</v>
      </c>
      <c r="F5" s="17">
        <f>B17*('E Balans VL '!L25/3.6*1000000+'E Balans VL '!N25/3.6*1000000)/100</f>
        <v>860.15523774304393</v>
      </c>
      <c r="G5" s="18"/>
      <c r="H5" s="17"/>
      <c r="I5" s="17"/>
      <c r="J5" s="17">
        <f>('E Balans VL '!D25+'E Balans VL '!E25)/3.6*1000000*landbouw!B17/100</f>
        <v>61.317440010741166</v>
      </c>
      <c r="K5" s="17"/>
      <c r="L5" s="17">
        <f>L6*(-1)</f>
        <v>0</v>
      </c>
      <c r="M5" s="17"/>
      <c r="N5" s="17">
        <f>N6*(-1)</f>
        <v>0</v>
      </c>
      <c r="O5" s="17"/>
      <c r="P5" s="17"/>
      <c r="R5" s="32"/>
    </row>
    <row r="6" spans="1:18">
      <c r="A6" s="16" t="s">
        <v>473</v>
      </c>
      <c r="B6" s="17" t="s">
        <v>204</v>
      </c>
      <c r="C6" s="17">
        <f>'lokale energieproductie'!O39+'lokale energieproductie'!O32</f>
        <v>20031.428571428572</v>
      </c>
      <c r="D6" s="300">
        <f>('lokale energieproductie'!P32+'lokale energieproductie'!P39)*(-1)</f>
        <v>-40062.857142857145</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233.15532520049499</v>
      </c>
      <c r="C8" s="21">
        <f>C5+C6</f>
        <v>20031.428571428572</v>
      </c>
      <c r="D8" s="21">
        <f>MAX((D5+D6),0)</f>
        <v>0</v>
      </c>
      <c r="E8" s="21">
        <f>MAX((E5+E6),0)</f>
        <v>7.5666567459637619</v>
      </c>
      <c r="F8" s="21">
        <f>MAX((F5+F6),0)</f>
        <v>860.15523774304393</v>
      </c>
      <c r="G8" s="21"/>
      <c r="H8" s="21"/>
      <c r="I8" s="21"/>
      <c r="J8" s="21">
        <f>MAX((J5+J6),0)</f>
        <v>61.317440010741166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0.22327763210074558</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52.058368922445815</v>
      </c>
      <c r="C12" s="23">
        <f ca="1">C8*C10</f>
        <v>4760.4100840336141</v>
      </c>
      <c r="D12" s="23">
        <f>D8*D10</f>
        <v>0</v>
      </c>
      <c r="E12" s="23">
        <f>E8*E10</f>
        <v>1.7176310813337741</v>
      </c>
      <c r="F12" s="23">
        <f>F8*F10</f>
        <v>229.66144847739275</v>
      </c>
      <c r="G12" s="23"/>
      <c r="H12" s="23"/>
      <c r="I12" s="23"/>
      <c r="J12" s="23">
        <f>J8*J10</f>
        <v>21.706373763802372</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3.3085472148474508E-2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1.0257058667337069</v>
      </c>
      <c r="C26" s="242">
        <f>B26*'GWP N2O_CH4'!B5</f>
        <v>21.539823201407845</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8.0629438198633691E-2</v>
      </c>
      <c r="C27" s="242">
        <f>B27*'GWP N2O_CH4'!B5</f>
        <v>1.6932182021713076</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1.0082164887078427E-2</v>
      </c>
      <c r="C28" s="242">
        <f>B28*'GWP N2O_CH4'!B4</f>
        <v>3.1254711149943124</v>
      </c>
      <c r="D28" s="50"/>
    </row>
    <row r="29" spans="1:4">
      <c r="A29" s="41" t="s">
        <v>265</v>
      </c>
      <c r="B29" s="242">
        <f>B34*'ha_N2O bodem landbouw'!B4</f>
        <v>0.5111953070509625</v>
      </c>
      <c r="C29" s="242">
        <f>B29*'GWP N2O_CH4'!B4</f>
        <v>158.47054518579839</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1.1665300741163055E-4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5.9483438374252405E-5</v>
      </c>
      <c r="C5" s="427" t="s">
        <v>204</v>
      </c>
      <c r="D5" s="412">
        <f>SUM(D6:D11)</f>
        <v>1.0362730351265198E-4</v>
      </c>
      <c r="E5" s="412">
        <f>SUM(E6:E11)</f>
        <v>1.7845138001566777E-4</v>
      </c>
      <c r="F5" s="425" t="s">
        <v>204</v>
      </c>
      <c r="G5" s="412">
        <f>SUM(G6:G11)</f>
        <v>8.2987432703750946E-2</v>
      </c>
      <c r="H5" s="412">
        <f>SUM(H6:H11)</f>
        <v>1.7882117851408121E-2</v>
      </c>
      <c r="I5" s="427" t="s">
        <v>204</v>
      </c>
      <c r="J5" s="427" t="s">
        <v>204</v>
      </c>
      <c r="K5" s="427" t="s">
        <v>204</v>
      </c>
      <c r="L5" s="427" t="s">
        <v>204</v>
      </c>
      <c r="M5" s="412">
        <f>SUM(M6:M11)</f>
        <v>5.3750320980910119E-3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4.8684169158212899E-5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8.2259767394131137E-5</v>
      </c>
      <c r="E6" s="818">
        <f>vkm_GW_PW*SUMIFS(TableVerdeelsleutelVkm[LPG],TableVerdeelsleutelVkm[Voertuigtype],"Lichte voertuigen")*SUMIFS(TableECFTransport[EnergieConsumptieFactor (PJ per km)],TableECFTransport[Index],CONCATENATE($A6,"_LPG_LPG"))</f>
        <v>1.4299219814686793E-4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4.3308544525590395E-2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1.4262298228447708E-2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2.9502156535875439E-3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9.1786182650794697E-7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2.9481942856931766E-2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5.881917773656194E-7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1.7225017012491293E-3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9.8773555596629912E-6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2.1367536118520851E-5</v>
      </c>
      <c r="E8" s="415">
        <f>vkm_NGW_PW*SUMIFS(TableVerdeelsleutelVkm[LPG],TableVerdeelsleutelVkm[Voertuigtype],"Lichte voertuigen")*SUMIFS(TableECFTransport[EnergieConsumptieFactor (PJ per km)],TableECFTransport[Index],CONCATENATE($A8,"_LPG_LPG"))</f>
        <v>3.545918186879984E-5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1.0029959706355078E-2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3.619228297108739E-3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6.9255850582728904E-4</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4.0518298685632134E-9</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1.6698561487369642E-4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3.1340743039373866E-9</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9.7562374270498964E-6</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16.523177326181223</v>
      </c>
      <c r="C14" s="21"/>
      <c r="D14" s="21">
        <f t="shared" ref="D14:M14" si="0">((D5)*10^9/3600)+D12</f>
        <v>28.785362086847773</v>
      </c>
      <c r="E14" s="21">
        <f t="shared" si="0"/>
        <v>49.569827782129934</v>
      </c>
      <c r="F14" s="21"/>
      <c r="G14" s="21">
        <f t="shared" si="0"/>
        <v>23052.064639930821</v>
      </c>
      <c r="H14" s="21">
        <f t="shared" si="0"/>
        <v>4967.2549587244775</v>
      </c>
      <c r="I14" s="21"/>
      <c r="J14" s="21"/>
      <c r="K14" s="21"/>
      <c r="L14" s="21"/>
      <c r="M14" s="21">
        <f t="shared" si="0"/>
        <v>1493.0644716919478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0.22327763210074558</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3.6892559081704723</v>
      </c>
      <c r="C18" s="23"/>
      <c r="D18" s="23">
        <f t="shared" ref="D18:M18" si="1">D14*D16</f>
        <v>5.8146431415432502</v>
      </c>
      <c r="E18" s="23">
        <f t="shared" si="1"/>
        <v>11.252350906543496</v>
      </c>
      <c r="F18" s="23"/>
      <c r="G18" s="23">
        <f t="shared" si="1"/>
        <v>6154.9012588615296</v>
      </c>
      <c r="H18" s="23">
        <f t="shared" si="1"/>
        <v>1236.846484722395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3.8281464337729211E-5</v>
      </c>
      <c r="C50" s="311">
        <f t="shared" ref="C50:P50" si="2">SUM(C51:C52)</f>
        <v>0</v>
      </c>
      <c r="D50" s="311">
        <f t="shared" si="2"/>
        <v>0</v>
      </c>
      <c r="E50" s="311">
        <f t="shared" si="2"/>
        <v>0</v>
      </c>
      <c r="F50" s="311">
        <f t="shared" si="2"/>
        <v>0</v>
      </c>
      <c r="G50" s="311">
        <f t="shared" si="2"/>
        <v>3.5961636631771424E-3</v>
      </c>
      <c r="H50" s="311">
        <f t="shared" si="2"/>
        <v>0</v>
      </c>
      <c r="I50" s="311">
        <f t="shared" si="2"/>
        <v>0</v>
      </c>
      <c r="J50" s="311">
        <f t="shared" si="2"/>
        <v>0</v>
      </c>
      <c r="K50" s="311">
        <f t="shared" si="2"/>
        <v>0</v>
      </c>
      <c r="L50" s="311">
        <f t="shared" si="2"/>
        <v>0</v>
      </c>
      <c r="M50" s="311">
        <f t="shared" si="2"/>
        <v>2.0709226793655896E-4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3.8281464337729211E-5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3.5961636631771424E-3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2.0709226793655896E-4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10.633740093813669</v>
      </c>
      <c r="C54" s="21">
        <f t="shared" ref="C54:P54" si="3">(C50)*10^9/3600</f>
        <v>0</v>
      </c>
      <c r="D54" s="21">
        <f t="shared" si="3"/>
        <v>0</v>
      </c>
      <c r="E54" s="21">
        <f t="shared" si="3"/>
        <v>0</v>
      </c>
      <c r="F54" s="21">
        <f t="shared" si="3"/>
        <v>0</v>
      </c>
      <c r="G54" s="21">
        <f t="shared" si="3"/>
        <v>998.93435088253955</v>
      </c>
      <c r="H54" s="21">
        <f t="shared" si="3"/>
        <v>0</v>
      </c>
      <c r="I54" s="21">
        <f t="shared" si="3"/>
        <v>0</v>
      </c>
      <c r="J54" s="21">
        <f t="shared" si="3"/>
        <v>0</v>
      </c>
      <c r="K54" s="21">
        <f t="shared" si="3"/>
        <v>0</v>
      </c>
      <c r="L54" s="21">
        <f t="shared" si="3"/>
        <v>0</v>
      </c>
      <c r="M54" s="21">
        <f t="shared" si="3"/>
        <v>57.525629982377488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0.22327763210074558</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2.3742763085214764</v>
      </c>
      <c r="C58" s="23">
        <f t="shared" ref="C58:P58" ca="1" si="4">C54*C56</f>
        <v>0</v>
      </c>
      <c r="D58" s="23">
        <f t="shared" si="4"/>
        <v>0</v>
      </c>
      <c r="E58" s="23">
        <f t="shared" si="4"/>
        <v>0</v>
      </c>
      <c r="F58" s="23">
        <f t="shared" si="4"/>
        <v>0</v>
      </c>
      <c r="G58" s="23">
        <f t="shared" si="4"/>
        <v>266.71547168563808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770.28201090189236</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14022</v>
      </c>
      <c r="C8" s="534">
        <f>B48</f>
        <v>16496.470588235294</v>
      </c>
      <c r="D8" s="962"/>
      <c r="E8" s="962">
        <f>E48</f>
        <v>0</v>
      </c>
      <c r="F8" s="963"/>
      <c r="G8" s="535"/>
      <c r="H8" s="962">
        <f>I48</f>
        <v>0</v>
      </c>
      <c r="I8" s="962">
        <f>G48+F48</f>
        <v>0</v>
      </c>
      <c r="J8" s="962">
        <f>H48+D48+C48</f>
        <v>0</v>
      </c>
      <c r="K8" s="962"/>
      <c r="L8" s="962"/>
      <c r="M8" s="962"/>
      <c r="N8" s="536"/>
      <c r="O8" s="537">
        <f>C8*$C$12+D8*$D$12+E8*$E$12+F8*$F$12+G8*$G$12+H8*$H$12+I8*$I$12+J8*$J$12</f>
        <v>3332.2870588235296</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14792.282010901892</v>
      </c>
      <c r="C10" s="547">
        <f t="shared" ref="C10:L10" si="0">SUM(C8:C9)</f>
        <v>16496.470588235294</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3332.2870588235296</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20031.428571428572</v>
      </c>
      <c r="C17" s="559">
        <f>B49</f>
        <v>23566.386554621851</v>
      </c>
      <c r="D17" s="560"/>
      <c r="E17" s="560">
        <f>E49</f>
        <v>0</v>
      </c>
      <c r="F17" s="968"/>
      <c r="G17" s="561"/>
      <c r="H17" s="559">
        <f>I49</f>
        <v>0</v>
      </c>
      <c r="I17" s="560">
        <f>G49+F49</f>
        <v>0</v>
      </c>
      <c r="J17" s="560">
        <f>H49+D49+C49</f>
        <v>0</v>
      </c>
      <c r="K17" s="560"/>
      <c r="L17" s="560"/>
      <c r="M17" s="560"/>
      <c r="N17" s="969"/>
      <c r="O17" s="562">
        <f>C17*$C$22+E17*$E$22+H17*$H$22+I17*$I$22+J17*$J$22+D17*$D$22+F17*$F$22+G17*$G$22+K17*$K$22+L17*$L$22</f>
        <v>4760.4100840336141</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20031.428571428572</v>
      </c>
      <c r="C20" s="546">
        <f>SUM(C17:C19)</f>
        <v>23566.386554621851</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4760.4100840336141</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11007</v>
      </c>
      <c r="C28" s="724">
        <v>2150</v>
      </c>
      <c r="D28" s="617"/>
      <c r="E28" s="616"/>
      <c r="F28" s="616"/>
      <c r="G28" s="616" t="s">
        <v>878</v>
      </c>
      <c r="H28" s="616" t="s">
        <v>879</v>
      </c>
      <c r="I28" s="616"/>
      <c r="J28" s="723"/>
      <c r="K28" s="723"/>
      <c r="L28" s="616" t="s">
        <v>880</v>
      </c>
      <c r="M28" s="616">
        <v>3116</v>
      </c>
      <c r="N28" s="616">
        <v>14022</v>
      </c>
      <c r="O28" s="616">
        <v>20031.428571428572</v>
      </c>
      <c r="P28" s="616">
        <v>40062.857142857145</v>
      </c>
      <c r="Q28" s="616">
        <v>0</v>
      </c>
      <c r="R28" s="616">
        <v>0</v>
      </c>
      <c r="S28" s="616">
        <v>0</v>
      </c>
      <c r="T28" s="616">
        <v>0</v>
      </c>
      <c r="U28" s="616">
        <v>0</v>
      </c>
      <c r="V28" s="616">
        <v>0</v>
      </c>
      <c r="W28" s="616">
        <v>0</v>
      </c>
      <c r="X28" s="616"/>
      <c r="Y28" s="616">
        <v>10</v>
      </c>
      <c r="Z28" s="616" t="s">
        <v>105</v>
      </c>
      <c r="AA28" s="618" t="s">
        <v>105</v>
      </c>
    </row>
    <row r="29" spans="1:27" s="554" customFormat="1" hidden="1">
      <c r="A29" s="572" t="s">
        <v>268</v>
      </c>
      <c r="B29" s="573"/>
      <c r="C29" s="573"/>
      <c r="D29" s="573"/>
      <c r="E29" s="573"/>
      <c r="F29" s="573"/>
      <c r="G29" s="573"/>
      <c r="H29" s="573"/>
      <c r="I29" s="573"/>
      <c r="J29" s="573"/>
      <c r="K29" s="573"/>
      <c r="L29" s="574"/>
      <c r="M29" s="574">
        <f>SUM(M28:M28)</f>
        <v>3116</v>
      </c>
      <c r="N29" s="574">
        <f>SUM(N28:N28)</f>
        <v>14022</v>
      </c>
      <c r="O29" s="574">
        <f>SUM(O28:O28)</f>
        <v>20031.428571428572</v>
      </c>
      <c r="P29" s="574">
        <f>SUM(P28:P28)</f>
        <v>40062.857142857145</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3116</v>
      </c>
      <c r="N32" s="579">
        <f>SUMIF($AA$28:$AA$28,"landbouw",N28:N28)</f>
        <v>14022</v>
      </c>
      <c r="O32" s="579">
        <f>SUMIF($AA$28:$AA$28,"landbouw",O28:O28)</f>
        <v>20031.428571428572</v>
      </c>
      <c r="P32" s="579">
        <f>SUMIF($AA$28:$AA$28,"landbouw",P28:P28)</f>
        <v>40062.857142857145</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16496.470588235294</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23566.386554621851</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10093.960079077557</v>
      </c>
      <c r="D10" s="931">
        <f ca="1">tertiair!C16</f>
        <v>0</v>
      </c>
      <c r="E10" s="931">
        <f ca="1">tertiair!D16</f>
        <v>10886.767293736917</v>
      </c>
      <c r="F10" s="931">
        <f>tertiair!E16</f>
        <v>181.38993086420732</v>
      </c>
      <c r="G10" s="931">
        <f ca="1">tertiair!F16</f>
        <v>1329.2545799951858</v>
      </c>
      <c r="H10" s="931">
        <f>tertiair!G16</f>
        <v>0</v>
      </c>
      <c r="I10" s="931">
        <f>tertiair!H16</f>
        <v>0</v>
      </c>
      <c r="J10" s="931">
        <f>tertiair!I16</f>
        <v>0</v>
      </c>
      <c r="K10" s="931">
        <f>tertiair!J16</f>
        <v>6.3455493347931782E-3</v>
      </c>
      <c r="L10" s="931">
        <f>tertiair!K16</f>
        <v>0</v>
      </c>
      <c r="M10" s="931">
        <f ca="1">tertiair!L16</f>
        <v>0</v>
      </c>
      <c r="N10" s="931">
        <f>tertiair!M16</f>
        <v>0</v>
      </c>
      <c r="O10" s="931">
        <f ca="1">tertiair!N16</f>
        <v>273.33609624857212</v>
      </c>
      <c r="P10" s="931">
        <f>tertiair!O16</f>
        <v>0</v>
      </c>
      <c r="Q10" s="932">
        <f>tertiair!P16</f>
        <v>0</v>
      </c>
      <c r="R10" s="628">
        <f ca="1">SUM(C10:Q10)</f>
        <v>22764.71432547177</v>
      </c>
      <c r="S10" s="67"/>
    </row>
    <row r="11" spans="1:19" s="437" customFormat="1">
      <c r="A11" s="736" t="s">
        <v>213</v>
      </c>
      <c r="B11" s="741"/>
      <c r="C11" s="931">
        <f>huishoudens!B8</f>
        <v>14976.433594629192</v>
      </c>
      <c r="D11" s="931">
        <f>huishoudens!C8</f>
        <v>0</v>
      </c>
      <c r="E11" s="931">
        <f>huishoudens!D8</f>
        <v>51916.59819252701</v>
      </c>
      <c r="F11" s="931">
        <f>huishoudens!E8</f>
        <v>399.29605831869662</v>
      </c>
      <c r="G11" s="931">
        <f>huishoudens!F8</f>
        <v>9255.3719730251269</v>
      </c>
      <c r="H11" s="931">
        <f>huishoudens!G8</f>
        <v>0</v>
      </c>
      <c r="I11" s="931">
        <f>huishoudens!H8</f>
        <v>0</v>
      </c>
      <c r="J11" s="931">
        <f>huishoudens!I8</f>
        <v>0</v>
      </c>
      <c r="K11" s="931">
        <f>huishoudens!J8</f>
        <v>47.564459261234688</v>
      </c>
      <c r="L11" s="931">
        <f>huishoudens!K8</f>
        <v>0</v>
      </c>
      <c r="M11" s="931">
        <f>huishoudens!L8</f>
        <v>0</v>
      </c>
      <c r="N11" s="931">
        <f>huishoudens!M8</f>
        <v>0</v>
      </c>
      <c r="O11" s="931">
        <f>huishoudens!N8</f>
        <v>5583.4318468461706</v>
      </c>
      <c r="P11" s="931">
        <f>huishoudens!O8</f>
        <v>50.026666666666671</v>
      </c>
      <c r="Q11" s="932">
        <f>huishoudens!P8</f>
        <v>76.266666666666666</v>
      </c>
      <c r="R11" s="628">
        <f>SUM(C11:Q11)</f>
        <v>82304.98945794077</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2049.7371871348332</v>
      </c>
      <c r="D13" s="931">
        <f>industrie!C18</f>
        <v>0</v>
      </c>
      <c r="E13" s="931">
        <f>industrie!D18</f>
        <v>963.16697248527532</v>
      </c>
      <c r="F13" s="931">
        <f>industrie!E18</f>
        <v>62.814738651008994</v>
      </c>
      <c r="G13" s="931">
        <f>industrie!F18</f>
        <v>609.39564841461083</v>
      </c>
      <c r="H13" s="931">
        <f>industrie!G18</f>
        <v>0</v>
      </c>
      <c r="I13" s="931">
        <f>industrie!H18</f>
        <v>0</v>
      </c>
      <c r="J13" s="931">
        <f>industrie!I18</f>
        <v>0</v>
      </c>
      <c r="K13" s="931">
        <f>industrie!J18</f>
        <v>3.8114499711477969</v>
      </c>
      <c r="L13" s="931">
        <f>industrie!K18</f>
        <v>0</v>
      </c>
      <c r="M13" s="931">
        <f>industrie!L18</f>
        <v>0</v>
      </c>
      <c r="N13" s="931">
        <f>industrie!M18</f>
        <v>0</v>
      </c>
      <c r="O13" s="931">
        <f>industrie!N18</f>
        <v>66.205404305907791</v>
      </c>
      <c r="P13" s="931">
        <f>industrie!O18</f>
        <v>0</v>
      </c>
      <c r="Q13" s="932">
        <f>industrie!P18</f>
        <v>0</v>
      </c>
      <c r="R13" s="628">
        <f>SUM(C13:Q13)</f>
        <v>3755.1314009627845</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27120.130860841582</v>
      </c>
      <c r="D16" s="660">
        <f t="shared" ref="D16:R16" ca="1" si="0">SUM(D9:D15)</f>
        <v>0</v>
      </c>
      <c r="E16" s="660">
        <f t="shared" ca="1" si="0"/>
        <v>63766.5324587492</v>
      </c>
      <c r="F16" s="660">
        <f t="shared" si="0"/>
        <v>643.50072783391295</v>
      </c>
      <c r="G16" s="660">
        <f t="shared" ca="1" si="0"/>
        <v>11194.022201434924</v>
      </c>
      <c r="H16" s="660">
        <f t="shared" si="0"/>
        <v>0</v>
      </c>
      <c r="I16" s="660">
        <f t="shared" si="0"/>
        <v>0</v>
      </c>
      <c r="J16" s="660">
        <f t="shared" si="0"/>
        <v>0</v>
      </c>
      <c r="K16" s="660">
        <f t="shared" si="0"/>
        <v>51.382254781717279</v>
      </c>
      <c r="L16" s="660">
        <f t="shared" si="0"/>
        <v>0</v>
      </c>
      <c r="M16" s="660">
        <f t="shared" ca="1" si="0"/>
        <v>0</v>
      </c>
      <c r="N16" s="660">
        <f t="shared" si="0"/>
        <v>0</v>
      </c>
      <c r="O16" s="660">
        <f t="shared" ca="1" si="0"/>
        <v>5922.9733474006507</v>
      </c>
      <c r="P16" s="660">
        <f t="shared" si="0"/>
        <v>50.026666666666671</v>
      </c>
      <c r="Q16" s="660">
        <f t="shared" si="0"/>
        <v>76.266666666666666</v>
      </c>
      <c r="R16" s="660">
        <f t="shared" ca="1" si="0"/>
        <v>108824.83518437532</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10.633740093813669</v>
      </c>
      <c r="D19" s="931">
        <f>transport!C54</f>
        <v>0</v>
      </c>
      <c r="E19" s="931">
        <f>transport!D54</f>
        <v>0</v>
      </c>
      <c r="F19" s="931">
        <f>transport!E54</f>
        <v>0</v>
      </c>
      <c r="G19" s="931">
        <f>transport!F54</f>
        <v>0</v>
      </c>
      <c r="H19" s="931">
        <f>transport!G54</f>
        <v>998.93435088253955</v>
      </c>
      <c r="I19" s="931">
        <f>transport!H54</f>
        <v>0</v>
      </c>
      <c r="J19" s="931">
        <f>transport!I54</f>
        <v>0</v>
      </c>
      <c r="K19" s="931">
        <f>transport!J54</f>
        <v>0</v>
      </c>
      <c r="L19" s="931">
        <f>transport!K54</f>
        <v>0</v>
      </c>
      <c r="M19" s="931">
        <f>transport!L54</f>
        <v>0</v>
      </c>
      <c r="N19" s="931">
        <f>transport!M54</f>
        <v>57.525629982377488</v>
      </c>
      <c r="O19" s="931">
        <f>transport!N54</f>
        <v>0</v>
      </c>
      <c r="P19" s="931">
        <f>transport!O54</f>
        <v>0</v>
      </c>
      <c r="Q19" s="932">
        <f>transport!P54</f>
        <v>0</v>
      </c>
      <c r="R19" s="628">
        <f>SUM(C19:Q19)</f>
        <v>1067.0937209587307</v>
      </c>
      <c r="S19" s="67"/>
    </row>
    <row r="20" spans="1:19" s="437" customFormat="1">
      <c r="A20" s="736" t="s">
        <v>295</v>
      </c>
      <c r="B20" s="741"/>
      <c r="C20" s="931">
        <f>transport!B14</f>
        <v>16.523177326181223</v>
      </c>
      <c r="D20" s="931">
        <f>transport!C14</f>
        <v>0</v>
      </c>
      <c r="E20" s="931">
        <f>transport!D14</f>
        <v>28.785362086847773</v>
      </c>
      <c r="F20" s="931">
        <f>transport!E14</f>
        <v>49.569827782129934</v>
      </c>
      <c r="G20" s="931">
        <f>transport!F14</f>
        <v>0</v>
      </c>
      <c r="H20" s="931">
        <f>transport!G14</f>
        <v>23052.064639930821</v>
      </c>
      <c r="I20" s="931">
        <f>transport!H14</f>
        <v>4967.2549587244775</v>
      </c>
      <c r="J20" s="931">
        <f>transport!I14</f>
        <v>0</v>
      </c>
      <c r="K20" s="931">
        <f>transport!J14</f>
        <v>0</v>
      </c>
      <c r="L20" s="931">
        <f>transport!K14</f>
        <v>0</v>
      </c>
      <c r="M20" s="931">
        <f>transport!L14</f>
        <v>0</v>
      </c>
      <c r="N20" s="931">
        <f>transport!M14</f>
        <v>1493.0644716919478</v>
      </c>
      <c r="O20" s="931">
        <f>transport!N14</f>
        <v>0</v>
      </c>
      <c r="P20" s="931">
        <f>transport!O14</f>
        <v>0</v>
      </c>
      <c r="Q20" s="932">
        <f>transport!P14</f>
        <v>0</v>
      </c>
      <c r="R20" s="628">
        <f>SUM(C20:Q20)</f>
        <v>29607.262437542406</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27.15691741999489</v>
      </c>
      <c r="D22" s="739">
        <f t="shared" ref="D22:R22" si="1">SUM(D18:D21)</f>
        <v>0</v>
      </c>
      <c r="E22" s="739">
        <f t="shared" si="1"/>
        <v>28.785362086847773</v>
      </c>
      <c r="F22" s="739">
        <f t="shared" si="1"/>
        <v>49.569827782129934</v>
      </c>
      <c r="G22" s="739">
        <f t="shared" si="1"/>
        <v>0</v>
      </c>
      <c r="H22" s="739">
        <f t="shared" si="1"/>
        <v>24050.998990813361</v>
      </c>
      <c r="I22" s="739">
        <f t="shared" si="1"/>
        <v>4967.2549587244775</v>
      </c>
      <c r="J22" s="739">
        <f t="shared" si="1"/>
        <v>0</v>
      </c>
      <c r="K22" s="739">
        <f t="shared" si="1"/>
        <v>0</v>
      </c>
      <c r="L22" s="739">
        <f t="shared" si="1"/>
        <v>0</v>
      </c>
      <c r="M22" s="739">
        <f t="shared" si="1"/>
        <v>0</v>
      </c>
      <c r="N22" s="739">
        <f t="shared" si="1"/>
        <v>1550.5901016743253</v>
      </c>
      <c r="O22" s="739">
        <f t="shared" si="1"/>
        <v>0</v>
      </c>
      <c r="P22" s="739">
        <f t="shared" si="1"/>
        <v>0</v>
      </c>
      <c r="Q22" s="739">
        <f t="shared" si="1"/>
        <v>0</v>
      </c>
      <c r="R22" s="739">
        <f t="shared" si="1"/>
        <v>30674.356158501138</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233.15532520049499</v>
      </c>
      <c r="D24" s="931">
        <f>+landbouw!C8</f>
        <v>20031.428571428572</v>
      </c>
      <c r="E24" s="931">
        <f>+landbouw!D8</f>
        <v>0</v>
      </c>
      <c r="F24" s="931">
        <f>+landbouw!E8</f>
        <v>7.5666567459637619</v>
      </c>
      <c r="G24" s="931">
        <f>+landbouw!F8</f>
        <v>860.15523774304393</v>
      </c>
      <c r="H24" s="931">
        <f>+landbouw!G8</f>
        <v>0</v>
      </c>
      <c r="I24" s="931">
        <f>+landbouw!H8</f>
        <v>0</v>
      </c>
      <c r="J24" s="931">
        <f>+landbouw!I8</f>
        <v>0</v>
      </c>
      <c r="K24" s="931">
        <f>+landbouw!J8</f>
        <v>61.317440010741166</v>
      </c>
      <c r="L24" s="931">
        <f>+landbouw!K8</f>
        <v>0</v>
      </c>
      <c r="M24" s="931">
        <f>+landbouw!L8</f>
        <v>0</v>
      </c>
      <c r="N24" s="931">
        <f>+landbouw!M8</f>
        <v>0</v>
      </c>
      <c r="O24" s="931">
        <f>+landbouw!N8</f>
        <v>0</v>
      </c>
      <c r="P24" s="931">
        <f>+landbouw!O8</f>
        <v>0</v>
      </c>
      <c r="Q24" s="932">
        <f>+landbouw!P8</f>
        <v>0</v>
      </c>
      <c r="R24" s="628">
        <f>SUM(C24:Q24)</f>
        <v>21193.623231128819</v>
      </c>
      <c r="S24" s="67"/>
    </row>
    <row r="25" spans="1:19" s="437" customFormat="1" ht="15" thickBot="1">
      <c r="A25" s="758" t="s">
        <v>775</v>
      </c>
      <c r="B25" s="934"/>
      <c r="C25" s="935">
        <f>IF(Onbekend_ele_kWh="---",0,Onbekend_ele_kWh)/1000+IF(REST_rest_ele_kWh="---",0,REST_rest_ele_kWh)/1000</f>
        <v>364.48303870358001</v>
      </c>
      <c r="D25" s="935"/>
      <c r="E25" s="935">
        <f>IF(onbekend_gas_kWh="---",0,onbekend_gas_kWh)/1000+IF(REST_rest_gas_kWh="---",0,REST_rest_gas_kWh)/1000</f>
        <v>1187.3993943139301</v>
      </c>
      <c r="F25" s="935"/>
      <c r="G25" s="935"/>
      <c r="H25" s="935"/>
      <c r="I25" s="935"/>
      <c r="J25" s="935"/>
      <c r="K25" s="935"/>
      <c r="L25" s="935"/>
      <c r="M25" s="935"/>
      <c r="N25" s="935"/>
      <c r="O25" s="935"/>
      <c r="P25" s="935"/>
      <c r="Q25" s="936"/>
      <c r="R25" s="628">
        <f>SUM(C25:Q25)</f>
        <v>1551.88243301751</v>
      </c>
      <c r="S25" s="67"/>
    </row>
    <row r="26" spans="1:19" s="437" customFormat="1" ht="15.75" thickBot="1">
      <c r="A26" s="633" t="s">
        <v>776</v>
      </c>
      <c r="B26" s="744"/>
      <c r="C26" s="739">
        <f>SUM(C24:C25)</f>
        <v>597.63836390407505</v>
      </c>
      <c r="D26" s="739">
        <f t="shared" ref="D26:R26" si="2">SUM(D24:D25)</f>
        <v>20031.428571428572</v>
      </c>
      <c r="E26" s="739">
        <f t="shared" si="2"/>
        <v>1187.3993943139301</v>
      </c>
      <c r="F26" s="739">
        <f t="shared" si="2"/>
        <v>7.5666567459637619</v>
      </c>
      <c r="G26" s="739">
        <f t="shared" si="2"/>
        <v>860.15523774304393</v>
      </c>
      <c r="H26" s="739">
        <f t="shared" si="2"/>
        <v>0</v>
      </c>
      <c r="I26" s="739">
        <f t="shared" si="2"/>
        <v>0</v>
      </c>
      <c r="J26" s="739">
        <f t="shared" si="2"/>
        <v>0</v>
      </c>
      <c r="K26" s="739">
        <f t="shared" si="2"/>
        <v>61.317440010741166</v>
      </c>
      <c r="L26" s="739">
        <f t="shared" si="2"/>
        <v>0</v>
      </c>
      <c r="M26" s="739">
        <f t="shared" si="2"/>
        <v>0</v>
      </c>
      <c r="N26" s="739">
        <f t="shared" si="2"/>
        <v>0</v>
      </c>
      <c r="O26" s="739">
        <f t="shared" si="2"/>
        <v>0</v>
      </c>
      <c r="P26" s="739">
        <f t="shared" si="2"/>
        <v>0</v>
      </c>
      <c r="Q26" s="739">
        <f t="shared" si="2"/>
        <v>0</v>
      </c>
      <c r="R26" s="739">
        <f t="shared" si="2"/>
        <v>22745.505664146327</v>
      </c>
      <c r="S26" s="67"/>
    </row>
    <row r="27" spans="1:19" s="437" customFormat="1" ht="17.25" thickTop="1" thickBot="1">
      <c r="A27" s="634" t="s">
        <v>109</v>
      </c>
      <c r="B27" s="732"/>
      <c r="C27" s="635">
        <f ca="1">C22+C16+C26</f>
        <v>27744.926142165652</v>
      </c>
      <c r="D27" s="635">
        <f t="shared" ref="D27:R27" ca="1" si="3">D22+D16+D26</f>
        <v>20031.428571428572</v>
      </c>
      <c r="E27" s="635">
        <f t="shared" ca="1" si="3"/>
        <v>64982.717215149976</v>
      </c>
      <c r="F27" s="635">
        <f t="shared" si="3"/>
        <v>700.63721236200661</v>
      </c>
      <c r="G27" s="635">
        <f t="shared" ca="1" si="3"/>
        <v>12054.177439177967</v>
      </c>
      <c r="H27" s="635">
        <f t="shared" si="3"/>
        <v>24050.998990813361</v>
      </c>
      <c r="I27" s="635">
        <f t="shared" si="3"/>
        <v>4967.2549587244775</v>
      </c>
      <c r="J27" s="635">
        <f t="shared" si="3"/>
        <v>0</v>
      </c>
      <c r="K27" s="635">
        <f t="shared" si="3"/>
        <v>112.69969479245844</v>
      </c>
      <c r="L27" s="635">
        <f t="shared" si="3"/>
        <v>0</v>
      </c>
      <c r="M27" s="635">
        <f t="shared" ca="1" si="3"/>
        <v>0</v>
      </c>
      <c r="N27" s="635">
        <f t="shared" si="3"/>
        <v>1550.5901016743253</v>
      </c>
      <c r="O27" s="635">
        <f t="shared" ca="1" si="3"/>
        <v>5922.9733474006507</v>
      </c>
      <c r="P27" s="635">
        <f t="shared" si="3"/>
        <v>50.026666666666671</v>
      </c>
      <c r="Q27" s="635">
        <f t="shared" si="3"/>
        <v>76.266666666666666</v>
      </c>
      <c r="R27" s="635">
        <f t="shared" ca="1" si="3"/>
        <v>162244.6970070228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2253.7555049758917</v>
      </c>
      <c r="D40" s="931">
        <f ca="1">tertiair!C20</f>
        <v>0</v>
      </c>
      <c r="E40" s="931">
        <f ca="1">tertiair!D20</f>
        <v>2199.1269933348572</v>
      </c>
      <c r="F40" s="931">
        <f>tertiair!E20</f>
        <v>41.17551430617506</v>
      </c>
      <c r="G40" s="931">
        <f ca="1">tertiair!F20</f>
        <v>354.91097285871462</v>
      </c>
      <c r="H40" s="931">
        <f>tertiair!G20</f>
        <v>0</v>
      </c>
      <c r="I40" s="931">
        <f>tertiair!H20</f>
        <v>0</v>
      </c>
      <c r="J40" s="931">
        <f>tertiair!I20</f>
        <v>0</v>
      </c>
      <c r="K40" s="931">
        <f>tertiair!J20</f>
        <v>2.2463244645167849E-3</v>
      </c>
      <c r="L40" s="931">
        <f>tertiair!K20</f>
        <v>0</v>
      </c>
      <c r="M40" s="931">
        <f ca="1">tertiair!L20</f>
        <v>0</v>
      </c>
      <c r="N40" s="931">
        <f>tertiair!M20</f>
        <v>0</v>
      </c>
      <c r="O40" s="931">
        <f ca="1">tertiair!N20</f>
        <v>0</v>
      </c>
      <c r="P40" s="931">
        <f>tertiair!O20</f>
        <v>0</v>
      </c>
      <c r="Q40" s="702">
        <f>tertiair!P20</f>
        <v>0</v>
      </c>
      <c r="R40" s="777">
        <f t="shared" ca="1" si="4"/>
        <v>4848.9712318001029</v>
      </c>
    </row>
    <row r="41" spans="1:18">
      <c r="A41" s="749" t="s">
        <v>213</v>
      </c>
      <c r="B41" s="756"/>
      <c r="C41" s="931">
        <f ca="1">huishoudens!B12</f>
        <v>3343.9026303228634</v>
      </c>
      <c r="D41" s="931">
        <f ca="1">huishoudens!C12</f>
        <v>0</v>
      </c>
      <c r="E41" s="931">
        <f>huishoudens!D12</f>
        <v>10487.152834890456</v>
      </c>
      <c r="F41" s="931">
        <f>huishoudens!E12</f>
        <v>90.640205238344137</v>
      </c>
      <c r="G41" s="931">
        <f>huishoudens!F12</f>
        <v>2471.184316797709</v>
      </c>
      <c r="H41" s="931">
        <f>huishoudens!G12</f>
        <v>0</v>
      </c>
      <c r="I41" s="931">
        <f>huishoudens!H12</f>
        <v>0</v>
      </c>
      <c r="J41" s="931">
        <f>huishoudens!I12</f>
        <v>0</v>
      </c>
      <c r="K41" s="931">
        <f>huishoudens!J12</f>
        <v>16.83781857847708</v>
      </c>
      <c r="L41" s="931">
        <f>huishoudens!K12</f>
        <v>0</v>
      </c>
      <c r="M41" s="931">
        <f>huishoudens!L12</f>
        <v>0</v>
      </c>
      <c r="N41" s="931">
        <f>huishoudens!M12</f>
        <v>0</v>
      </c>
      <c r="O41" s="931">
        <f>huishoudens!N12</f>
        <v>0</v>
      </c>
      <c r="P41" s="931">
        <f>huishoudens!O12</f>
        <v>0</v>
      </c>
      <c r="Q41" s="702">
        <f>huishoudens!P12</f>
        <v>0</v>
      </c>
      <c r="R41" s="777">
        <f t="shared" ca="1" si="4"/>
        <v>16409.717805827851</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457.6604655723084</v>
      </c>
      <c r="D43" s="931">
        <f ca="1">industrie!C22</f>
        <v>0</v>
      </c>
      <c r="E43" s="931">
        <f>industrie!D22</f>
        <v>194.55972844202563</v>
      </c>
      <c r="F43" s="931">
        <f>industrie!E22</f>
        <v>14.258945673779042</v>
      </c>
      <c r="G43" s="931">
        <f>industrie!F22</f>
        <v>162.70863812670109</v>
      </c>
      <c r="H43" s="931">
        <f>industrie!G22</f>
        <v>0</v>
      </c>
      <c r="I43" s="931">
        <f>industrie!H22</f>
        <v>0</v>
      </c>
      <c r="J43" s="931">
        <f>industrie!I22</f>
        <v>0</v>
      </c>
      <c r="K43" s="931">
        <f>industrie!J22</f>
        <v>1.3492532897863201</v>
      </c>
      <c r="L43" s="931">
        <f>industrie!K22</f>
        <v>0</v>
      </c>
      <c r="M43" s="931">
        <f>industrie!L22</f>
        <v>0</v>
      </c>
      <c r="N43" s="931">
        <f>industrie!M22</f>
        <v>0</v>
      </c>
      <c r="O43" s="931">
        <f>industrie!N22</f>
        <v>0</v>
      </c>
      <c r="P43" s="931">
        <f>industrie!O22</f>
        <v>0</v>
      </c>
      <c r="Q43" s="702">
        <f>industrie!P22</f>
        <v>0</v>
      </c>
      <c r="R43" s="776">
        <f t="shared" ca="1" si="4"/>
        <v>830.5370311046006</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6055.3186008710636</v>
      </c>
      <c r="D46" s="660">
        <f t="shared" ref="D46:Q46" ca="1" si="5">SUM(D39:D45)</f>
        <v>0</v>
      </c>
      <c r="E46" s="660">
        <f t="shared" ca="1" si="5"/>
        <v>12880.839556667339</v>
      </c>
      <c r="F46" s="660">
        <f t="shared" si="5"/>
        <v>146.07466521829824</v>
      </c>
      <c r="G46" s="660">
        <f t="shared" ca="1" si="5"/>
        <v>2988.8039277831249</v>
      </c>
      <c r="H46" s="660">
        <f t="shared" si="5"/>
        <v>0</v>
      </c>
      <c r="I46" s="660">
        <f t="shared" si="5"/>
        <v>0</v>
      </c>
      <c r="J46" s="660">
        <f t="shared" si="5"/>
        <v>0</v>
      </c>
      <c r="K46" s="660">
        <f t="shared" si="5"/>
        <v>18.189318192727914</v>
      </c>
      <c r="L46" s="660">
        <f t="shared" si="5"/>
        <v>0</v>
      </c>
      <c r="M46" s="660">
        <f t="shared" ca="1" si="5"/>
        <v>0</v>
      </c>
      <c r="N46" s="660">
        <f t="shared" si="5"/>
        <v>0</v>
      </c>
      <c r="O46" s="660">
        <f t="shared" ca="1" si="5"/>
        <v>0</v>
      </c>
      <c r="P46" s="660">
        <f t="shared" si="5"/>
        <v>0</v>
      </c>
      <c r="Q46" s="660">
        <f t="shared" si="5"/>
        <v>0</v>
      </c>
      <c r="R46" s="660">
        <f ca="1">SUM(R39:R45)</f>
        <v>22089.226068732554</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2.3742763085214764</v>
      </c>
      <c r="D49" s="931">
        <f ca="1">transport!C58</f>
        <v>0</v>
      </c>
      <c r="E49" s="931">
        <f>transport!D58</f>
        <v>0</v>
      </c>
      <c r="F49" s="931">
        <f>transport!E58</f>
        <v>0</v>
      </c>
      <c r="G49" s="931">
        <f>transport!F58</f>
        <v>0</v>
      </c>
      <c r="H49" s="931">
        <f>transport!G58</f>
        <v>266.71547168563808</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269.08974799415955</v>
      </c>
    </row>
    <row r="50" spans="1:18">
      <c r="A50" s="752" t="s">
        <v>295</v>
      </c>
      <c r="B50" s="762"/>
      <c r="C50" s="631">
        <f ca="1">transport!B18</f>
        <v>3.6892559081704723</v>
      </c>
      <c r="D50" s="631">
        <f>transport!C18</f>
        <v>0</v>
      </c>
      <c r="E50" s="631">
        <f>transport!D18</f>
        <v>5.8146431415432502</v>
      </c>
      <c r="F50" s="631">
        <f>transport!E18</f>
        <v>11.252350906543496</v>
      </c>
      <c r="G50" s="631">
        <f>transport!F18</f>
        <v>0</v>
      </c>
      <c r="H50" s="631">
        <f>transport!G18</f>
        <v>6154.9012588615296</v>
      </c>
      <c r="I50" s="631">
        <f>transport!H18</f>
        <v>1236.846484722395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7412.5039935401819</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6.0635322166919483</v>
      </c>
      <c r="D52" s="660">
        <f t="shared" ref="D52:Q52" ca="1" si="6">SUM(D48:D51)</f>
        <v>0</v>
      </c>
      <c r="E52" s="660">
        <f t="shared" si="6"/>
        <v>5.8146431415432502</v>
      </c>
      <c r="F52" s="660">
        <f t="shared" si="6"/>
        <v>11.252350906543496</v>
      </c>
      <c r="G52" s="660">
        <f t="shared" si="6"/>
        <v>0</v>
      </c>
      <c r="H52" s="660">
        <f t="shared" si="6"/>
        <v>6421.6167305471681</v>
      </c>
      <c r="I52" s="660">
        <f t="shared" si="6"/>
        <v>1236.846484722395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7681.5937415343415</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52.058368922445815</v>
      </c>
      <c r="D54" s="631">
        <f ca="1">+landbouw!C12</f>
        <v>4760.4100840336141</v>
      </c>
      <c r="E54" s="631">
        <f>+landbouw!D12</f>
        <v>0</v>
      </c>
      <c r="F54" s="631">
        <f>+landbouw!E12</f>
        <v>1.7176310813337741</v>
      </c>
      <c r="G54" s="631">
        <f>+landbouw!F12</f>
        <v>229.66144847739275</v>
      </c>
      <c r="H54" s="631">
        <f>+landbouw!G12</f>
        <v>0</v>
      </c>
      <c r="I54" s="631">
        <f>+landbouw!H12</f>
        <v>0</v>
      </c>
      <c r="J54" s="631">
        <f>+landbouw!I12</f>
        <v>0</v>
      </c>
      <c r="K54" s="631">
        <f>+landbouw!J12</f>
        <v>21.706373763802372</v>
      </c>
      <c r="L54" s="631">
        <f>+landbouw!K12</f>
        <v>0</v>
      </c>
      <c r="M54" s="631">
        <f>+landbouw!L12</f>
        <v>0</v>
      </c>
      <c r="N54" s="631">
        <f>+landbouw!M12</f>
        <v>0</v>
      </c>
      <c r="O54" s="631">
        <f>+landbouw!N12</f>
        <v>0</v>
      </c>
      <c r="P54" s="631">
        <f>+landbouw!O12</f>
        <v>0</v>
      </c>
      <c r="Q54" s="632">
        <f>+landbouw!P12</f>
        <v>0</v>
      </c>
      <c r="R54" s="659">
        <f ca="1">SUM(C54:Q54)</f>
        <v>5065.5539062785892</v>
      </c>
    </row>
    <row r="55" spans="1:18" ht="15" thickBot="1">
      <c r="A55" s="752" t="s">
        <v>775</v>
      </c>
      <c r="B55" s="762"/>
      <c r="C55" s="631">
        <f ca="1">C25*'EF ele_warmte'!B12</f>
        <v>81.380909822619756</v>
      </c>
      <c r="D55" s="631"/>
      <c r="E55" s="631">
        <f>E25*EF_CO2_aardgas</f>
        <v>239.85467765141388</v>
      </c>
      <c r="F55" s="631"/>
      <c r="G55" s="631"/>
      <c r="H55" s="631"/>
      <c r="I55" s="631"/>
      <c r="J55" s="631"/>
      <c r="K55" s="631"/>
      <c r="L55" s="631"/>
      <c r="M55" s="631"/>
      <c r="N55" s="631"/>
      <c r="O55" s="631"/>
      <c r="P55" s="631"/>
      <c r="Q55" s="632"/>
      <c r="R55" s="659">
        <f ca="1">SUM(C55:Q55)</f>
        <v>321.23558747403365</v>
      </c>
    </row>
    <row r="56" spans="1:18" ht="15.75" thickBot="1">
      <c r="A56" s="750" t="s">
        <v>776</v>
      </c>
      <c r="B56" s="763"/>
      <c r="C56" s="660">
        <f ca="1">SUM(C54:C55)</f>
        <v>133.43927874506556</v>
      </c>
      <c r="D56" s="660">
        <f t="shared" ref="D56:Q56" ca="1" si="7">SUM(D54:D55)</f>
        <v>4760.4100840336141</v>
      </c>
      <c r="E56" s="660">
        <f t="shared" si="7"/>
        <v>239.85467765141388</v>
      </c>
      <c r="F56" s="660">
        <f t="shared" si="7"/>
        <v>1.7176310813337741</v>
      </c>
      <c r="G56" s="660">
        <f t="shared" si="7"/>
        <v>229.66144847739275</v>
      </c>
      <c r="H56" s="660">
        <f t="shared" si="7"/>
        <v>0</v>
      </c>
      <c r="I56" s="660">
        <f t="shared" si="7"/>
        <v>0</v>
      </c>
      <c r="J56" s="660">
        <f t="shared" si="7"/>
        <v>0</v>
      </c>
      <c r="K56" s="660">
        <f t="shared" si="7"/>
        <v>21.706373763802372</v>
      </c>
      <c r="L56" s="660">
        <f t="shared" si="7"/>
        <v>0</v>
      </c>
      <c r="M56" s="660">
        <f t="shared" si="7"/>
        <v>0</v>
      </c>
      <c r="N56" s="660">
        <f t="shared" si="7"/>
        <v>0</v>
      </c>
      <c r="O56" s="660">
        <f t="shared" si="7"/>
        <v>0</v>
      </c>
      <c r="P56" s="660">
        <f t="shared" si="7"/>
        <v>0</v>
      </c>
      <c r="Q56" s="661">
        <f t="shared" si="7"/>
        <v>0</v>
      </c>
      <c r="R56" s="662">
        <f ca="1">SUM(R54:R55)</f>
        <v>5386.7894937526225</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6194.8214118328206</v>
      </c>
      <c r="D61" s="668">
        <f t="shared" ref="D61:Q61" ca="1" si="8">D46+D52+D56</f>
        <v>4760.4100840336141</v>
      </c>
      <c r="E61" s="668">
        <f t="shared" ca="1" si="8"/>
        <v>13126.508877460295</v>
      </c>
      <c r="F61" s="668">
        <f t="shared" si="8"/>
        <v>159.04464720617548</v>
      </c>
      <c r="G61" s="668">
        <f t="shared" ca="1" si="8"/>
        <v>3218.4653762605176</v>
      </c>
      <c r="H61" s="668">
        <f t="shared" si="8"/>
        <v>6421.6167305471681</v>
      </c>
      <c r="I61" s="668">
        <f t="shared" si="8"/>
        <v>1236.846484722395</v>
      </c>
      <c r="J61" s="668">
        <f t="shared" si="8"/>
        <v>0</v>
      </c>
      <c r="K61" s="668">
        <f t="shared" si="8"/>
        <v>39.895691956530285</v>
      </c>
      <c r="L61" s="668">
        <f t="shared" si="8"/>
        <v>0</v>
      </c>
      <c r="M61" s="668">
        <f t="shared" ca="1" si="8"/>
        <v>0</v>
      </c>
      <c r="N61" s="668">
        <f t="shared" si="8"/>
        <v>0</v>
      </c>
      <c r="O61" s="668">
        <f t="shared" ca="1" si="8"/>
        <v>0</v>
      </c>
      <c r="P61" s="668">
        <f t="shared" si="8"/>
        <v>0</v>
      </c>
      <c r="Q61" s="668">
        <f t="shared" si="8"/>
        <v>0</v>
      </c>
      <c r="R61" s="668">
        <f ca="1">R46+R52+R56</f>
        <v>35157.609304019519</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0.22327763210074558</v>
      </c>
      <c r="D63" s="709">
        <f t="shared" ca="1" si="9"/>
        <v>0.23764705882352943</v>
      </c>
      <c r="E63" s="942">
        <f t="shared" ca="1" si="9"/>
        <v>0.20200000000000001</v>
      </c>
      <c r="F63" s="709">
        <f t="shared" si="9"/>
        <v>0.22699999999999998</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770.28201090189236</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14022</v>
      </c>
      <c r="D76" s="952">
        <f>'lokale energieproductie'!C8</f>
        <v>16496.470588235294</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3332.2870588235296</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770.28201090189236</v>
      </c>
      <c r="C78" s="683">
        <f>SUM(C72:C77)</f>
        <v>14022</v>
      </c>
      <c r="D78" s="684">
        <f t="shared" ref="D78:H78" si="10">SUM(D76:D77)</f>
        <v>16496.470588235294</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3332.2870588235296</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20031.428571428572</v>
      </c>
      <c r="D87" s="705">
        <f>'lokale energieproductie'!C17</f>
        <v>23566.386554621851</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4760.4100840336141</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20031.428571428572</v>
      </c>
      <c r="D90" s="683">
        <f t="shared" ref="D90:H90" si="12">SUM(D87:D89)</f>
        <v>23566.386554621851</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4760.4100840336141</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14976.433594629192</v>
      </c>
      <c r="C4" s="441">
        <f>huishoudens!C8</f>
        <v>0</v>
      </c>
      <c r="D4" s="441">
        <f>huishoudens!D8</f>
        <v>51916.59819252701</v>
      </c>
      <c r="E4" s="441">
        <f>huishoudens!E8</f>
        <v>399.29605831869662</v>
      </c>
      <c r="F4" s="441">
        <f>huishoudens!F8</f>
        <v>9255.3719730251269</v>
      </c>
      <c r="G4" s="441">
        <f>huishoudens!G8</f>
        <v>0</v>
      </c>
      <c r="H4" s="441">
        <f>huishoudens!H8</f>
        <v>0</v>
      </c>
      <c r="I4" s="441">
        <f>huishoudens!I8</f>
        <v>0</v>
      </c>
      <c r="J4" s="441">
        <f>huishoudens!J8</f>
        <v>47.564459261234688</v>
      </c>
      <c r="K4" s="441">
        <f>huishoudens!K8</f>
        <v>0</v>
      </c>
      <c r="L4" s="441">
        <f>huishoudens!L8</f>
        <v>0</v>
      </c>
      <c r="M4" s="441">
        <f>huishoudens!M8</f>
        <v>0</v>
      </c>
      <c r="N4" s="441">
        <f>huishoudens!N8</f>
        <v>5583.4318468461706</v>
      </c>
      <c r="O4" s="441">
        <f>huishoudens!O8</f>
        <v>50.026666666666671</v>
      </c>
      <c r="P4" s="442">
        <f>huishoudens!P8</f>
        <v>76.266666666666666</v>
      </c>
      <c r="Q4" s="443">
        <f>SUM(B4:P4)</f>
        <v>82304.98945794077</v>
      </c>
    </row>
    <row r="5" spans="1:17">
      <c r="A5" s="440" t="s">
        <v>149</v>
      </c>
      <c r="B5" s="441">
        <f ca="1">tertiair!B16</f>
        <v>9618.8070790775564</v>
      </c>
      <c r="C5" s="441">
        <f ca="1">tertiair!C16</f>
        <v>0</v>
      </c>
      <c r="D5" s="441">
        <f ca="1">tertiair!D16</f>
        <v>10886.767293736917</v>
      </c>
      <c r="E5" s="441">
        <f>tertiair!E16</f>
        <v>181.38993086420732</v>
      </c>
      <c r="F5" s="441">
        <f ca="1">tertiair!F16</f>
        <v>1329.2545799951858</v>
      </c>
      <c r="G5" s="441">
        <f>tertiair!G16</f>
        <v>0</v>
      </c>
      <c r="H5" s="441">
        <f>tertiair!H16</f>
        <v>0</v>
      </c>
      <c r="I5" s="441">
        <f>tertiair!I16</f>
        <v>0</v>
      </c>
      <c r="J5" s="441">
        <f>tertiair!J16</f>
        <v>6.3455493347931782E-3</v>
      </c>
      <c r="K5" s="441">
        <f>tertiair!K16</f>
        <v>0</v>
      </c>
      <c r="L5" s="441">
        <f ca="1">tertiair!L16</f>
        <v>0</v>
      </c>
      <c r="M5" s="441">
        <f>tertiair!M16</f>
        <v>0</v>
      </c>
      <c r="N5" s="441">
        <f ca="1">tertiair!N16</f>
        <v>273.33609624857212</v>
      </c>
      <c r="O5" s="441">
        <f>tertiair!O16</f>
        <v>0</v>
      </c>
      <c r="P5" s="442">
        <f>tertiair!P16</f>
        <v>0</v>
      </c>
      <c r="Q5" s="440">
        <f t="shared" ref="Q5:Q14" ca="1" si="0">SUM(B5:P5)</f>
        <v>22289.561325471772</v>
      </c>
    </row>
    <row r="6" spans="1:17">
      <c r="A6" s="440" t="s">
        <v>187</v>
      </c>
      <c r="B6" s="441">
        <f>'openbare verlichting'!B8</f>
        <v>475.15300000000002</v>
      </c>
      <c r="C6" s="441"/>
      <c r="D6" s="441"/>
      <c r="E6" s="441"/>
      <c r="F6" s="441"/>
      <c r="G6" s="441"/>
      <c r="H6" s="441"/>
      <c r="I6" s="441"/>
      <c r="J6" s="441"/>
      <c r="K6" s="441"/>
      <c r="L6" s="441"/>
      <c r="M6" s="441"/>
      <c r="N6" s="441"/>
      <c r="O6" s="441"/>
      <c r="P6" s="442"/>
      <c r="Q6" s="440">
        <f t="shared" si="0"/>
        <v>475.15300000000002</v>
      </c>
    </row>
    <row r="7" spans="1:17">
      <c r="A7" s="440" t="s">
        <v>105</v>
      </c>
      <c r="B7" s="441">
        <f>landbouw!B8</f>
        <v>233.15532520049499</v>
      </c>
      <c r="C7" s="441">
        <f>landbouw!C8</f>
        <v>20031.428571428572</v>
      </c>
      <c r="D7" s="441">
        <f>landbouw!D8</f>
        <v>0</v>
      </c>
      <c r="E7" s="441">
        <f>landbouw!E8</f>
        <v>7.5666567459637619</v>
      </c>
      <c r="F7" s="441">
        <f>landbouw!F8</f>
        <v>860.15523774304393</v>
      </c>
      <c r="G7" s="441">
        <f>landbouw!G8</f>
        <v>0</v>
      </c>
      <c r="H7" s="441">
        <f>landbouw!H8</f>
        <v>0</v>
      </c>
      <c r="I7" s="441">
        <f>landbouw!I8</f>
        <v>0</v>
      </c>
      <c r="J7" s="441">
        <f>landbouw!J8</f>
        <v>61.317440010741166</v>
      </c>
      <c r="K7" s="441">
        <f>landbouw!K8</f>
        <v>0</v>
      </c>
      <c r="L7" s="441">
        <f>landbouw!L8</f>
        <v>0</v>
      </c>
      <c r="M7" s="441">
        <f>landbouw!M8</f>
        <v>0</v>
      </c>
      <c r="N7" s="441">
        <f>landbouw!N8</f>
        <v>0</v>
      </c>
      <c r="O7" s="441">
        <f>landbouw!O8</f>
        <v>0</v>
      </c>
      <c r="P7" s="442">
        <f>landbouw!P8</f>
        <v>0</v>
      </c>
      <c r="Q7" s="440">
        <f t="shared" si="0"/>
        <v>21193.623231128819</v>
      </c>
    </row>
    <row r="8" spans="1:17">
      <c r="A8" s="440" t="s">
        <v>596</v>
      </c>
      <c r="B8" s="441">
        <f>industrie!B18</f>
        <v>2049.7371871348332</v>
      </c>
      <c r="C8" s="441">
        <f>industrie!C18</f>
        <v>0</v>
      </c>
      <c r="D8" s="441">
        <f>industrie!D18</f>
        <v>963.16697248527532</v>
      </c>
      <c r="E8" s="441">
        <f>industrie!E18</f>
        <v>62.814738651008994</v>
      </c>
      <c r="F8" s="441">
        <f>industrie!F18</f>
        <v>609.39564841461083</v>
      </c>
      <c r="G8" s="441">
        <f>industrie!G18</f>
        <v>0</v>
      </c>
      <c r="H8" s="441">
        <f>industrie!H18</f>
        <v>0</v>
      </c>
      <c r="I8" s="441">
        <f>industrie!I18</f>
        <v>0</v>
      </c>
      <c r="J8" s="441">
        <f>industrie!J18</f>
        <v>3.8114499711477969</v>
      </c>
      <c r="K8" s="441">
        <f>industrie!K18</f>
        <v>0</v>
      </c>
      <c r="L8" s="441">
        <f>industrie!L18</f>
        <v>0</v>
      </c>
      <c r="M8" s="441">
        <f>industrie!M18</f>
        <v>0</v>
      </c>
      <c r="N8" s="441">
        <f>industrie!N18</f>
        <v>66.205404305907791</v>
      </c>
      <c r="O8" s="441">
        <f>industrie!O18</f>
        <v>0</v>
      </c>
      <c r="P8" s="442">
        <f>industrie!P18</f>
        <v>0</v>
      </c>
      <c r="Q8" s="440">
        <f t="shared" si="0"/>
        <v>3755.1314009627845</v>
      </c>
    </row>
    <row r="9" spans="1:17" s="446" customFormat="1">
      <c r="A9" s="444" t="s">
        <v>545</v>
      </c>
      <c r="B9" s="445">
        <f>transport!B14</f>
        <v>16.523177326181223</v>
      </c>
      <c r="C9" s="445">
        <f>transport!C14</f>
        <v>0</v>
      </c>
      <c r="D9" s="445">
        <f>transport!D14</f>
        <v>28.785362086847773</v>
      </c>
      <c r="E9" s="445">
        <f>transport!E14</f>
        <v>49.569827782129934</v>
      </c>
      <c r="F9" s="445">
        <f>transport!F14</f>
        <v>0</v>
      </c>
      <c r="G9" s="445">
        <f>transport!G14</f>
        <v>23052.064639930821</v>
      </c>
      <c r="H9" s="445">
        <f>transport!H14</f>
        <v>4967.2549587244775</v>
      </c>
      <c r="I9" s="445">
        <f>transport!I14</f>
        <v>0</v>
      </c>
      <c r="J9" s="445">
        <f>transport!J14</f>
        <v>0</v>
      </c>
      <c r="K9" s="445">
        <f>transport!K14</f>
        <v>0</v>
      </c>
      <c r="L9" s="445">
        <f>transport!L14</f>
        <v>0</v>
      </c>
      <c r="M9" s="445">
        <f>transport!M14</f>
        <v>1493.0644716919478</v>
      </c>
      <c r="N9" s="445">
        <f>transport!N14</f>
        <v>0</v>
      </c>
      <c r="O9" s="445">
        <f>transport!O14</f>
        <v>0</v>
      </c>
      <c r="P9" s="445">
        <f>transport!P14</f>
        <v>0</v>
      </c>
      <c r="Q9" s="444">
        <f>SUM(B9:P9)</f>
        <v>29607.262437542406</v>
      </c>
    </row>
    <row r="10" spans="1:17">
      <c r="A10" s="440" t="s">
        <v>535</v>
      </c>
      <c r="B10" s="441">
        <f>transport!B54</f>
        <v>10.633740093813669</v>
      </c>
      <c r="C10" s="441">
        <f>transport!C54</f>
        <v>0</v>
      </c>
      <c r="D10" s="441">
        <f>transport!D54</f>
        <v>0</v>
      </c>
      <c r="E10" s="441">
        <f>transport!E54</f>
        <v>0</v>
      </c>
      <c r="F10" s="441">
        <f>transport!F54</f>
        <v>0</v>
      </c>
      <c r="G10" s="441">
        <f>transport!G54</f>
        <v>998.93435088253955</v>
      </c>
      <c r="H10" s="441">
        <f>transport!H54</f>
        <v>0</v>
      </c>
      <c r="I10" s="441">
        <f>transport!I54</f>
        <v>0</v>
      </c>
      <c r="J10" s="441">
        <f>transport!J54</f>
        <v>0</v>
      </c>
      <c r="K10" s="441">
        <f>transport!K54</f>
        <v>0</v>
      </c>
      <c r="L10" s="441">
        <f>transport!L54</f>
        <v>0</v>
      </c>
      <c r="M10" s="441">
        <f>transport!M54</f>
        <v>57.525629982377488</v>
      </c>
      <c r="N10" s="441">
        <f>transport!N54</f>
        <v>0</v>
      </c>
      <c r="O10" s="441">
        <f>transport!O54</f>
        <v>0</v>
      </c>
      <c r="P10" s="442">
        <f>transport!P54</f>
        <v>0</v>
      </c>
      <c r="Q10" s="440">
        <f t="shared" si="0"/>
        <v>1067.0937209587307</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364.48303870358001</v>
      </c>
      <c r="C14" s="448"/>
      <c r="D14" s="448">
        <f>'SEAP template'!E25</f>
        <v>1187.3993943139301</v>
      </c>
      <c r="E14" s="448"/>
      <c r="F14" s="448"/>
      <c r="G14" s="448"/>
      <c r="H14" s="448"/>
      <c r="I14" s="448"/>
      <c r="J14" s="448"/>
      <c r="K14" s="448"/>
      <c r="L14" s="448"/>
      <c r="M14" s="448"/>
      <c r="N14" s="448"/>
      <c r="O14" s="448"/>
      <c r="P14" s="449"/>
      <c r="Q14" s="440">
        <f t="shared" si="0"/>
        <v>1551.88243301751</v>
      </c>
    </row>
    <row r="15" spans="1:17" s="450" customFormat="1">
      <c r="A15" s="957" t="s">
        <v>539</v>
      </c>
      <c r="B15" s="905">
        <f ca="1">SUM(B4:B14)</f>
        <v>27744.926142165652</v>
      </c>
      <c r="C15" s="905">
        <f t="shared" ref="C15:Q15" ca="1" si="1">SUM(C4:C14)</f>
        <v>20031.428571428572</v>
      </c>
      <c r="D15" s="905">
        <f t="shared" ca="1" si="1"/>
        <v>64982.717215149976</v>
      </c>
      <c r="E15" s="905">
        <f t="shared" si="1"/>
        <v>700.63721236200661</v>
      </c>
      <c r="F15" s="905">
        <f t="shared" ca="1" si="1"/>
        <v>12054.177439177967</v>
      </c>
      <c r="G15" s="905">
        <f t="shared" si="1"/>
        <v>24050.998990813361</v>
      </c>
      <c r="H15" s="905">
        <f t="shared" si="1"/>
        <v>4967.2549587244775</v>
      </c>
      <c r="I15" s="905">
        <f t="shared" si="1"/>
        <v>0</v>
      </c>
      <c r="J15" s="905">
        <f t="shared" si="1"/>
        <v>112.69969479245844</v>
      </c>
      <c r="K15" s="905">
        <f t="shared" si="1"/>
        <v>0</v>
      </c>
      <c r="L15" s="905">
        <f t="shared" ca="1" si="1"/>
        <v>0</v>
      </c>
      <c r="M15" s="905">
        <f t="shared" si="1"/>
        <v>1550.5901016743253</v>
      </c>
      <c r="N15" s="905">
        <f t="shared" ca="1" si="1"/>
        <v>5922.9733474006507</v>
      </c>
      <c r="O15" s="905">
        <f t="shared" si="1"/>
        <v>50.026666666666671</v>
      </c>
      <c r="P15" s="905">
        <f t="shared" si="1"/>
        <v>76.266666666666666</v>
      </c>
      <c r="Q15" s="905">
        <f t="shared" ca="1" si="1"/>
        <v>162244.69700702283</v>
      </c>
    </row>
    <row r="17" spans="1:17">
      <c r="A17" s="451" t="s">
        <v>540</v>
      </c>
      <c r="B17" s="714">
        <f ca="1">huishoudens!B10</f>
        <v>0.22327763210074558</v>
      </c>
      <c r="C17" s="714">
        <f ca="1">huishoudens!C10</f>
        <v>0.23764705882352943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3343.9026303228634</v>
      </c>
      <c r="C22" s="441">
        <f t="shared" ref="C22:C32" ca="1" si="3">C4*$C$17</f>
        <v>0</v>
      </c>
      <c r="D22" s="441">
        <f t="shared" ref="D22:D32" si="4">D4*$D$17</f>
        <v>10487.152834890456</v>
      </c>
      <c r="E22" s="441">
        <f t="shared" ref="E22:E32" si="5">E4*$E$17</f>
        <v>90.640205238344137</v>
      </c>
      <c r="F22" s="441">
        <f t="shared" ref="F22:F32" si="6">F4*$F$17</f>
        <v>2471.184316797709</v>
      </c>
      <c r="G22" s="441">
        <f t="shared" ref="G22:G32" si="7">G4*$G$17</f>
        <v>0</v>
      </c>
      <c r="H22" s="441">
        <f t="shared" ref="H22:H32" si="8">H4*$H$17</f>
        <v>0</v>
      </c>
      <c r="I22" s="441">
        <f t="shared" ref="I22:I32" si="9">I4*$I$17</f>
        <v>0</v>
      </c>
      <c r="J22" s="441">
        <f t="shared" ref="J22:J32" si="10">J4*$J$17</f>
        <v>16.83781857847708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16409.717805827851</v>
      </c>
    </row>
    <row r="23" spans="1:17">
      <c r="A23" s="440" t="s">
        <v>149</v>
      </c>
      <c r="B23" s="441">
        <f t="shared" ca="1" si="2"/>
        <v>2147.6644682503261</v>
      </c>
      <c r="C23" s="441">
        <f t="shared" ca="1" si="3"/>
        <v>0</v>
      </c>
      <c r="D23" s="441">
        <f t="shared" ca="1" si="4"/>
        <v>2199.1269933348572</v>
      </c>
      <c r="E23" s="441">
        <f t="shared" si="5"/>
        <v>41.17551430617506</v>
      </c>
      <c r="F23" s="441">
        <f t="shared" ca="1" si="6"/>
        <v>354.91097285871462</v>
      </c>
      <c r="G23" s="441">
        <f t="shared" si="7"/>
        <v>0</v>
      </c>
      <c r="H23" s="441">
        <f t="shared" si="8"/>
        <v>0</v>
      </c>
      <c r="I23" s="441">
        <f t="shared" si="9"/>
        <v>0</v>
      </c>
      <c r="J23" s="441">
        <f t="shared" si="10"/>
        <v>2.2463244645167849E-3</v>
      </c>
      <c r="K23" s="441">
        <f t="shared" si="11"/>
        <v>0</v>
      </c>
      <c r="L23" s="441">
        <f t="shared" ca="1" si="12"/>
        <v>0</v>
      </c>
      <c r="M23" s="441">
        <f t="shared" si="13"/>
        <v>0</v>
      </c>
      <c r="N23" s="441">
        <f t="shared" ca="1" si="14"/>
        <v>0</v>
      </c>
      <c r="O23" s="441">
        <f t="shared" si="15"/>
        <v>0</v>
      </c>
      <c r="P23" s="442">
        <f t="shared" si="16"/>
        <v>0</v>
      </c>
      <c r="Q23" s="440">
        <f t="shared" ref="Q23:Q32" ca="1" si="17">SUM(B23:P23)</f>
        <v>4742.8801950745374</v>
      </c>
    </row>
    <row r="24" spans="1:17">
      <c r="A24" s="440" t="s">
        <v>187</v>
      </c>
      <c r="B24" s="441">
        <f t="shared" ca="1" si="2"/>
        <v>106.09103672556557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106.09103672556557</v>
      </c>
    </row>
    <row r="25" spans="1:17">
      <c r="A25" s="440" t="s">
        <v>105</v>
      </c>
      <c r="B25" s="441">
        <f t="shared" ca="1" si="2"/>
        <v>52.058368922445815</v>
      </c>
      <c r="C25" s="441">
        <f t="shared" ca="1" si="3"/>
        <v>4760.4100840336141</v>
      </c>
      <c r="D25" s="441">
        <f t="shared" si="4"/>
        <v>0</v>
      </c>
      <c r="E25" s="441">
        <f t="shared" si="5"/>
        <v>1.7176310813337741</v>
      </c>
      <c r="F25" s="441">
        <f t="shared" si="6"/>
        <v>229.66144847739275</v>
      </c>
      <c r="G25" s="441">
        <f t="shared" si="7"/>
        <v>0</v>
      </c>
      <c r="H25" s="441">
        <f t="shared" si="8"/>
        <v>0</v>
      </c>
      <c r="I25" s="441">
        <f t="shared" si="9"/>
        <v>0</v>
      </c>
      <c r="J25" s="441">
        <f t="shared" si="10"/>
        <v>21.706373763802372</v>
      </c>
      <c r="K25" s="441">
        <f t="shared" si="11"/>
        <v>0</v>
      </c>
      <c r="L25" s="441">
        <f t="shared" si="12"/>
        <v>0</v>
      </c>
      <c r="M25" s="441">
        <f t="shared" si="13"/>
        <v>0</v>
      </c>
      <c r="N25" s="441">
        <f t="shared" si="14"/>
        <v>0</v>
      </c>
      <c r="O25" s="441">
        <f t="shared" si="15"/>
        <v>0</v>
      </c>
      <c r="P25" s="442">
        <f t="shared" si="16"/>
        <v>0</v>
      </c>
      <c r="Q25" s="440">
        <f t="shared" ca="1" si="17"/>
        <v>5065.5539062785892</v>
      </c>
    </row>
    <row r="26" spans="1:17">
      <c r="A26" s="440" t="s">
        <v>596</v>
      </c>
      <c r="B26" s="441">
        <f t="shared" ca="1" si="2"/>
        <v>457.6604655723084</v>
      </c>
      <c r="C26" s="441">
        <f t="shared" ca="1" si="3"/>
        <v>0</v>
      </c>
      <c r="D26" s="441">
        <f t="shared" si="4"/>
        <v>194.55972844202563</v>
      </c>
      <c r="E26" s="441">
        <f t="shared" si="5"/>
        <v>14.258945673779042</v>
      </c>
      <c r="F26" s="441">
        <f t="shared" si="6"/>
        <v>162.70863812670109</v>
      </c>
      <c r="G26" s="441">
        <f t="shared" si="7"/>
        <v>0</v>
      </c>
      <c r="H26" s="441">
        <f t="shared" si="8"/>
        <v>0</v>
      </c>
      <c r="I26" s="441">
        <f t="shared" si="9"/>
        <v>0</v>
      </c>
      <c r="J26" s="441">
        <f t="shared" si="10"/>
        <v>1.3492532897863201</v>
      </c>
      <c r="K26" s="441">
        <f t="shared" si="11"/>
        <v>0</v>
      </c>
      <c r="L26" s="441">
        <f t="shared" si="12"/>
        <v>0</v>
      </c>
      <c r="M26" s="441">
        <f t="shared" si="13"/>
        <v>0</v>
      </c>
      <c r="N26" s="441">
        <f t="shared" si="14"/>
        <v>0</v>
      </c>
      <c r="O26" s="441">
        <f t="shared" si="15"/>
        <v>0</v>
      </c>
      <c r="P26" s="442">
        <f t="shared" si="16"/>
        <v>0</v>
      </c>
      <c r="Q26" s="440">
        <f t="shared" ca="1" si="17"/>
        <v>830.5370311046006</v>
      </c>
    </row>
    <row r="27" spans="1:17" s="446" customFormat="1">
      <c r="A27" s="444" t="s">
        <v>545</v>
      </c>
      <c r="B27" s="708">
        <f t="shared" ca="1" si="2"/>
        <v>3.6892559081704723</v>
      </c>
      <c r="C27" s="445">
        <f t="shared" ca="1" si="3"/>
        <v>0</v>
      </c>
      <c r="D27" s="445">
        <f t="shared" si="4"/>
        <v>5.8146431415432502</v>
      </c>
      <c r="E27" s="445">
        <f t="shared" si="5"/>
        <v>11.252350906543496</v>
      </c>
      <c r="F27" s="445">
        <f t="shared" si="6"/>
        <v>0</v>
      </c>
      <c r="G27" s="445">
        <f t="shared" si="7"/>
        <v>6154.9012588615296</v>
      </c>
      <c r="H27" s="445">
        <f t="shared" si="8"/>
        <v>1236.846484722395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7412.5039935401819</v>
      </c>
    </row>
    <row r="28" spans="1:17">
      <c r="A28" s="440" t="s">
        <v>535</v>
      </c>
      <c r="B28" s="441">
        <f t="shared" ca="1" si="2"/>
        <v>2.3742763085214764</v>
      </c>
      <c r="C28" s="441">
        <f t="shared" ca="1" si="3"/>
        <v>0</v>
      </c>
      <c r="D28" s="441">
        <f t="shared" si="4"/>
        <v>0</v>
      </c>
      <c r="E28" s="441">
        <f t="shared" si="5"/>
        <v>0</v>
      </c>
      <c r="F28" s="441">
        <f t="shared" si="6"/>
        <v>0</v>
      </c>
      <c r="G28" s="441">
        <f t="shared" si="7"/>
        <v>266.71547168563808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269.08974799415955</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81.380909822619756</v>
      </c>
      <c r="C32" s="441">
        <f t="shared" ca="1" si="3"/>
        <v>0</v>
      </c>
      <c r="D32" s="441">
        <f t="shared" si="4"/>
        <v>239.85467765141388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321.23558747403365</v>
      </c>
    </row>
    <row r="33" spans="1:17" s="450" customFormat="1">
      <c r="A33" s="957" t="s">
        <v>539</v>
      </c>
      <c r="B33" s="905">
        <f ca="1">SUM(B22:B32)</f>
        <v>6194.8214118328215</v>
      </c>
      <c r="C33" s="905">
        <f t="shared" ref="C33:Q33" ca="1" si="18">SUM(C22:C32)</f>
        <v>4760.4100840336141</v>
      </c>
      <c r="D33" s="905">
        <f t="shared" ca="1" si="18"/>
        <v>13126.508877460295</v>
      </c>
      <c r="E33" s="905">
        <f t="shared" si="18"/>
        <v>159.04464720617548</v>
      </c>
      <c r="F33" s="905">
        <f t="shared" ca="1" si="18"/>
        <v>3218.4653762605176</v>
      </c>
      <c r="G33" s="905">
        <f t="shared" si="18"/>
        <v>6421.6167305471681</v>
      </c>
      <c r="H33" s="905">
        <f t="shared" si="18"/>
        <v>1236.846484722395</v>
      </c>
      <c r="I33" s="905">
        <f t="shared" si="18"/>
        <v>0</v>
      </c>
      <c r="J33" s="905">
        <f t="shared" si="18"/>
        <v>39.895691956530285</v>
      </c>
      <c r="K33" s="905">
        <f t="shared" si="18"/>
        <v>0</v>
      </c>
      <c r="L33" s="905">
        <f t="shared" ca="1" si="18"/>
        <v>0</v>
      </c>
      <c r="M33" s="905">
        <f t="shared" si="18"/>
        <v>0</v>
      </c>
      <c r="N33" s="905">
        <f t="shared" ca="1" si="18"/>
        <v>0</v>
      </c>
      <c r="O33" s="905">
        <f t="shared" si="18"/>
        <v>0</v>
      </c>
      <c r="P33" s="905">
        <f t="shared" si="18"/>
        <v>0</v>
      </c>
      <c r="Q33" s="905">
        <f t="shared" ca="1" si="18"/>
        <v>35157.609304019512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770.28201090189236</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14022</v>
      </c>
      <c r="D8" s="974">
        <f>'SEAP template'!D76</f>
        <v>16496.470588235294</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3332.2870588235296</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770.28201090189236</v>
      </c>
      <c r="C10" s="978">
        <f>SUM(C4:C9)</f>
        <v>14022</v>
      </c>
      <c r="D10" s="978">
        <f t="shared" ref="D10:H10" si="0">SUM(D8:D9)</f>
        <v>16496.470588235294</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3332.2870588235296</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0.22327763210074558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20031.428571428572</v>
      </c>
      <c r="D17" s="975">
        <f>'SEAP template'!D87</f>
        <v>23566.386554621851</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4760.4100840336141</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20031.428571428572</v>
      </c>
      <c r="D20" s="978">
        <f t="shared" ref="D20:H20" si="2">SUM(D17:D19)</f>
        <v>23566.386554621851</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4760.4100840336141</v>
      </c>
    </row>
    <row r="22" spans="1:16">
      <c r="A22" s="451" t="s">
        <v>800</v>
      </c>
      <c r="B22" s="714" t="s">
        <v>794</v>
      </c>
      <c r="C22" s="714">
        <f ca="1">'EF ele_warmte'!B22</f>
        <v>0.23764705882352943</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0.22327763210074558</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2022-07-26T10:29:35Z</dcterms:modified>
</cp:coreProperties>
</file>