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03C2F19-DC73-4DCB-A946-0CECB579754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<sst xmlns="http://schemas.openxmlformats.org/spreadsheetml/2006/main" count="2416" uniqueCount="890">
  <si>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</si>
  <si>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</si>
  <si>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</si>
  <si>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</si>
  <si>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</si>
  <si>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</si>
  <si>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</si>
  <si>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</si>
  <si>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</si>
  <si>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</si>
  <si>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</si>
  <si>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</si>
  <si>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</si>
  <si>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</si>
  <si>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</si>
  <si>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</si>
  <si>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</si>
  <si>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</si>
  <si>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</si>
  <si>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</si>
  <si>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</si>
  <si>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</si>
  <si>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</si>
  <si>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</si>
  <si>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</si>
  <si>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</si>
  <si>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</si>
  <si>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</si>
  <si>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</si>
  <si>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</si>
  <si>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</si>
  <si>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</si>
  <si>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</si>
  <si>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</si>
  <si>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</si>
  <si>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</si>
  <si>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</si>
  <si>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</si>
  <si>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</si>
  <si>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</si>
  <si>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</si>
  <si>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</si>
  <si>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</si>
  <si>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</si>
  <si>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</si>
  <si>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</si>
  <si>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</si>
  <si>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</si>
  <si>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</si>
  <si>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</si>
  <si>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</si>
  <si>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</si>
  <si>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</si>
  <si>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</si>
  <si>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</si>
  <si>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</si>
  <si>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</si>
  <si>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</si>
  <si>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</si>
  <si>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</si>
  <si>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</si>
  <si>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</si>
  <si>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</si>
  <si>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</si>
  <si>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</si>
  <si>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</si>
  <si>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</si>
  <si>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</si>
  <si>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</si>
  <si>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</si>
  <si>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</si>
  <si>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</si>
  <si>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</si>
  <si>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</si>
  <si>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</si>
  <si>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</si>
  <si>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</si>
  <si>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</si>
  <si>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</si>
  <si>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</si>
  <si>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</si>
  <si>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</si>
  <si>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</si>
  <si>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</si>
  <si>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</si>
  <si>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</si>
  <si>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</si>
  <si>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</si>
  <si>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</si>
  <si>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</si>
  <si>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</si>
  <si>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</si>
  <si>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</si>
  <si>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</si>
  <si>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</si>
  <si>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</si>
  <si>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</si>
  <si>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</si>
  <si>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</si>
  <si>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</si>
  <si>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</si>
  <si>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</si>
  <si>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</si>
  <si>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</si>
  <si>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</si>
  <si>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</si>
  <si>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</si>
  <si>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</si>
  <si>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</si>
  <si>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</si>
  <si>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</si>
  <si>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</si>
  <si>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</si>
  <si>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</si>
  <si>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</si>
  <si>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</si>
  <si>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</si>
  <si>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</si>
  <si>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</si>
  <si>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</si>
  <si>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</si>
  <si>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</si>
  <si>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</si>
  <si>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</si>
  <si>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</si>
  <si>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</si>
  <si>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</si>
  <si>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</si>
  <si>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</si>
  <si>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</si>
  <si>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</si>
  <si>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</si>
  <si>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</si>
  <si>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</si>
  <si>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</si>
  <si>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</si>
  <si>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</si>
  <si>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</si>
  <si>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</si>
  <si>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</si>
  <si>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</si>
  <si>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</si>
  <si>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</si>
  <si>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</si>
  <si>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</si>
  <si>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</si>
  <si>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</si>
  <si>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</si>
  <si>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</si>
  <si>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</si>
  <si>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</si>
  <si>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</si>
  <si>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</si>
  <si>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</si>
  <si>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</si>
  <si>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</si>
  <si>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</si>
  <si>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</si>
  <si>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</si>
  <si>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</si>
  <si>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</si>
  <si>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</si>
  <si>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</si>
  <si>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</si>
  <si>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</si>
  <si>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</si>
  <si>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</si>
  <si>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</si>
  <si>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</si>
  <si>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</si>
  <si>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</si>
  <si>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</si>
  <si>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</si>
  <si>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</si>
  <si>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</si>
  <si>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</si>
  <si>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</si>
  <si>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</si>
  <si>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</si>
  <si>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</si>
  <si>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</si>
  <si>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</si>
  <si>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</si>
  <si>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</si>
  <si>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</si>
  <si>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</si>
  <si>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</si>
  <si>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</si>
  <si>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</si>
  <si>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</si>
  <si>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</si>
  <si>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</si>
  <si>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</si>
  <si>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</si>
  <si>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</si>
  <si>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</si>
  <si>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</si>
  <si>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</si>
  <si>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</si>
  <si>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</si>
  <si>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</si>
  <si>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</si>
  <si>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</si>
  <si>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</si>
  <si>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</si>
  <si>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</si>
  <si>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</si>
  <si>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</si>
  <si>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</si>
  <si>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</si>
  <si>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</si>
  <si>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</si>
  <si>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</si>
  <si>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</si>
  <si>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</si>
  <si>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</si>
  <si>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</si>
  <si>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</si>
  <si>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</si>
  <si>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</si>
  <si>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</si>
  <si>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</si>
  <si>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</si>
  <si>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</si>
  <si>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</si>
  <si>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</si>
  <si>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</si>
  <si>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</si>
  <si>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</si>
  <si>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</si>
  <si>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</si>
  <si>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</si>
  <si>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</si>
  <si>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</si>
  <si>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</si>
  <si>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</si>
  <si>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</si>
  <si>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</si>
  <si>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</si>
  <si>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</si>
  <si>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</si>
  <si>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</si>
  <si>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</si>
  <si>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</si>
  <si>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</si>
  <si>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</si>
  <si>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</si>
  <si>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</si>
  <si>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</si>
  <si>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</si>
  <si>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</si>
  <si>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</si>
  <si>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</si>
  <si>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</si>
  <si>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</si>
  <si>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</si>
  <si>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</si>
  <si>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</si>
  <si>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</si>
  <si>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</si>
  <si>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</si>
  <si>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</si>
  <si>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</si>
  <si>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</si>
  <si>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</si>
  <si>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</si>
  <si>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</si>
  <si>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</si>
  <si>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</si>
  <si>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</si>
  <si>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</si>
  <si>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</si>
  <si>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</si>
  <si>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</si>
  <si>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</si>
  <si>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</si>
  <si>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</si>
  <si>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</si>
  <si>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</si>
  <si>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</si>
  <si>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</si>
  <si>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</si>
  <si>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</si>
  <si>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</si>
  <si>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</si>
  <si>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</si>
  <si>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</si>
  <si>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</si>
  <si>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</si>
  <si>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</si>
  <si>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</si>
  <si>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</si>
  <si>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</si>
  <si>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</si>
  <si>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</si>
  <si>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</si>
  <si>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</si>
  <si>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</si>
  <si>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</si>
  <si>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</si>
  <si>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</si>
  <si>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</si>
  <si>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</si>
  <si>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</si>
  <si>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</si>
  <si>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</si>
  <si>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</si>
  <si>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</si>
  <si>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</si>
  <si>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</si>
  <si>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</si>
  <si>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</si>
  <si>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</si>
  <si>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</si>
  <si>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</si>
  <si>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</si>
  <si>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</si>
  <si>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</si>
  <si>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</si>
  <si>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</si>
  <si>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</si>
  <si>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</si>
  <si>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</si>
  <si>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</si>
  <si>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</si>
  <si>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</si>
  <si>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</si>
  <si>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</si>
  <si>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</si>
  <si>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</si>
  <si>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</si>
  <si>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</si>
  <si>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</si>
  <si>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</si>
  <si>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</si>
  <si>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</si>
  <si>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</si>
  <si>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</si>
  <si>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</si>
  <si>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</si>
  <si>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</si>
  <si>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</si>
  <si>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</si>
  <si>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</si>
  <si>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</si>
  <si>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</si>
  <si>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</si>
  <si>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</si>
  <si>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</si>
  <si>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</si>
  <si>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</si>
  <si>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</si>
  <si>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</si>
  <si>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</si>
  <si>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</si>
  <si>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</si>
  <si>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</si>
  <si>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</si>
  <si>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</si>
  <si>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</si>
  <si>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</si>
  <si>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</si>
  <si>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</si>
  <si>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</si>
  <si>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</si>
  <si>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</si>
  <si>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</si>
  <si>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</si>
  <si>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</si>
  <si>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</si>
  <si>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</si>
  <si>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</si>
  <si>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</si>
  <si>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</si>
  <si>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</si>
  <si>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</si>
  <si>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</si>
  <si>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</si>
  <si>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</si>
  <si>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</si>
  <si>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</si>
  <si>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</si>
  <si>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</si>
  <si>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</si>
  <si>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</si>
  <si>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</si>
  <si>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</si>
  <si>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</si>
  <si>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</si>
  <si>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</si>
  <si>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</si>
  <si>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</si>
  <si>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</si>
  <si>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</si>
  <si>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</si>
  <si>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</si>
  <si>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</si>
  <si>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</si>
  <si>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</si>
  <si>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</si>
  <si>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</si>
  <si>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</si>
  <si>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</si>
  <si>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</si>
  <si>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</si>
  <si>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</si>
  <si>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</si>
  <si>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</si>
  <si>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</si>
  <si>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</si>
  <si>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</si>
  <si>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</si>
  <si>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</si>
  <si>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</si>
  <si>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</si>
  <si>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</si>
  <si>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</si>
  <si>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</si>
  <si>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</si>
  <si>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</si>
  <si>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</si>
  <si>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</si>
  <si>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</si>
  <si>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</si>
  <si>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</si>
  <si>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</si>
  <si>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</si>
  <si>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</si>
  <si>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</si>
  <si>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</si>
  <si>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</si>
  <si>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</si>
  <si>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</si>
  <si>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</si>
  <si>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</si>
  <si>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</si>
  <si>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</si>
  <si>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</si>
  <si>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</si>
  <si>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</si>
  <si>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</si>
  <si>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</si>
  <si>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</si>
  <si>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</si>
  <si>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</si>
  <si>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</si>
  <si>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</si>
  <si>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</si>
  <si>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</si>
  <si>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</si>
  <si>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</si>
  <si>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</si>
  <si>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</si>
  <si>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</si>
  <si>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</si>
  <si>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</si>
  <si>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</si>
  <si>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</si>
  <si>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</si>
  <si>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</si>
  <si>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</si>
  <si>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</si>
  <si>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</si>
  <si>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</si>
  <si>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</si>
  <si>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</si>
  <si>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</si>
  <si>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</si>
  <si>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</si>
  <si>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</si>
  <si>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</si>
  <si>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</si>
  <si>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</si>
  <si>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</si>
  <si>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</si>
  <si>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</si>
  <si>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</si>
  <si>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</si>
  <si>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</si>
  <si>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</si>
  <si>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</si>
  <si>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</si>
  <si>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</si>
  <si>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</si>
  <si>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</si>
  <si>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</si>
  <si>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</si>
  <si>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</si>
  <si>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</si>
  <si>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</si>
  <si>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</si>
  <si>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</si>
  <si>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</si>
  <si>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</si>
  <si>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</si>
  <si>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</si>
  <si>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</si>
  <si>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</si>
  <si>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</si>
  <si>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</si>
  <si>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</si>
  <si>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</si>
  <si>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</si>
  <si>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</si>
  <si>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</si>
  <si>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</si>
  <si>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</si>
  <si>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</si>
  <si>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</si>
  <si>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</si>
  <si>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</si>
  <si>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</si>
  <si>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</si>
  <si>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</si>
  <si>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</si>
  <si>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</si>
  <si>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</si>
  <si>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</si>
  <si>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</si>
  <si>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</si>
  <si>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</si>
  <si>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</si>
  <si>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</si>
  <si>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</si>
  <si>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</si>
  <si>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</si>
  <si>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</si>
  <si>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</si>
  <si>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</si>
  <si>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</si>
  <si>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</si>
  <si>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</si>
  <si>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</si>
  <si>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</si>
  <si>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</si>
  <si>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</si>
  <si>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</si>
  <si>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</si>
  <si>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</si>
  <si>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</si>
  <si>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</si>
  <si>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</si>
  <si>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</si>
  <si>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</si>
  <si>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</si>
  <si>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</si>
  <si>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</si>
  <si>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</si>
  <si>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</si>
  <si>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</si>
  <si>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</si>
  <si>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</si>
  <si>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</si>
  <si>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</si>
  <si>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</si>
  <si>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</si>
  <si>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</si>
  <si>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</si>
  <si>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</si>
  <si>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</si>
  <si>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</si>
  <si>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</si>
  <si>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</si>
  <si>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</si>
  <si>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</si>
  <si>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</si>
  <si>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</si>
  <si>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</si>
  <si>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</si>
  <si>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</si>
  <si>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</si>
  <si>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</si>
  <si>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</si>
  <si>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</si>
  <si>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</si>
  <si>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</si>
  <si>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</si>
  <si>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</si>
  <si>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</si>
  <si>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</si>
  <si>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</si>
  <si>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</si>
  <si>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</si>
  <si>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</si>
  <si>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</si>
  <si>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</si>
  <si>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</si>
  <si>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</si>
  <si>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</si>
  <si>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</si>
  <si>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</si>
  <si>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</si>
  <si>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</si>
  <si>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</si>
  <si>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</si>
  <si>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</si>
  <si>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</si>
  <si>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</si>
  <si>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</si>
  <si>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</si>
  <si>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</si>
  <si>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</si>
  <si>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</si>
  <si>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</si>
  <si>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</si>
  <si>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</si>
  <si>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</si>
  <si>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</si>
  <si>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</si>
  <si>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</si>
  <si>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</si>
  <si>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</si>
  <si>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</si>
  <si>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</si>
  <si>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</si>
  <si>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</si>
  <si>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</si>
  <si>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</si>
  <si>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</si>
  <si>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</si>
  <si>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</si>
  <si>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</si>
  <si>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</si>
  <si>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</si>
  <si>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</si>
  <si>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</si>
  <si>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</si>
  <si>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</si>
  <si>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</si>
  <si>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</si>
  <si>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</si>
  <si>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</si>
  <si>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</si>
  <si>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</si>
  <si>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</si>
  <si>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</si>
  <si>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</si>
  <si>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</si>
  <si>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</si>
  <si>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</si>
  <si>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</si>
  <si>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</si>
  <si>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</si>
  <si>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</si>
  <si>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</si>
  <si>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</si>
  <si>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</si>
  <si>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</si>
  <si>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</si>
  <si>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</si>
  <si>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</si>
  <si>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</si>
  <si>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</si>
  <si>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</si>
  <si>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</si>
  <si>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</si>
  <si>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</si>
  <si>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</si>
  <si>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</si>
  <si>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</si>
  <si>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</si>
  <si>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</si>
  <si>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</si>
  <si>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</si>
  <si>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</si>
  <si>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</si>
  <si>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</si>
  <si>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</si>
  <si>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</si>
  <si>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</si>
  <si>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</si>
  <si>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</si>
  <si>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</si>
  <si>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</si>
  <si>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</si>
  <si>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</si>
  <si>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</si>
  <si>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</si>
  <si>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</si>
  <si>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</si>
  <si>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</si>
  <si>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</si>
  <si>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</si>
  <si>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</si>
  <si>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</si>
  <si>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</si>
  <si>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</si>
  <si>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</si>
  <si>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</si>
  <si>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</si>
  <si>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</si>
  <si>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</si>
  <si>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</si>
  <si>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</si>
  <si>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</si>
  <si>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</si>
  <si>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</si>
  <si>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</si>
  <si>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</si>
  <si>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</si>
  <si>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</si>
  <si>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</si>
  <si>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</si>
  <si>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</si>
  <si>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</si>
  <si>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</si>
  <si>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</si>
  <si>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</si>
  <si>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</si>
  <si>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</si>
  <si>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</si>
  <si>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</si>
  <si>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</si>
  <si>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</si>
  <si>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</si>
  <si>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</si>
  <si>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</si>
  <si>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</si>
  <si>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</si>
  <si>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</si>
  <si>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</si>
  <si>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</si>
  <si>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</si>
  <si>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</si>
  <si>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</si>
  <si>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</si>
  <si>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</si>
  <si>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</si>
  <si>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</si>
  <si>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</si>
  <si>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</si>
  <si>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</si>
  <si>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</si>
  <si>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</si>
  <si>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</si>
  <si>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</si>
  <si>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</si>
  <si>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</si>
  <si>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</si>
  <si>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</si>
  <si>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</si>
  <si>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</si>
  <si>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</si>
  <si>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</si>
  <si>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</si>
  <si>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</si>
  <si>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</si>
  <si>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</si>
  <si>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</si>
  <si>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</si>
  <si>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</si>
  <si>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</si>
  <si>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</si>
  <si>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</si>
  <si>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</si>
  <si>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</si>
  <si>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</si>
  <si>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</si>
  <si>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</si>
  <si>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</si>
  <si>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</si>
  <si>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</si>
  <si>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</si>
  <si>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</si>
  <si>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</si>
  <si>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</si>
  <si>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</si>
  <si>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</si>
  <si>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</si>
  <si>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</si>
  <si>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</si>
  <si>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</si>
  <si>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</si>
  <si>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</si>
  <si>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</si>
  <si>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</si>
  <si>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</si>
  <si>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</si>
  <si>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</si>
  <si>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</si>
  <si>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</si>
  <si>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</si>
  <si>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</si>
  <si>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</si>
  <si>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</si>
  <si>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</si>
  <si>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</si>
  <si>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</si>
  <si>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</si>
  <si>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</si>
  <si>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</si>
  <si>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</si>
  <si>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</si>
  <si>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</si>
  <si>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</si>
  <si>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</si>
  <si>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</si>
  <si>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</si>
  <si>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</si>
  <si>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</si>
  <si>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</si>
  <si>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</si>
  <si>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</si>
  <si>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</si>
  <si>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</si>
  <si>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</si>
  <si>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</si>
  <si>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</si>
  <si>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</si>
  <si>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</si>
  <si>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</si>
  <si>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</si>
  <si>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</si>
  <si>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</si>
  <si>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</si>
  <si>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</si>
  <si>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</si>
  <si>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</si>
  <si>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</si>
  <si>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</si>
  <si>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</si>
  <si>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</si>
  <si>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</si>
  <si>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</si>
  <si>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</si>
  <si>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</si>
  <si>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</si>
  <si>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</si>
  <si>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</si>
  <si>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</si>
  <si>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</si>
  <si>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</si>
  <si>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</si>
  <si>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</si>
  <si>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</si>
  <si>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</si>
  <si>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</si>
  <si>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</si>
  <si>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</si>
  <si>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</si>
  <si>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</si>
  <si>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</si>
  <si>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</si>
  <si>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</si>
  <si>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</si>
  <si>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</si>
  <si>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</si>
  <si>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</si>
  <si>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</si>
  <si>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</si>
  <si>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</si>
  <si>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</si>
  <si>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</si>
  <si>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</si>
  <si>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</si>
  <si>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</si>
  <si>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</si>
  <si>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</si>
  <si>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</si>
  <si>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</si>
  <si>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</si>
  <si>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</si>
  <si>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</si>
  <si>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</si>
  <si>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</si>
  <si>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</si>
  <si>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</si>
  <si>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</si>
  <si>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</si>
  <si>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</si>
  <si>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</si>
  <si>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</si>
  <si>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</si>
  <si>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</si>
  <si>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</si>
  <si>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</si>
  <si>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</si>
  <si>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</si>
  <si>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</si>
  <si>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</si>
  <si>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</si>
  <si>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</si>
  <si>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73001</t>
  </si>
  <si>
    <t>ALKEN</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</si>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</sst>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88659DE-6783-48B2-9CB6-91B8B6A067E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98149.161682310529</c:v>
                </c:pt>
                <c:pt idx="1">
                  <c:v>20664.659978545096</c:v>
                </c:pt>
                <c:pt idx="2">
                  <c:v>604.79899999999998</c:v>
                </c:pt>
                <c:pt idx="3">
                  <c:v>12593.488685663535</c:v>
                </c:pt>
                <c:pt idx="4">
                  <c:v>120481.41246793528</c:v>
                </c:pt>
                <c:pt idx="5">
                  <c:v>78252.741453417402</c:v>
                </c:pt>
                <c:pt idx="6">
                  <c:v>772.14525062049552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98149.161682310529</c:v>
                </c:pt>
                <c:pt idx="1">
                  <c:v>20664.659978545096</c:v>
                </c:pt>
                <c:pt idx="2">
                  <c:v>604.79899999999998</c:v>
                </c:pt>
                <c:pt idx="3">
                  <c:v>12593.488685663535</c:v>
                </c:pt>
                <c:pt idx="4">
                  <c:v>120481.41246793528</c:v>
                </c:pt>
                <c:pt idx="5">
                  <c:v>78252.741453417402</c:v>
                </c:pt>
                <c:pt idx="6">
                  <c:v>772.14525062049552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20928.715247019896</c:v>
                </c:pt>
                <c:pt idx="2">
                  <c:v>4144.4984583704363</c:v>
                </c:pt>
                <c:pt idx="3">
                  <c:v>119.08026237529417</c:v>
                </c:pt>
                <c:pt idx="4">
                  <c:v>3213.3018606394298</c:v>
                </c:pt>
                <c:pt idx="5">
                  <c:v>25183.808041151366</c:v>
                </c:pt>
                <c:pt idx="6">
                  <c:v>20020.906552976379</c:v>
                </c:pt>
                <c:pt idx="7">
                  <c:v>199.66292852418349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20928.715247019896</c:v>
                </c:pt>
                <c:pt idx="2">
                  <c:v>4144.4984583704363</c:v>
                </c:pt>
                <c:pt idx="3">
                  <c:v>119.08026237529417</c:v>
                </c:pt>
                <c:pt idx="4">
                  <c:v>3213.3018606394298</c:v>
                </c:pt>
                <c:pt idx="5">
                  <c:v>25183.808041151366</c:v>
                </c:pt>
                <c:pt idx="6">
                  <c:v>20020.906552976379</c:v>
                </c:pt>
                <c:pt idx="7">
                  <c:v>199.66292852418349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73001</v>
      </c>
      <c r="B6" s="380"/>
      <c r="C6" s="381"/>
    </row>
    <row r="7" spans="1:7" s="378" customFormat="1" ht="15.75" customHeight="1">
      <c r="A7" s="382" t="str">
        <f>txtMunicipality</f>
        <v>ALKEN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0.19689229376254619</v>
      </c>
      <c r="C17" s="488">
        <f ca="1">'EF ele_warmte'!B22</f>
        <v>8.0807346122374769E-3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0.19689229376254619</v>
      </c>
      <c r="C29" s="489">
        <f ca="1">'EF ele_warmte'!B22</f>
        <v>8.0807346122374769E-3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4567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1411.32</v>
      </c>
      <c r="C14" s="322"/>
      <c r="D14" s="322"/>
      <c r="E14" s="322"/>
      <c r="F14" s="322"/>
    </row>
    <row r="15" spans="1:6">
      <c r="A15" s="1248" t="s">
        <v>177</v>
      </c>
      <c r="B15" s="1249">
        <v>12</v>
      </c>
      <c r="C15" s="322"/>
      <c r="D15" s="322"/>
      <c r="E15" s="322"/>
      <c r="F15" s="322"/>
    </row>
    <row r="16" spans="1:6">
      <c r="A16" s="1248" t="s">
        <v>6</v>
      </c>
      <c r="B16" s="1249">
        <v>466</v>
      </c>
      <c r="C16" s="322"/>
      <c r="D16" s="322"/>
      <c r="E16" s="322"/>
      <c r="F16" s="322"/>
    </row>
    <row r="17" spans="1:6">
      <c r="A17" s="1248" t="s">
        <v>7</v>
      </c>
      <c r="B17" s="1249">
        <v>360</v>
      </c>
      <c r="C17" s="322"/>
      <c r="D17" s="322"/>
      <c r="E17" s="322"/>
      <c r="F17" s="322"/>
    </row>
    <row r="18" spans="1:6">
      <c r="A18" s="1248" t="s">
        <v>8</v>
      </c>
      <c r="B18" s="1249">
        <v>573</v>
      </c>
      <c r="C18" s="322"/>
      <c r="D18" s="322"/>
      <c r="E18" s="322"/>
      <c r="F18" s="322"/>
    </row>
    <row r="19" spans="1:6">
      <c r="A19" s="1248" t="s">
        <v>9</v>
      </c>
      <c r="B19" s="1249">
        <v>512</v>
      </c>
      <c r="C19" s="322"/>
      <c r="D19" s="322"/>
      <c r="E19" s="322"/>
      <c r="F19" s="322"/>
    </row>
    <row r="20" spans="1:6">
      <c r="A20" s="1248" t="s">
        <v>10</v>
      </c>
      <c r="B20" s="1249">
        <v>443</v>
      </c>
      <c r="C20" s="322"/>
      <c r="D20" s="322"/>
      <c r="E20" s="322"/>
      <c r="F20" s="322"/>
    </row>
    <row r="21" spans="1:6">
      <c r="A21" s="1248" t="s">
        <v>11</v>
      </c>
      <c r="B21" s="1249">
        <v>605</v>
      </c>
      <c r="C21" s="322"/>
      <c r="D21" s="322"/>
      <c r="E21" s="322"/>
      <c r="F21" s="322"/>
    </row>
    <row r="22" spans="1:6">
      <c r="A22" s="1248" t="s">
        <v>12</v>
      </c>
      <c r="B22" s="1249">
        <v>2200</v>
      </c>
      <c r="C22" s="322"/>
      <c r="D22" s="322"/>
      <c r="E22" s="322"/>
      <c r="F22" s="322"/>
    </row>
    <row r="23" spans="1:6">
      <c r="A23" s="1248" t="s">
        <v>13</v>
      </c>
      <c r="B23" s="1249">
        <v>53</v>
      </c>
      <c r="C23" s="322"/>
      <c r="D23" s="322"/>
      <c r="E23" s="322"/>
      <c r="F23" s="322"/>
    </row>
    <row r="24" spans="1:6">
      <c r="A24" s="1248" t="s">
        <v>14</v>
      </c>
      <c r="B24" s="1249">
        <v>6</v>
      </c>
      <c r="C24" s="322"/>
      <c r="D24" s="322"/>
      <c r="E24" s="322"/>
      <c r="F24" s="322"/>
    </row>
    <row r="25" spans="1:6">
      <c r="A25" s="1248" t="s">
        <v>15</v>
      </c>
      <c r="B25" s="1249">
        <v>269</v>
      </c>
      <c r="C25" s="322"/>
      <c r="D25" s="322"/>
      <c r="E25" s="322"/>
      <c r="F25" s="322"/>
    </row>
    <row r="26" spans="1:6">
      <c r="A26" s="1248" t="s">
        <v>16</v>
      </c>
      <c r="B26" s="1249">
        <v>99</v>
      </c>
      <c r="C26" s="322"/>
      <c r="D26" s="322"/>
      <c r="E26" s="322"/>
      <c r="F26" s="322"/>
    </row>
    <row r="27" spans="1:6">
      <c r="A27" s="1248" t="s">
        <v>17</v>
      </c>
      <c r="B27" s="1249">
        <v>163</v>
      </c>
      <c r="C27" s="322"/>
      <c r="D27" s="322"/>
      <c r="E27" s="322"/>
      <c r="F27" s="322"/>
    </row>
    <row r="28" spans="1:6">
      <c r="A28" s="1248" t="s">
        <v>18</v>
      </c>
      <c r="B28" s="1250">
        <v>50719</v>
      </c>
      <c r="C28" s="322"/>
      <c r="D28" s="322"/>
      <c r="E28" s="322"/>
      <c r="F28" s="322"/>
    </row>
    <row r="29" spans="1:6">
      <c r="A29" s="1248" t="s">
        <v>884</v>
      </c>
      <c r="B29" s="1250">
        <v>94</v>
      </c>
      <c r="C29" s="322"/>
      <c r="D29" s="322"/>
      <c r="E29" s="322"/>
      <c r="F29" s="322"/>
    </row>
    <row r="30" spans="1:6">
      <c r="A30" s="1243" t="s">
        <v>885</v>
      </c>
      <c r="B30" s="1251">
        <v>17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9002</v>
      </c>
    </row>
    <row r="39" spans="1:6">
      <c r="A39" s="1248" t="s">
        <v>29</v>
      </c>
      <c r="B39" s="1248" t="s">
        <v>30</v>
      </c>
      <c r="C39" s="1249">
        <v>1836</v>
      </c>
      <c r="D39" s="1249">
        <v>30621139</v>
      </c>
      <c r="E39" s="1249">
        <v>4421</v>
      </c>
      <c r="F39" s="1249">
        <v>17160901</v>
      </c>
    </row>
    <row r="40" spans="1:6">
      <c r="A40" s="1248" t="s">
        <v>29</v>
      </c>
      <c r="B40" s="1248" t="s">
        <v>28</v>
      </c>
      <c r="C40" s="1249">
        <v>0</v>
      </c>
      <c r="D40" s="1249">
        <v>0</v>
      </c>
      <c r="E40" s="1249">
        <v>0</v>
      </c>
      <c r="F40" s="1249">
        <v>0</v>
      </c>
    </row>
    <row r="41" spans="1:6">
      <c r="A41" s="1248" t="s">
        <v>31</v>
      </c>
      <c r="B41" s="1248" t="s">
        <v>32</v>
      </c>
      <c r="C41" s="1249">
        <v>36</v>
      </c>
      <c r="D41" s="1249">
        <v>1252591</v>
      </c>
      <c r="E41" s="1249">
        <v>98</v>
      </c>
      <c r="F41" s="1249">
        <v>28234338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190477</v>
      </c>
      <c r="E44" s="1249">
        <v>12</v>
      </c>
      <c r="F44" s="1249">
        <v>330078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5</v>
      </c>
      <c r="D48" s="1249">
        <v>16672382</v>
      </c>
      <c r="E48" s="1249">
        <v>5</v>
      </c>
      <c r="F48" s="1249">
        <v>273759</v>
      </c>
    </row>
    <row r="49" spans="1:6">
      <c r="A49" s="1248" t="s">
        <v>31</v>
      </c>
      <c r="B49" s="1248" t="s">
        <v>39</v>
      </c>
      <c r="C49" s="1249">
        <v>0</v>
      </c>
      <c r="D49" s="1249">
        <v>0</v>
      </c>
      <c r="E49" s="1249">
        <v>0</v>
      </c>
      <c r="F49" s="1249">
        <v>0</v>
      </c>
    </row>
    <row r="50" spans="1:6">
      <c r="A50" s="1248" t="s">
        <v>31</v>
      </c>
      <c r="B50" s="1248" t="s">
        <v>40</v>
      </c>
      <c r="C50" s="1249">
        <v>4</v>
      </c>
      <c r="D50" s="1249">
        <v>28262607</v>
      </c>
      <c r="E50" s="1249">
        <v>7</v>
      </c>
      <c r="F50" s="1249">
        <v>10012671</v>
      </c>
    </row>
    <row r="51" spans="1:6">
      <c r="A51" s="1248" t="s">
        <v>41</v>
      </c>
      <c r="B51" s="1248" t="s">
        <v>42</v>
      </c>
      <c r="C51" s="1249">
        <v>7</v>
      </c>
      <c r="D51" s="1249">
        <v>407685</v>
      </c>
      <c r="E51" s="1249">
        <v>74</v>
      </c>
      <c r="F51" s="1249">
        <v>2493033</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64</v>
      </c>
      <c r="F54" s="1249">
        <v>604799</v>
      </c>
    </row>
    <row r="55" spans="1:6">
      <c r="A55" s="1248" t="s">
        <v>45</v>
      </c>
      <c r="B55" s="1248" t="s">
        <v>28</v>
      </c>
      <c r="C55" s="1249">
        <v>0</v>
      </c>
      <c r="D55" s="1249">
        <v>0</v>
      </c>
      <c r="E55" s="1249">
        <v>0</v>
      </c>
      <c r="F55" s="1249">
        <v>0</v>
      </c>
    </row>
    <row r="56" spans="1:6">
      <c r="A56" s="1248" t="s">
        <v>47</v>
      </c>
      <c r="B56" s="1248" t="s">
        <v>28</v>
      </c>
      <c r="C56" s="1249">
        <v>25</v>
      </c>
      <c r="D56" s="1249">
        <v>501347</v>
      </c>
      <c r="E56" s="1249">
        <v>82</v>
      </c>
      <c r="F56" s="1249">
        <v>411278</v>
      </c>
    </row>
    <row r="57" spans="1:6">
      <c r="A57" s="1248" t="s">
        <v>48</v>
      </c>
      <c r="B57" s="1248" t="s">
        <v>49</v>
      </c>
      <c r="C57" s="1249">
        <v>20</v>
      </c>
      <c r="D57" s="1249">
        <v>474851</v>
      </c>
      <c r="E57" s="1249">
        <v>46</v>
      </c>
      <c r="F57" s="1249">
        <v>1086144</v>
      </c>
    </row>
    <row r="58" spans="1:6">
      <c r="A58" s="1248" t="s">
        <v>48</v>
      </c>
      <c r="B58" s="1248" t="s">
        <v>50</v>
      </c>
      <c r="C58" s="1249">
        <v>23</v>
      </c>
      <c r="D58" s="1249">
        <v>1539249</v>
      </c>
      <c r="E58" s="1249">
        <v>30</v>
      </c>
      <c r="F58" s="1249">
        <v>562792</v>
      </c>
    </row>
    <row r="59" spans="1:6">
      <c r="A59" s="1248" t="s">
        <v>48</v>
      </c>
      <c r="B59" s="1248" t="s">
        <v>51</v>
      </c>
      <c r="C59" s="1249">
        <v>55</v>
      </c>
      <c r="D59" s="1249">
        <v>2107122</v>
      </c>
      <c r="E59" s="1249">
        <v>147</v>
      </c>
      <c r="F59" s="1249">
        <v>3939922</v>
      </c>
    </row>
    <row r="60" spans="1:6">
      <c r="A60" s="1248" t="s">
        <v>48</v>
      </c>
      <c r="B60" s="1248" t="s">
        <v>52</v>
      </c>
      <c r="C60" s="1249">
        <v>21</v>
      </c>
      <c r="D60" s="1249">
        <v>1005048</v>
      </c>
      <c r="E60" s="1249">
        <v>37</v>
      </c>
      <c r="F60" s="1249">
        <v>1100697</v>
      </c>
    </row>
    <row r="61" spans="1:6">
      <c r="A61" s="1248" t="s">
        <v>48</v>
      </c>
      <c r="B61" s="1248" t="s">
        <v>53</v>
      </c>
      <c r="C61" s="1249">
        <v>87</v>
      </c>
      <c r="D61" s="1249">
        <v>3396290</v>
      </c>
      <c r="E61" s="1249">
        <v>214</v>
      </c>
      <c r="F61" s="1249">
        <v>2994167</v>
      </c>
    </row>
    <row r="62" spans="1:6">
      <c r="A62" s="1248" t="s">
        <v>48</v>
      </c>
      <c r="B62" s="1248" t="s">
        <v>54</v>
      </c>
      <c r="C62" s="1249">
        <v>5</v>
      </c>
      <c r="D62" s="1249">
        <v>552897</v>
      </c>
      <c r="E62" s="1249">
        <v>9</v>
      </c>
      <c r="F62" s="1249">
        <v>118076</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94711</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94573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74845482</v>
      </c>
      <c r="E73" s="439"/>
      <c r="F73" s="322"/>
    </row>
    <row r="74" spans="1:6">
      <c r="A74" s="1248" t="s">
        <v>63</v>
      </c>
      <c r="B74" s="1248" t="s">
        <v>626</v>
      </c>
      <c r="C74" s="1261" t="s">
        <v>628</v>
      </c>
      <c r="D74" s="1249">
        <v>6546099.7673192546</v>
      </c>
      <c r="E74" s="439"/>
      <c r="F74" s="322"/>
    </row>
    <row r="75" spans="1:6">
      <c r="A75" s="1248" t="s">
        <v>64</v>
      </c>
      <c r="B75" s="1248" t="s">
        <v>625</v>
      </c>
      <c r="C75" s="1261" t="s">
        <v>629</v>
      </c>
      <c r="D75" s="1249">
        <v>15226537</v>
      </c>
      <c r="E75" s="439"/>
      <c r="F75" s="322"/>
    </row>
    <row r="76" spans="1:6">
      <c r="A76" s="1248" t="s">
        <v>64</v>
      </c>
      <c r="B76" s="1248" t="s">
        <v>626</v>
      </c>
      <c r="C76" s="1261" t="s">
        <v>630</v>
      </c>
      <c r="D76" s="1249">
        <v>215397.76731925446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208838.46536149108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3854.6023408349888</v>
      </c>
      <c r="C91" s="322"/>
      <c r="D91" s="322"/>
      <c r="E91" s="322"/>
      <c r="F91" s="322"/>
    </row>
    <row r="92" spans="1:6">
      <c r="A92" s="1243" t="s">
        <v>68</v>
      </c>
      <c r="B92" s="1244">
        <v>3135.8305051277703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534</v>
      </c>
      <c r="C97" s="322"/>
      <c r="D97" s="322"/>
      <c r="E97" s="322"/>
      <c r="F97" s="322"/>
    </row>
    <row r="98" spans="1:6">
      <c r="A98" s="1248" t="s">
        <v>71</v>
      </c>
      <c r="B98" s="1249">
        <v>0</v>
      </c>
      <c r="C98" s="322"/>
      <c r="D98" s="322"/>
      <c r="E98" s="322"/>
      <c r="F98" s="322"/>
    </row>
    <row r="99" spans="1:6">
      <c r="A99" s="1248" t="s">
        <v>72</v>
      </c>
      <c r="B99" s="1249">
        <v>23</v>
      </c>
      <c r="C99" s="322"/>
      <c r="D99" s="322"/>
      <c r="E99" s="322"/>
      <c r="F99" s="322"/>
    </row>
    <row r="100" spans="1:6">
      <c r="A100" s="1248" t="s">
        <v>73</v>
      </c>
      <c r="B100" s="1249">
        <v>174</v>
      </c>
      <c r="C100" s="322"/>
      <c r="D100" s="322"/>
      <c r="E100" s="322"/>
      <c r="F100" s="322"/>
    </row>
    <row r="101" spans="1:6">
      <c r="A101" s="1248" t="s">
        <v>74</v>
      </c>
      <c r="B101" s="1249">
        <v>37</v>
      </c>
      <c r="C101" s="322"/>
      <c r="D101" s="322"/>
      <c r="E101" s="322"/>
      <c r="F101" s="322"/>
    </row>
    <row r="102" spans="1:6">
      <c r="A102" s="1248" t="s">
        <v>75</v>
      </c>
      <c r="B102" s="1249">
        <v>41</v>
      </c>
      <c r="C102" s="322"/>
      <c r="D102" s="322"/>
      <c r="E102" s="322"/>
      <c r="F102" s="322"/>
    </row>
    <row r="103" spans="1:6">
      <c r="A103" s="1248" t="s">
        <v>76</v>
      </c>
      <c r="B103" s="1249">
        <v>77</v>
      </c>
      <c r="C103" s="322"/>
      <c r="D103" s="322"/>
      <c r="E103" s="322"/>
      <c r="F103" s="322"/>
    </row>
    <row r="104" spans="1:6">
      <c r="A104" s="1248" t="s">
        <v>77</v>
      </c>
      <c r="B104" s="1249">
        <v>3171</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15</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178</v>
      </c>
      <c r="C129" s="322"/>
      <c r="D129" s="322"/>
      <c r="E129" s="322"/>
      <c r="F129" s="322"/>
    </row>
    <row r="130" spans="1:6">
      <c r="A130" s="1248" t="s">
        <v>284</v>
      </c>
      <c r="B130" s="1249">
        <v>2</v>
      </c>
      <c r="C130" s="322"/>
      <c r="D130" s="322"/>
      <c r="E130" s="322"/>
      <c r="F130" s="322"/>
    </row>
    <row r="131" spans="1:6">
      <c r="A131" s="1248" t="s">
        <v>285</v>
      </c>
      <c r="B131" s="1249">
        <v>2</v>
      </c>
      <c r="C131" s="322"/>
      <c r="D131" s="322"/>
      <c r="E131" s="322"/>
      <c r="F131" s="322"/>
    </row>
    <row r="132" spans="1:6">
      <c r="A132" s="1243" t="s">
        <v>286</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74368.395639522918</v>
      </c>
      <c r="C3" s="43" t="s">
        <v>163</v>
      </c>
      <c r="D3" s="43"/>
      <c r="E3" s="153"/>
      <c r="F3" s="43"/>
      <c r="G3" s="43"/>
      <c r="H3" s="43"/>
      <c r="I3" s="43"/>
      <c r="J3" s="43"/>
      <c r="K3" s="96"/>
    </row>
    <row r="4" spans="1:11">
      <c r="A4" s="348" t="s">
        <v>164</v>
      </c>
      <c r="B4" s="49">
        <f>IF(ISERROR('SEAP template'!B78+'SEAP template'!C78),0,'SEAP template'!B78+'SEAP template'!C78)</f>
        <v>8155.0328459627599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9.4108235294117666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0.19689229376254619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13.444033613445381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1663.7142857142858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8.0807346122374769E-3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604.79899999999998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604.79899999999998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0.19689229376254619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119.08026237529417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17160.901000000002</v>
      </c>
      <c r="C5" s="17">
        <f>IF(ISERROR('Eigen informatie GS &amp; warmtenet'!B57),0,'Eigen informatie GS &amp; warmtenet'!B57)</f>
        <v>0</v>
      </c>
      <c r="D5" s="30">
        <f>(SUM(HH_hh_gas_kWh,HH_rest_gas_kWh)/1000)*0.902</f>
        <v>27620.267378</v>
      </c>
      <c r="E5" s="17">
        <f>B32*B41</f>
        <v>1462.9535416720571</v>
      </c>
      <c r="F5" s="17">
        <f>B36*B45</f>
        <v>39774.811069308147</v>
      </c>
      <c r="G5" s="18"/>
      <c r="H5" s="17"/>
      <c r="I5" s="17"/>
      <c r="J5" s="17">
        <f>B35*B44+C35*C44</f>
        <v>733.51855889153887</v>
      </c>
      <c r="K5" s="17"/>
      <c r="L5" s="17"/>
      <c r="M5" s="17"/>
      <c r="N5" s="17">
        <f>B34*B43+C34*C43</f>
        <v>6382.3844602704721</v>
      </c>
      <c r="O5" s="17">
        <f>B52*B53*B54</f>
        <v>301.72333333333336</v>
      </c>
      <c r="P5" s="17">
        <f>B60*B61*B62/1000-B60*B61*B62/1000/B63</f>
        <v>858</v>
      </c>
    </row>
    <row r="6" spans="1:16">
      <c r="A6" s="16" t="s">
        <v>586</v>
      </c>
      <c r="B6" s="716">
        <f>kWh_PV_kleiner_dan_10kW</f>
        <v>3854.6023408349888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21015.503340834992</v>
      </c>
      <c r="C8" s="21">
        <f>C5</f>
        <v>0</v>
      </c>
      <c r="D8" s="21">
        <f>D5</f>
        <v>27620.267378</v>
      </c>
      <c r="E8" s="21">
        <f>E5</f>
        <v>1462.9535416720571</v>
      </c>
      <c r="F8" s="21">
        <f>F5</f>
        <v>39774.811069308147</v>
      </c>
      <c r="G8" s="21"/>
      <c r="H8" s="21"/>
      <c r="I8" s="21"/>
      <c r="J8" s="21">
        <f>J5</f>
        <v>733.51855889153887</v>
      </c>
      <c r="K8" s="21"/>
      <c r="L8" s="21">
        <f>L5</f>
        <v>0</v>
      </c>
      <c r="M8" s="21">
        <f>M5</f>
        <v>0</v>
      </c>
      <c r="N8" s="21">
        <f>N5</f>
        <v>6382.3844602704721</v>
      </c>
      <c r="O8" s="21">
        <f>O5</f>
        <v>301.72333333333336</v>
      </c>
      <c r="P8" s="21">
        <f>P5</f>
        <v>858</v>
      </c>
    </row>
    <row r="9" spans="1:16">
      <c r="B9" s="19"/>
      <c r="C9" s="19"/>
      <c r="D9" s="253"/>
      <c r="E9" s="19"/>
      <c r="F9" s="19"/>
      <c r="G9" s="19"/>
      <c r="H9" s="19"/>
      <c r="I9" s="19"/>
      <c r="J9" s="19"/>
      <c r="K9" s="19"/>
      <c r="L9" s="19"/>
      <c r="M9" s="19"/>
      <c r="N9" s="19"/>
      <c r="O9" s="19"/>
      <c r="P9" s="19"/>
    </row>
    <row r="10" spans="1:16">
      <c r="A10" s="24" t="s">
        <v>207</v>
      </c>
      <c r="B10" s="25">
        <f ca="1">'EF ele_warmte'!B12</f>
        <v>0.19689229376254619</v>
      </c>
      <c r="C10" s="25">
        <f ca="1">'EF ele_warmte'!B22</f>
        <v>8.0807346122374769E-3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4137.7906573514538</v>
      </c>
      <c r="C12" s="23">
        <f ca="1">C10*C8</f>
        <v>0</v>
      </c>
      <c r="D12" s="23">
        <f>D8*D10</f>
        <v>5579.2940103560004</v>
      </c>
      <c r="E12" s="23">
        <f>E10*E8</f>
        <v>332.09045395955695</v>
      </c>
      <c r="F12" s="23">
        <f>F10*F8</f>
        <v>10619.874555505276</v>
      </c>
      <c r="G12" s="23"/>
      <c r="H12" s="23"/>
      <c r="I12" s="23"/>
      <c r="J12" s="23">
        <f>J10*J8</f>
        <v>259.66556984760473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4567</v>
      </c>
      <c r="C26" s="36"/>
      <c r="D26" s="224"/>
    </row>
    <row r="27" spans="1:5" s="15" customFormat="1">
      <c r="A27" s="226" t="s">
        <v>655</v>
      </c>
      <c r="B27" s="37">
        <f>SUM(HH_hh_gas_aantal,HH_rest_gas_aantal)</f>
        <v>1836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1744.2</v>
      </c>
      <c r="C31" s="34" t="s">
        <v>104</v>
      </c>
      <c r="D31" s="170"/>
    </row>
    <row r="32" spans="1:5">
      <c r="A32" s="167" t="s">
        <v>72</v>
      </c>
      <c r="B32" s="33">
        <f>IF((B21*($B$26-($B$27-0.05*$B$27)-$B$60))&lt;0,0,B21*($B$26-($B$27-0.05*$B$27)-$B$60))</f>
        <v>17.926329051695536</v>
      </c>
      <c r="C32" s="34" t="s">
        <v>104</v>
      </c>
      <c r="D32" s="170"/>
    </row>
    <row r="33" spans="1:6">
      <c r="A33" s="167" t="s">
        <v>73</v>
      </c>
      <c r="B33" s="33">
        <f>IF((B22*($B$26-($B$27-0.05*$B$27)-$B$60))&lt;0,0,B22*($B$26-($B$27-0.05*$B$27)-$B$60))</f>
        <v>624.25989881552994</v>
      </c>
      <c r="C33" s="34" t="s">
        <v>104</v>
      </c>
      <c r="D33" s="170"/>
    </row>
    <row r="34" spans="1:6">
      <c r="A34" s="167" t="s">
        <v>74</v>
      </c>
      <c r="B34" s="33">
        <f>IF((B24*($B$26-($B$27-0.05*$B$27)-$B$60))&lt;0,0,B24*($B$26-($B$27-0.05*$B$27)-$B$60))</f>
        <v>123.96522380240822</v>
      </c>
      <c r="C34" s="33">
        <f>B26*C24</f>
        <v>934.69290860070487</v>
      </c>
      <c r="D34" s="229"/>
    </row>
    <row r="35" spans="1:6">
      <c r="A35" s="167" t="s">
        <v>76</v>
      </c>
      <c r="B35" s="33">
        <f>IF((B19*($B$26-($B$27-0.05*$B$27)-$B$60))&lt;0,0,B19*($B$26-($B$27-0.05*$B$27)-$B$60))</f>
        <v>60.538463463340086</v>
      </c>
      <c r="C35" s="33">
        <f>B35/2</f>
        <v>30.269231731670043</v>
      </c>
      <c r="D35" s="229"/>
    </row>
    <row r="36" spans="1:6">
      <c r="A36" s="167" t="s">
        <v>77</v>
      </c>
      <c r="B36" s="33">
        <f>IF((B18*($B$26-($B$27-0.05*$B$27)-$B$60))&lt;0,0,B18*($B$26-($B$27-0.05*$B$27)-$B$60))</f>
        <v>1951.1100848670271</v>
      </c>
      <c r="C36" s="34" t="s">
        <v>104</v>
      </c>
      <c r="D36" s="170"/>
    </row>
    <row r="37" spans="1:6">
      <c r="A37" s="167" t="s">
        <v>78</v>
      </c>
      <c r="B37" s="33">
        <f>B60</f>
        <v>45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9801.7979999999989</v>
      </c>
      <c r="C5" s="17">
        <f>IF(ISERROR('Eigen informatie GS &amp; warmtenet'!B58),0,'Eigen informatie GS &amp; warmtenet'!B58)</f>
        <v>0</v>
      </c>
      <c r="D5" s="30">
        <f>SUM(D6:D12)</f>
        <v>8186.0622139999996</v>
      </c>
      <c r="E5" s="17">
        <f>SUM(E6:E12)</f>
        <v>158.37587503239055</v>
      </c>
      <c r="F5" s="17">
        <f>SUM(F6:F12)</f>
        <v>2021.1992586042306</v>
      </c>
      <c r="G5" s="18"/>
      <c r="H5" s="17"/>
      <c r="I5" s="17"/>
      <c r="J5" s="17">
        <f>SUM(J6:J12)</f>
        <v>1.3157781231179456E-2</v>
      </c>
      <c r="K5" s="17"/>
      <c r="L5" s="17"/>
      <c r="M5" s="17"/>
      <c r="N5" s="17">
        <f>SUM(N6:N12)</f>
        <v>472.92290169866925</v>
      </c>
      <c r="O5" s="17">
        <f>B38*B39*B40</f>
        <v>3.1266666666666669</v>
      </c>
      <c r="P5" s="17">
        <f>B46*B47*B48/1000-B46*B47*B48/1000/B49</f>
        <v>38.133333333333333</v>
      </c>
      <c r="R5" s="32"/>
    </row>
    <row r="6" spans="1:18">
      <c r="A6" s="32" t="s">
        <v>53</v>
      </c>
      <c r="B6" s="37">
        <f>B26</f>
        <v>2994.1669999999999</v>
      </c>
      <c r="C6" s="33"/>
      <c r="D6" s="37">
        <f>IF(ISERROR(TER_kantoor_gas_kWh/1000),0,TER_kantoor_gas_kWh/1000)*0.902</f>
        <v>3063.4535799999999</v>
      </c>
      <c r="E6" s="33">
        <f>$C$26*'E Balans VL '!I12/100/3.6*1000000</f>
        <v>1.7046289349910627E-18</v>
      </c>
      <c r="F6" s="33">
        <f>$C$26*('E Balans VL '!L12+'E Balans VL '!N12)/100/3.6*1000000</f>
        <v>404.76204296842258</v>
      </c>
      <c r="G6" s="34"/>
      <c r="H6" s="33"/>
      <c r="I6" s="33"/>
      <c r="J6" s="33">
        <f>$C$26*('E Balans VL '!D12+'E Balans VL '!E12)/100/3.6*1000000</f>
        <v>0</v>
      </c>
      <c r="K6" s="33"/>
      <c r="L6" s="33"/>
      <c r="M6" s="33"/>
      <c r="N6" s="33">
        <f>$C$26*'E Balans VL '!Y12/100/3.6*1000000</f>
        <v>3.7630595307941634</v>
      </c>
      <c r="O6" s="33"/>
      <c r="P6" s="33"/>
      <c r="R6" s="32"/>
    </row>
    <row r="7" spans="1:18">
      <c r="A7" s="32" t="s">
        <v>52</v>
      </c>
      <c r="B7" s="37">
        <f t="shared" ref="B7:B12" si="0">B27</f>
        <v>1100.6969999999999</v>
      </c>
      <c r="C7" s="33"/>
      <c r="D7" s="37">
        <f>IF(ISERROR(TER_horeca_gas_kWh/1000),0,TER_horeca_gas_kWh/1000)*0.902</f>
        <v>906.55329600000005</v>
      </c>
      <c r="E7" s="33">
        <f>$C$27*'E Balans VL '!I9/100/3.6*1000000</f>
        <v>14.058140397394359</v>
      </c>
      <c r="F7" s="33">
        <f>$C$27*('E Balans VL '!L9+'E Balans VL '!N9)/100/3.6*1000000</f>
        <v>124.31878053065346</v>
      </c>
      <c r="G7" s="34"/>
      <c r="H7" s="33"/>
      <c r="I7" s="33"/>
      <c r="J7" s="33">
        <f>$C$27*('E Balans VL '!D9+'E Balans VL '!E9)/100/3.6*1000000</f>
        <v>0</v>
      </c>
      <c r="K7" s="33"/>
      <c r="L7" s="33"/>
      <c r="M7" s="33"/>
      <c r="N7" s="33">
        <f>$C$27*'E Balans VL '!Y9/100/3.6*1000000</f>
        <v>0.26230076729618351</v>
      </c>
      <c r="O7" s="33"/>
      <c r="P7" s="33"/>
      <c r="R7" s="32"/>
    </row>
    <row r="8" spans="1:18">
      <c r="A8" s="6" t="s">
        <v>51</v>
      </c>
      <c r="B8" s="37">
        <f t="shared" si="0"/>
        <v>3939.922</v>
      </c>
      <c r="C8" s="33"/>
      <c r="D8" s="37">
        <f>IF(ISERROR(TER_handel_gas_kWh/1000),0,TER_handel_gas_kWh/1000)*0.902</f>
        <v>1900.6240439999999</v>
      </c>
      <c r="E8" s="33">
        <f>$C$28*'E Balans VL '!I13/100/3.6*1000000</f>
        <v>128.67145757770371</v>
      </c>
      <c r="F8" s="33">
        <f>$C$28*('E Balans VL '!L13+'E Balans VL '!N13)/100/3.6*1000000</f>
        <v>682.16548180057612</v>
      </c>
      <c r="G8" s="34"/>
      <c r="H8" s="33"/>
      <c r="I8" s="33"/>
      <c r="J8" s="33">
        <f>$C$28*('E Balans VL '!D13+'E Balans VL '!E13)/100/3.6*1000000</f>
        <v>0</v>
      </c>
      <c r="K8" s="33"/>
      <c r="L8" s="33"/>
      <c r="M8" s="33"/>
      <c r="N8" s="33">
        <f>$C$28*'E Balans VL '!Y13/100/3.6*1000000</f>
        <v>4.6371789012933515</v>
      </c>
      <c r="O8" s="33"/>
      <c r="P8" s="33"/>
      <c r="R8" s="32"/>
    </row>
    <row r="9" spans="1:18">
      <c r="A9" s="32" t="s">
        <v>50</v>
      </c>
      <c r="B9" s="37">
        <f t="shared" si="0"/>
        <v>562.79200000000003</v>
      </c>
      <c r="C9" s="33"/>
      <c r="D9" s="37">
        <f>IF(ISERROR(TER_gezond_gas_kWh/1000),0,TER_gezond_gas_kWh/1000)*0.902</f>
        <v>1388.4025980000001</v>
      </c>
      <c r="E9" s="33">
        <f>$C$29*'E Balans VL '!I10/100/3.6*1000000</f>
        <v>3.1427719399007278E-2</v>
      </c>
      <c r="F9" s="33">
        <f>$C$29*('E Balans VL '!L10+'E Balans VL '!N10)/100/3.6*1000000</f>
        <v>74.567846334493922</v>
      </c>
      <c r="G9" s="34"/>
      <c r="H9" s="33"/>
      <c r="I9" s="33"/>
      <c r="J9" s="33">
        <f>$C$29*('E Balans VL '!D10+'E Balans VL '!E10)/100/3.6*1000000</f>
        <v>0</v>
      </c>
      <c r="K9" s="33"/>
      <c r="L9" s="33"/>
      <c r="M9" s="33"/>
      <c r="N9" s="33">
        <f>$C$29*'E Balans VL '!Y10/100/3.6*1000000</f>
        <v>5.9652169298872275</v>
      </c>
      <c r="O9" s="33"/>
      <c r="P9" s="33"/>
      <c r="R9" s="32"/>
    </row>
    <row r="10" spans="1:18">
      <c r="A10" s="32" t="s">
        <v>49</v>
      </c>
      <c r="B10" s="37">
        <f t="shared" si="0"/>
        <v>1086.144</v>
      </c>
      <c r="C10" s="33"/>
      <c r="D10" s="37">
        <f>IF(ISERROR(TER_ander_gas_kWh/1000),0,TER_ander_gas_kWh/1000)*0.902</f>
        <v>428.31560200000001</v>
      </c>
      <c r="E10" s="33">
        <f>$C$30*'E Balans VL '!I14/100/3.6*1000000</f>
        <v>14.025839295970258</v>
      </c>
      <c r="F10" s="33">
        <f>$C$30*('E Balans VL '!L14+'E Balans VL '!N14)/100/3.6*1000000</f>
        <v>716.93251152497703</v>
      </c>
      <c r="G10" s="34"/>
      <c r="H10" s="33"/>
      <c r="I10" s="33"/>
      <c r="J10" s="33">
        <f>$C$30*('E Balans VL '!D14+'E Balans VL '!E14)/100/3.6*1000000</f>
        <v>1.3157781231179456E-2</v>
      </c>
      <c r="K10" s="33"/>
      <c r="L10" s="33"/>
      <c r="M10" s="33"/>
      <c r="N10" s="33">
        <f>$C$30*'E Balans VL '!Y14/100/3.6*1000000</f>
        <v>458.02250249032619</v>
      </c>
      <c r="O10" s="33"/>
      <c r="P10" s="33"/>
      <c r="R10" s="32"/>
    </row>
    <row r="11" spans="1:18">
      <c r="A11" s="32" t="s">
        <v>54</v>
      </c>
      <c r="B11" s="37">
        <f t="shared" si="0"/>
        <v>118.07599999999999</v>
      </c>
      <c r="C11" s="33"/>
      <c r="D11" s="37">
        <f>IF(ISERROR(TER_onderwijs_gas_kWh/1000),0,TER_onderwijs_gas_kWh/1000)*0.902</f>
        <v>498.71309400000007</v>
      </c>
      <c r="E11" s="33">
        <f>$C$31*'E Balans VL '!I11/100/3.6*1000000</f>
        <v>1.5890100419232218</v>
      </c>
      <c r="F11" s="33">
        <f>$C$31*('E Balans VL '!L11+'E Balans VL '!N11)/100/3.6*1000000</f>
        <v>18.452595445107271</v>
      </c>
      <c r="G11" s="34"/>
      <c r="H11" s="33"/>
      <c r="I11" s="33"/>
      <c r="J11" s="33">
        <f>$C$31*('E Balans VL '!D11+'E Balans VL '!E11)/100/3.6*1000000</f>
        <v>0</v>
      </c>
      <c r="K11" s="33"/>
      <c r="L11" s="33"/>
      <c r="M11" s="33"/>
      <c r="N11" s="33">
        <f>$C$31*'E Balans VL '!Y11/100/3.6*1000000</f>
        <v>0.27264307907209123</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energieproductie'!N39+'lokale energieproductie'!N32</f>
        <v>39.6</v>
      </c>
      <c r="C13" s="242">
        <f ca="1">'lokale energieproductie'!O39+'lokale energieproductie'!O32</f>
        <v>56.571428571428577</v>
      </c>
      <c r="D13" s="300">
        <f ca="1">('lokale energieproductie'!P32+'lokale energieproductie'!P39)*(-1)</f>
        <v>-113.14285714285715</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9841.3979999999992</v>
      </c>
      <c r="C16" s="21">
        <f t="shared" ca="1" si="1"/>
        <v>56.571428571428577</v>
      </c>
      <c r="D16" s="21">
        <f t="shared" ca="1" si="1"/>
        <v>8072.9193568571427</v>
      </c>
      <c r="E16" s="21">
        <f t="shared" si="1"/>
        <v>158.37587503239055</v>
      </c>
      <c r="F16" s="21">
        <f t="shared" ca="1" si="1"/>
        <v>2021.1992586042306</v>
      </c>
      <c r="G16" s="21">
        <f t="shared" si="1"/>
        <v>0</v>
      </c>
      <c r="H16" s="21">
        <f t="shared" si="1"/>
        <v>0</v>
      </c>
      <c r="I16" s="21">
        <f t="shared" si="1"/>
        <v>0</v>
      </c>
      <c r="J16" s="21">
        <f t="shared" si="1"/>
        <v>1.3157781231179456E-2</v>
      </c>
      <c r="K16" s="21">
        <f t="shared" si="1"/>
        <v>0</v>
      </c>
      <c r="L16" s="21">
        <f t="shared" ca="1" si="1"/>
        <v>0</v>
      </c>
      <c r="M16" s="21">
        <f t="shared" si="1"/>
        <v>0</v>
      </c>
      <c r="N16" s="21">
        <f t="shared" ca="1" si="1"/>
        <v>472.92290169866925</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0.19689229376254619</v>
      </c>
      <c r="C18" s="25">
        <f ca="1">'EF ele_warmte'!B22</f>
        <v>8.0807346122374769E-3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1937.6954260501343</v>
      </c>
      <c r="C20" s="23">
        <f t="shared" ref="C20:P20" ca="1" si="2">C16*C18</f>
        <v>0.45713870092086301</v>
      </c>
      <c r="D20" s="23">
        <f t="shared" ca="1" si="2"/>
        <v>1630.7297100851429</v>
      </c>
      <c r="E20" s="23">
        <f t="shared" si="2"/>
        <v>35.951323632352654</v>
      </c>
      <c r="F20" s="23">
        <f t="shared" ca="1" si="2"/>
        <v>539.66020204732956</v>
      </c>
      <c r="G20" s="23">
        <f t="shared" si="2"/>
        <v>0</v>
      </c>
      <c r="H20" s="23">
        <f t="shared" si="2"/>
        <v>0</v>
      </c>
      <c r="I20" s="23">
        <f t="shared" si="2"/>
        <v>0</v>
      </c>
      <c r="J20" s="23">
        <f t="shared" si="2"/>
        <v>4.6578545558375274E-3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2994.1669999999999</v>
      </c>
      <c r="C26" s="39">
        <f>IF(ISERROR(B26*3.6/1000000/'E Balans VL '!Z12*100),0,B26*3.6/1000000/'E Balans VL '!Z12*100)</f>
        <v>8.0337127582671947E-2</v>
      </c>
      <c r="D26" s="232" t="s">
        <v>621</v>
      </c>
      <c r="F26" s="6"/>
    </row>
    <row r="27" spans="1:18">
      <c r="A27" s="227" t="s">
        <v>52</v>
      </c>
      <c r="B27" s="33">
        <f>IF(ISERROR(TER_horeca_ele_kWh/1000),0,TER_horeca_ele_kWh/1000)</f>
        <v>1100.6969999999999</v>
      </c>
      <c r="C27" s="39">
        <f>IF(ISERROR(B27*3.6/1000000/'E Balans VL '!Z9*100),0,B27*3.6/1000000/'E Balans VL '!Z9*100)</f>
        <v>8.7442688077180447E-2</v>
      </c>
      <c r="D27" s="232" t="s">
        <v>621</v>
      </c>
      <c r="F27" s="6"/>
    </row>
    <row r="28" spans="1:18">
      <c r="A28" s="167" t="s">
        <v>51</v>
      </c>
      <c r="B28" s="33">
        <f>IF(ISERROR(TER_handel_ele_kWh/1000),0,TER_handel_ele_kWh/1000)</f>
        <v>3939.922</v>
      </c>
      <c r="C28" s="39">
        <f>IF(ISERROR(B28*3.6/1000000/'E Balans VL '!Z13*100),0,B28*3.6/1000000/'E Balans VL '!Z13*100)</f>
        <v>0.1152422525691142</v>
      </c>
      <c r="D28" s="232" t="s">
        <v>621</v>
      </c>
      <c r="F28" s="6"/>
    </row>
    <row r="29" spans="1:18">
      <c r="A29" s="227" t="s">
        <v>50</v>
      </c>
      <c r="B29" s="33">
        <f>IF(ISERROR(TER_gezond_ele_kWh/1000),0,TER_gezond_ele_kWh/1000)</f>
        <v>562.79200000000003</v>
      </c>
      <c r="C29" s="39">
        <f>IF(ISERROR(B29*3.6/1000000/'E Balans VL '!Z10*100),0,B29*3.6/1000000/'E Balans VL '!Z10*100)</f>
        <v>5.9732439077892677E-2</v>
      </c>
      <c r="D29" s="232" t="s">
        <v>621</v>
      </c>
      <c r="F29" s="6"/>
    </row>
    <row r="30" spans="1:18">
      <c r="A30" s="227" t="s">
        <v>49</v>
      </c>
      <c r="B30" s="33">
        <f>IF(ISERROR(TER_ander_ele_kWh/1000),0,TER_ander_ele_kWh/1000)</f>
        <v>1086.144</v>
      </c>
      <c r="C30" s="39">
        <f>IF(ISERROR(B30*3.6/1000000/'E Balans VL '!Z14*100),0,B30*3.6/1000000/'E Balans VL '!Z14*100)</f>
        <v>5.0520491075347729E-2</v>
      </c>
      <c r="D30" s="232" t="s">
        <v>621</v>
      </c>
      <c r="F30" s="6"/>
    </row>
    <row r="31" spans="1:18">
      <c r="A31" s="227" t="s">
        <v>54</v>
      </c>
      <c r="B31" s="33">
        <f>IF(ISERROR(TER_onderwijs_ele_kWh/1000),0,TER_onderwijs_ele_kWh/1000)</f>
        <v>118.07599999999999</v>
      </c>
      <c r="C31" s="39">
        <f>IF(ISERROR(B31*3.6/1000000/'E Balans VL '!Z11*100),0,B31*3.6/1000000/'E Balans VL '!Z11*100)</f>
        <v>2.9551975591001176E-2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38850.845999999998</v>
      </c>
      <c r="C5" s="17">
        <f>IF(ISERROR('Eigen informatie GS &amp; warmtenet'!B59),0,'Eigen informatie GS &amp; warmtenet'!B59)</f>
        <v>0</v>
      </c>
      <c r="D5" s="30">
        <f>SUM(D6:D15)</f>
        <v>41833.007414</v>
      </c>
      <c r="E5" s="17">
        <f>SUM(E6:E15)</f>
        <v>7486.0349802312712</v>
      </c>
      <c r="F5" s="17">
        <f>SUM(F6:F15)</f>
        <v>26777.161153297748</v>
      </c>
      <c r="G5" s="18"/>
      <c r="H5" s="17"/>
      <c r="I5" s="17"/>
      <c r="J5" s="17">
        <f>SUM(J6:J15)</f>
        <v>2.2193958461410226</v>
      </c>
      <c r="K5" s="17"/>
      <c r="L5" s="17"/>
      <c r="M5" s="17"/>
      <c r="N5" s="17">
        <f>SUM(N6:N15)</f>
        <v>6014.2863817029911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330.07799999999997</v>
      </c>
      <c r="C8" s="33"/>
      <c r="D8" s="37">
        <f>IF( ISERROR(IND_metaal_Gas_kWH/1000),0,IND_metaal_Gas_kWH/1000)*0.902</f>
        <v>171.81025400000001</v>
      </c>
      <c r="E8" s="33">
        <f>C30*'E Balans VL '!I18/100/3.6*1000000</f>
        <v>11.877204993639959</v>
      </c>
      <c r="F8" s="33">
        <f>C30*'E Balans VL '!L18/100/3.6*1000000+C30*'E Balans VL '!N18/100/3.6*1000000</f>
        <v>144.1343626224492</v>
      </c>
      <c r="G8" s="34"/>
      <c r="H8" s="33"/>
      <c r="I8" s="33"/>
      <c r="J8" s="40">
        <f>C30*'E Balans VL '!D18/100/3.6*1000000+C30*'E Balans VL '!E18/100/3.6*1000000</f>
        <v>0</v>
      </c>
      <c r="K8" s="33"/>
      <c r="L8" s="33"/>
      <c r="M8" s="33"/>
      <c r="N8" s="33">
        <f>C30*'E Balans VL '!Y18/100/3.6*1000000</f>
        <v>16.543285048231017</v>
      </c>
      <c r="O8" s="33"/>
      <c r="P8" s="33"/>
      <c r="R8" s="32"/>
    </row>
    <row r="9" spans="1:18">
      <c r="A9" s="6" t="s">
        <v>32</v>
      </c>
      <c r="B9" s="37">
        <f t="shared" si="0"/>
        <v>28234.338</v>
      </c>
      <c r="C9" s="33"/>
      <c r="D9" s="37">
        <f>IF( ISERROR(IND_andere_gas_kWh/1000),0,IND_andere_gas_kWh/1000)*0.902</f>
        <v>1129.837082</v>
      </c>
      <c r="E9" s="33">
        <f>C31*'E Balans VL '!I19/100/3.6*1000000</f>
        <v>7204.7642378100718</v>
      </c>
      <c r="F9" s="33">
        <f>C31*'E Balans VL '!L19/100/3.6*1000000+C31*'E Balans VL '!N19/100/3.6*1000000</f>
        <v>24307.642842652833</v>
      </c>
      <c r="G9" s="34"/>
      <c r="H9" s="33"/>
      <c r="I9" s="33"/>
      <c r="J9" s="40">
        <f>C31*'E Balans VL '!D19/100/3.6*1000000+C31*'E Balans VL '!E19/100/3.6*1000000</f>
        <v>0</v>
      </c>
      <c r="K9" s="33"/>
      <c r="L9" s="33"/>
      <c r="M9" s="33"/>
      <c r="N9" s="33">
        <f>C31*'E Balans VL '!Y19/100/3.6*1000000</f>
        <v>2227.358877986801</v>
      </c>
      <c r="O9" s="33"/>
      <c r="P9" s="33"/>
      <c r="R9" s="32"/>
    </row>
    <row r="10" spans="1:18">
      <c r="A10" s="6" t="s">
        <v>40</v>
      </c>
      <c r="B10" s="37">
        <f t="shared" si="0"/>
        <v>10012.671</v>
      </c>
      <c r="C10" s="33"/>
      <c r="D10" s="37">
        <f>IF( ISERROR(IND_voed_gas_kWh/1000),0,IND_voed_gas_kWh/1000)*0.902</f>
        <v>25492.871514000002</v>
      </c>
      <c r="E10" s="33">
        <f>C32*'E Balans VL '!I20/100/3.6*1000000</f>
        <v>254.53584534395131</v>
      </c>
      <c r="F10" s="33">
        <f>C32*'E Balans VL '!L20/100/3.6*1000000+C32*'E Balans VL '!N20/100/3.6*1000000</f>
        <v>2265.7171441461378</v>
      </c>
      <c r="G10" s="34"/>
      <c r="H10" s="33"/>
      <c r="I10" s="33"/>
      <c r="J10" s="40">
        <f>C32*'E Balans VL '!D20/100/3.6*1000000+C32*'E Balans VL '!E20/100/3.6*1000000</f>
        <v>0</v>
      </c>
      <c r="K10" s="33"/>
      <c r="L10" s="33"/>
      <c r="M10" s="33"/>
      <c r="N10" s="33">
        <f>C32*'E Balans VL '!Y20/100/3.6*1000000</f>
        <v>3755.0230291227731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273.75900000000001</v>
      </c>
      <c r="C15" s="33"/>
      <c r="D15" s="37">
        <f>IF( ISERROR(IND_rest_gas_kWh/1000),0,IND_rest_gas_kWh/1000)*0.902</f>
        <v>15038.488564000001</v>
      </c>
      <c r="E15" s="33">
        <f>C37*'E Balans VL '!I15/100/3.6*1000000</f>
        <v>14.857692083608194</v>
      </c>
      <c r="F15" s="33">
        <f>C37*'E Balans VL '!L15/100/3.6*1000000+C37*'E Balans VL '!N15/100/3.6*1000000</f>
        <v>59.666803876332246</v>
      </c>
      <c r="G15" s="34"/>
      <c r="H15" s="33"/>
      <c r="I15" s="33"/>
      <c r="J15" s="40">
        <f>C37*'E Balans VL '!D15/100/3.6*1000000+C37*'E Balans VL '!E15/100/3.6*1000000</f>
        <v>2.2193958461410226</v>
      </c>
      <c r="K15" s="33"/>
      <c r="L15" s="33"/>
      <c r="M15" s="33"/>
      <c r="N15" s="33">
        <f>C37*'E Balans VL '!Y15/100/3.6*1000000</f>
        <v>15.361189545186056</v>
      </c>
      <c r="O15" s="33"/>
      <c r="P15" s="33"/>
      <c r="R15" s="32"/>
    </row>
    <row r="16" spans="1:18">
      <c r="A16" s="16" t="s">
        <v>477</v>
      </c>
      <c r="B16" s="242">
        <f>'lokale energieproductie'!N38+'lokale energieproductie'!N31</f>
        <v>1125</v>
      </c>
      <c r="C16" s="242">
        <f>'lokale energieproductie'!O38+'lokale energieproductie'!O31</f>
        <v>1607.1428571428571</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-3214.2857142857147</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39975.845999999998</v>
      </c>
      <c r="C18" s="21">
        <f>C5+C16</f>
        <v>1607.1428571428571</v>
      </c>
      <c r="D18" s="21">
        <f>MAX((D5+D16),0)</f>
        <v>41833.007414</v>
      </c>
      <c r="E18" s="21">
        <f>MAX((E5+E16),0)</f>
        <v>7486.0349802312712</v>
      </c>
      <c r="F18" s="21">
        <f>MAX((F5+F16),0)</f>
        <v>26777.161153297748</v>
      </c>
      <c r="G18" s="21"/>
      <c r="H18" s="21"/>
      <c r="I18" s="21"/>
      <c r="J18" s="21">
        <f>MAX((J5+J16),0)</f>
        <v>2.2193958461410226</v>
      </c>
      <c r="K18" s="21"/>
      <c r="L18" s="21">
        <f>MAX((L5+L16),0)</f>
        <v>0</v>
      </c>
      <c r="M18" s="21"/>
      <c r="N18" s="21">
        <f>MAX((N5+N16),0)</f>
        <v>2800.0006674172764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0.19689229376254619</v>
      </c>
      <c r="C20" s="25">
        <f ca="1">'EF ele_warmte'!B22</f>
        <v>8.0807346122374769E-3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7870.9360140383069</v>
      </c>
      <c r="C22" s="23">
        <f ca="1">C18*C20</f>
        <v>12.986894912524516</v>
      </c>
      <c r="D22" s="23">
        <f>D18*D20</f>
        <v>8450.2674976280014</v>
      </c>
      <c r="E22" s="23">
        <f>E18*E20</f>
        <v>1699.3299405124985</v>
      </c>
      <c r="F22" s="23">
        <f>F18*F20</f>
        <v>7149.502027930499</v>
      </c>
      <c r="G22" s="23"/>
      <c r="H22" s="23"/>
      <c r="I22" s="23"/>
      <c r="J22" s="23">
        <f>J18*J20</f>
        <v>0.78566612953392201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330.07799999999997</v>
      </c>
      <c r="C30" s="39">
        <f>IF(ISERROR(B30*3.6/1000000/'E Balans VL '!Z18*100),0,B30*3.6/1000000/'E Balans VL '!Z18*100)</f>
        <v>6.9936451514189896E-2</v>
      </c>
      <c r="D30" s="232" t="s">
        <v>621</v>
      </c>
    </row>
    <row r="31" spans="1:18">
      <c r="A31" s="6" t="s">
        <v>32</v>
      </c>
      <c r="B31" s="37">
        <f>IF( ISERROR(IND_ander_ele_kWh/1000),0,IND_ander_ele_kWh/1000)</f>
        <v>28234.338</v>
      </c>
      <c r="C31" s="39">
        <f>IF(ISERROR(B31*3.6/1000000/'E Balans VL '!Z19*100),0,B31*3.6/1000000/'E Balans VL '!Z19*100)</f>
        <v>1.1884473971469403</v>
      </c>
      <c r="D31" s="232" t="s">
        <v>621</v>
      </c>
    </row>
    <row r="32" spans="1:18">
      <c r="A32" s="167" t="s">
        <v>40</v>
      </c>
      <c r="B32" s="37">
        <f>IF( ISERROR(IND_voed_ele_kWh/1000),0,IND_voed_ele_kWh/1000)</f>
        <v>10012.671</v>
      </c>
      <c r="C32" s="39">
        <f>IF(ISERROR(B32*3.6/1000000/'E Balans VL '!Z20*100),0,B32*3.6/1000000/'E Balans VL '!Z20*100)</f>
        <v>1.67272997613096</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273.75900000000001</v>
      </c>
      <c r="C37" s="39">
        <f>IF(ISERROR(B37*3.6/1000000/'E Balans VL '!Z15*100),0,B37*3.6/1000000/'E Balans VL '!Z15*100)</f>
        <v>2.2101624113433764E-3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2493.0329999999999</v>
      </c>
      <c r="C5" s="17">
        <f>'Eigen informatie GS &amp; warmtenet'!B60</f>
        <v>0</v>
      </c>
      <c r="D5" s="30">
        <f>IF(ISERROR(SUM(LB_lb_gas_kWh,LB_rest_gas_kWh)/1000),0,SUM(LB_lb_gas_kWh,LB_rest_gas_kWh)/1000)*0.902</f>
        <v>367.73187000000001</v>
      </c>
      <c r="E5" s="17">
        <f>B17*'E Balans VL '!I25/3.6*1000000/100</f>
        <v>49.389127756686776</v>
      </c>
      <c r="F5" s="17">
        <f>B17*('E Balans VL '!L25/3.6*1000000+'E Balans VL '!N25/3.6*1000000)/100</f>
        <v>9091.3882116791337</v>
      </c>
      <c r="G5" s="18"/>
      <c r="H5" s="17"/>
      <c r="I5" s="17"/>
      <c r="J5" s="17">
        <f>('E Balans VL '!D25+'E Balans VL '!E25)/3.6*1000000*landbouw!B17/100</f>
        <v>591.94647622771458</v>
      </c>
      <c r="K5" s="17"/>
      <c r="L5" s="17">
        <f>L6*(-1)</f>
        <v>0</v>
      </c>
      <c r="M5" s="17"/>
      <c r="N5" s="17">
        <f>N6*(-1)</f>
        <v>0</v>
      </c>
      <c r="O5" s="17"/>
      <c r="P5" s="17"/>
      <c r="R5" s="32"/>
    </row>
    <row r="6" spans="1:18">
      <c r="A6" s="16" t="s">
        <v>477</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2493.0329999999999</v>
      </c>
      <c r="C8" s="21">
        <f>C5+C6</f>
        <v>0</v>
      </c>
      <c r="D8" s="21">
        <f>MAX((D5+D6),0)</f>
        <v>367.73187000000001</v>
      </c>
      <c r="E8" s="21">
        <f>MAX((E5+E6),0)</f>
        <v>49.389127756686776</v>
      </c>
      <c r="F8" s="21">
        <f>MAX((F5+F6),0)</f>
        <v>9091.3882116791337</v>
      </c>
      <c r="G8" s="21"/>
      <c r="H8" s="21"/>
      <c r="I8" s="21"/>
      <c r="J8" s="21">
        <f>MAX((J5+J6),0)</f>
        <v>591.94647622771458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0.19689229376254619</v>
      </c>
      <c r="C10" s="31">
        <f ca="1">'EF ele_warmte'!B22</f>
        <v>8.0807346122374769E-3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490.85898579572182</v>
      </c>
      <c r="C12" s="23">
        <f ca="1">C8*C10</f>
        <v>0</v>
      </c>
      <c r="D12" s="23">
        <f>D8*D10</f>
        <v>74.281837740000014</v>
      </c>
      <c r="E12" s="23">
        <f>E8*E10</f>
        <v>11.211332000767898</v>
      </c>
      <c r="F12" s="23">
        <f>F8*F10</f>
        <v>2427.400652518329</v>
      </c>
      <c r="G12" s="23"/>
      <c r="H12" s="23"/>
      <c r="I12" s="23"/>
      <c r="J12" s="23">
        <f>J8*J10</f>
        <v>209.54905258461096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0.35153416648031233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152.1577045823731</v>
      </c>
      <c r="C26" s="242">
        <f>B26*'GWP N2O_CH4'!B5</f>
        <v>3195.3117962298352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36.5754047593813</v>
      </c>
      <c r="C27" s="242">
        <f>B27*'GWP N2O_CH4'!B5</f>
        <v>768.08349994700734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2.3043565722661365</v>
      </c>
      <c r="C28" s="242">
        <f>B28*'GWP N2O_CH4'!B4</f>
        <v>714.35053740250237</v>
      </c>
      <c r="D28" s="50"/>
    </row>
    <row r="29" spans="1:4">
      <c r="A29" s="41" t="s">
        <v>266</v>
      </c>
      <c r="B29" s="242">
        <f>B34*'ha_N2O bodem landbouw'!B4</f>
        <v>9.310591814787875</v>
      </c>
      <c r="C29" s="242">
        <f>B29*'GWP N2O_CH4'!B4</f>
        <v>2886.2834625842411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2.095389110604333E-3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8.0501618996637361E-5</v>
      </c>
      <c r="C5" s="427" t="s">
        <v>204</v>
      </c>
      <c r="D5" s="412">
        <f>SUM(D6:D11)</f>
        <v>1.3401583331035412E-4</v>
      </c>
      <c r="E5" s="412">
        <f>SUM(E6:E11)</f>
        <v>6.0451445724016479E-4</v>
      </c>
      <c r="F5" s="425" t="s">
        <v>204</v>
      </c>
      <c r="G5" s="412">
        <f>SUM(G6:G11)</f>
        <v>0.22610589200435088</v>
      </c>
      <c r="H5" s="412">
        <f>SUM(H6:H11)</f>
        <v>4.6284515249057086E-2</v>
      </c>
      <c r="I5" s="427" t="s">
        <v>204</v>
      </c>
      <c r="J5" s="427" t="s">
        <v>204</v>
      </c>
      <c r="K5" s="427" t="s">
        <v>204</v>
      </c>
      <c r="L5" s="427" t="s">
        <v>204</v>
      </c>
      <c r="M5" s="412">
        <f>SUM(M6:M11)</f>
        <v>8.5004300693475657E-3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6.3168559434827743E-5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9.9536559002190962E-5</v>
      </c>
      <c r="E6" s="818">
        <f>vkm_GW_PW*SUMIFS(TableVerdeelsleutelVkm[LPG],TableVerdeelsleutelVkm[Voertuigtype],"Lichte voertuigen")*SUMIFS(TableECFTransport[EnergieConsumptieFactor (PJ per km)],TableECFTransport[Index],CONCATENATE($A6,"_LPG_LPG"))</f>
        <v>4.5436095678227912E-4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0.12267834260459137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3.4640746376959221E-2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4.8976602437628917E-3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1.8266711940328525E-6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6.2963282366300277E-2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1.2791527011832596E-6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1.9808326785365139E-3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1.5446282211316179E-5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3.4479274308163152E-5</v>
      </c>
      <c r="E8" s="415">
        <f>vkm_NGW_PW*SUMIFS(TableVerdeelsleutelVkm[LPG],TableVerdeelsleutelVkm[Voertuigtype],"Lichte voertuigen")*SUMIFS(TableECFTransport[EnergieConsumptieFactor (PJ per km)],TableECFTransport[Index],CONCATENATE($A8,"_LPG_LPG"))</f>
        <v>1.5015350045788573E-4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3.7800433908311136E-2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1.1642438915454174E-2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1.5381327256144769E-3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6.010615646058239E-8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2.6638331251480876E-3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5.0803942506414302E-8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8.380442143368332E-5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22.361560832399267</v>
      </c>
      <c r="C14" s="21"/>
      <c r="D14" s="21">
        <f t="shared" ref="D14:M14" si="0">((D5)*10^9/3600)+D12</f>
        <v>37.226620363987259</v>
      </c>
      <c r="E14" s="21">
        <f t="shared" si="0"/>
        <v>167.92068256671243</v>
      </c>
      <c r="F14" s="21"/>
      <c r="G14" s="21">
        <f t="shared" si="0"/>
        <v>62807.1922234308</v>
      </c>
      <c r="H14" s="21">
        <f t="shared" si="0"/>
        <v>12856.809791404745</v>
      </c>
      <c r="I14" s="21"/>
      <c r="J14" s="21"/>
      <c r="K14" s="21"/>
      <c r="L14" s="21"/>
      <c r="M14" s="21">
        <f t="shared" si="0"/>
        <v>2361.2305748187682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0.19689229376254619</v>
      </c>
      <c r="C16" s="56">
        <f ca="1">'EF ele_warmte'!B22</f>
        <v>8.0807346122374769E-3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4.4028190044018034</v>
      </c>
      <c r="C18" s="23"/>
      <c r="D18" s="23">
        <f t="shared" ref="D18:M18" si="1">D14*D16</f>
        <v>7.5197773135254264</v>
      </c>
      <c r="E18" s="23">
        <f t="shared" si="1"/>
        <v>38.117994942643726</v>
      </c>
      <c r="F18" s="23"/>
      <c r="G18" s="23">
        <f t="shared" si="1"/>
        <v>16769.520323656026</v>
      </c>
      <c r="H18" s="23">
        <f t="shared" si="1"/>
        <v>3201.3456380597813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1.5036256279919966E-5</v>
      </c>
      <c r="C50" s="311">
        <f t="shared" ref="C50:P50" si="2">SUM(C51:C52)</f>
        <v>0</v>
      </c>
      <c r="D50" s="311">
        <f t="shared" si="2"/>
        <v>0</v>
      </c>
      <c r="E50" s="311">
        <f t="shared" si="2"/>
        <v>0</v>
      </c>
      <c r="F50" s="311">
        <f t="shared" si="2"/>
        <v>0</v>
      </c>
      <c r="G50" s="311">
        <f t="shared" si="2"/>
        <v>2.6809963284588224E-3</v>
      </c>
      <c r="H50" s="311">
        <f t="shared" si="2"/>
        <v>0</v>
      </c>
      <c r="I50" s="311">
        <f t="shared" si="2"/>
        <v>0</v>
      </c>
      <c r="J50" s="311">
        <f t="shared" si="2"/>
        <v>0</v>
      </c>
      <c r="K50" s="311">
        <f t="shared" si="2"/>
        <v>0</v>
      </c>
      <c r="L50" s="311">
        <f t="shared" si="2"/>
        <v>0</v>
      </c>
      <c r="M50" s="311">
        <f t="shared" si="2"/>
        <v>8.3690317495041264E-5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1.5036256279919966E-5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2.6809963284588224E-3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8.3690317495041264E-5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4.1767378555333234</v>
      </c>
      <c r="C54" s="21">
        <f t="shared" ref="C54:P54" si="3">(C50)*10^9/3600</f>
        <v>0</v>
      </c>
      <c r="D54" s="21">
        <f t="shared" si="3"/>
        <v>0</v>
      </c>
      <c r="E54" s="21">
        <f t="shared" si="3"/>
        <v>0</v>
      </c>
      <c r="F54" s="21">
        <f t="shared" si="3"/>
        <v>0</v>
      </c>
      <c r="G54" s="21">
        <f t="shared" si="3"/>
        <v>744.72120234967292</v>
      </c>
      <c r="H54" s="21">
        <f t="shared" si="3"/>
        <v>0</v>
      </c>
      <c r="I54" s="21">
        <f t="shared" si="3"/>
        <v>0</v>
      </c>
      <c r="J54" s="21">
        <f t="shared" si="3"/>
        <v>0</v>
      </c>
      <c r="K54" s="21">
        <f t="shared" si="3"/>
        <v>0</v>
      </c>
      <c r="L54" s="21">
        <f t="shared" si="3"/>
        <v>0</v>
      </c>
      <c r="M54" s="21">
        <f t="shared" si="3"/>
        <v>23.247310415289242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0.19689229376254619</v>
      </c>
      <c r="C56" s="56">
        <f ca="1">'EF ele_warmte'!B22</f>
        <v>8.0807346122374769E-3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0.82236749682081434</v>
      </c>
      <c r="C58" s="23">
        <f t="shared" ref="C58:P58" ca="1" si="4">C54*C56</f>
        <v>0</v>
      </c>
      <c r="D58" s="23">
        <f t="shared" si="4"/>
        <v>0</v>
      </c>
      <c r="E58" s="23">
        <f t="shared" si="4"/>
        <v>0</v>
      </c>
      <c r="F58" s="23">
        <f t="shared" si="4"/>
        <v>0</v>
      </c>
      <c r="G58" s="23">
        <f t="shared" si="4"/>
        <v>198.84056102736267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6990.4328459627595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1164.5999999999999</v>
      </c>
      <c r="C8" s="534">
        <f>B49</f>
        <v>46.588235294117652</v>
      </c>
      <c r="D8" s="961"/>
      <c r="E8" s="961">
        <f>E49</f>
        <v>0</v>
      </c>
      <c r="F8" s="962"/>
      <c r="G8" s="535"/>
      <c r="H8" s="961">
        <f>I49</f>
        <v>0</v>
      </c>
      <c r="I8" s="961">
        <f>G49+F49</f>
        <v>0</v>
      </c>
      <c r="J8" s="961">
        <f>H49+D49+C49</f>
        <v>1323.5294117647061</v>
      </c>
      <c r="K8" s="961"/>
      <c r="L8" s="961"/>
      <c r="M8" s="961"/>
      <c r="N8" s="536"/>
      <c r="O8" s="537">
        <f>C8*$C$12+D8*$D$12+E8*$E$12+F8*$F$12+G8*$G$12+H8*$H$12+I8*$I$12+J8*$J$12</f>
        <v>9.4108235294117666</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8155.0328459627599</v>
      </c>
      <c r="C10" s="547">
        <f t="shared" ref="C10:L10" si="0">SUM(C8:C9)</f>
        <v>46.588235294117652</v>
      </c>
      <c r="D10" s="547">
        <f t="shared" si="0"/>
        <v>0</v>
      </c>
      <c r="E10" s="547">
        <f t="shared" si="0"/>
        <v>0</v>
      </c>
      <c r="F10" s="547">
        <f t="shared" si="0"/>
        <v>0</v>
      </c>
      <c r="G10" s="547">
        <f t="shared" si="0"/>
        <v>0</v>
      </c>
      <c r="H10" s="547">
        <f t="shared" si="0"/>
        <v>0</v>
      </c>
      <c r="I10" s="547">
        <f t="shared" si="0"/>
        <v>0</v>
      </c>
      <c r="J10" s="547">
        <f t="shared" si="0"/>
        <v>1323.5294117647061</v>
      </c>
      <c r="K10" s="547">
        <f t="shared" si="0"/>
        <v>0</v>
      </c>
      <c r="L10" s="547">
        <f t="shared" si="0"/>
        <v>0</v>
      </c>
      <c r="M10" s="964"/>
      <c r="N10" s="964"/>
      <c r="O10" s="548">
        <f>SUM(O4:O9)</f>
        <v>9.4108235294117666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1663.7142857142858</v>
      </c>
      <c r="C17" s="559">
        <f>B50</f>
        <v>66.554621848739501</v>
      </c>
      <c r="D17" s="560"/>
      <c r="E17" s="560">
        <f>E50</f>
        <v>0</v>
      </c>
      <c r="F17" s="967"/>
      <c r="G17" s="561"/>
      <c r="H17" s="559">
        <f>I50</f>
        <v>0</v>
      </c>
      <c r="I17" s="560">
        <f>G50+F50</f>
        <v>0</v>
      </c>
      <c r="J17" s="560">
        <f>H50+D50+C50</f>
        <v>1890.7563025210086</v>
      </c>
      <c r="K17" s="560"/>
      <c r="L17" s="560"/>
      <c r="M17" s="560"/>
      <c r="N17" s="968"/>
      <c r="O17" s="562">
        <f>C17*$C$22+E17*$E$22+H17*$H$22+I17*$I$22+J17*$J$22+D17*$D$22+F17*$F$22+G17*$G$22+K17*$K$22+L17*$L$22</f>
        <v>13.444033613445381</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1663.7142857142858</v>
      </c>
      <c r="C20" s="546">
        <f>SUM(C17:C19)</f>
        <v>66.554621848739501</v>
      </c>
      <c r="D20" s="546">
        <f t="shared" ref="D20:L20" si="1">SUM(D17:D19)</f>
        <v>0</v>
      </c>
      <c r="E20" s="546">
        <f t="shared" si="1"/>
        <v>0</v>
      </c>
      <c r="F20" s="546">
        <f t="shared" si="1"/>
        <v>0</v>
      </c>
      <c r="G20" s="546">
        <f t="shared" si="1"/>
        <v>0</v>
      </c>
      <c r="H20" s="546">
        <f t="shared" si="1"/>
        <v>0</v>
      </c>
      <c r="I20" s="546">
        <f t="shared" si="1"/>
        <v>0</v>
      </c>
      <c r="J20" s="546">
        <f t="shared" si="1"/>
        <v>1890.7563025210086</v>
      </c>
      <c r="K20" s="546">
        <f t="shared" si="1"/>
        <v>0</v>
      </c>
      <c r="L20" s="546">
        <f t="shared" si="1"/>
        <v>0</v>
      </c>
      <c r="M20" s="546"/>
      <c r="N20" s="546"/>
      <c r="O20" s="565">
        <f>SUM(O17:O19)</f>
        <v>13.444033613445381</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73001</v>
      </c>
      <c r="C28" s="724">
        <v>3570</v>
      </c>
      <c r="D28" s="617"/>
      <c r="E28" s="616"/>
      <c r="F28" s="616"/>
      <c r="G28" s="616" t="s">
        <v>887</v>
      </c>
      <c r="H28" s="616" t="s">
        <v>888</v>
      </c>
      <c r="I28" s="616"/>
      <c r="J28" s="723"/>
      <c r="K28" s="723"/>
      <c r="L28" s="616" t="s">
        <v>889</v>
      </c>
      <c r="M28" s="616">
        <v>250</v>
      </c>
      <c r="N28" s="616">
        <v>1125</v>
      </c>
      <c r="O28" s="616">
        <v>1607.1428571428571</v>
      </c>
      <c r="P28" s="616">
        <v>0</v>
      </c>
      <c r="Q28" s="616">
        <v>3214.2857142857147</v>
      </c>
      <c r="R28" s="616">
        <v>0</v>
      </c>
      <c r="S28" s="616">
        <v>0</v>
      </c>
      <c r="T28" s="616">
        <v>0</v>
      </c>
      <c r="U28" s="616">
        <v>0</v>
      </c>
      <c r="V28" s="616">
        <v>0</v>
      </c>
      <c r="W28" s="616">
        <v>0</v>
      </c>
      <c r="X28" s="616"/>
      <c r="Y28" s="616">
        <v>500</v>
      </c>
      <c r="Z28" s="616" t="s">
        <v>40</v>
      </c>
      <c r="AA28" s="618" t="s">
        <v>376</v>
      </c>
    </row>
    <row r="29" spans="1:27" s="570" customFormat="1" ht="25.5" hidden="1">
      <c r="A29" s="569"/>
      <c r="B29" s="724">
        <v>73001</v>
      </c>
      <c r="C29" s="724">
        <v>3570</v>
      </c>
      <c r="D29" s="617"/>
      <c r="E29" s="616"/>
      <c r="F29" s="616"/>
      <c r="G29" s="616" t="s">
        <v>887</v>
      </c>
      <c r="H29" s="616" t="s">
        <v>888</v>
      </c>
      <c r="I29" s="616"/>
      <c r="J29" s="723"/>
      <c r="K29" s="723"/>
      <c r="L29" s="616" t="s">
        <v>889</v>
      </c>
      <c r="M29" s="616">
        <v>8.8000000000000007</v>
      </c>
      <c r="N29" s="616">
        <v>39.6</v>
      </c>
      <c r="O29" s="616">
        <v>56.571428571428577</v>
      </c>
      <c r="P29" s="616">
        <v>113.14285714285715</v>
      </c>
      <c r="Q29" s="616">
        <v>0</v>
      </c>
      <c r="R29" s="616">
        <v>0</v>
      </c>
      <c r="S29" s="616">
        <v>0</v>
      </c>
      <c r="T29" s="616">
        <v>0</v>
      </c>
      <c r="U29" s="616">
        <v>0</v>
      </c>
      <c r="V29" s="616">
        <v>0</v>
      </c>
      <c r="W29" s="616">
        <v>0</v>
      </c>
      <c r="X29" s="616"/>
      <c r="Y29" s="616">
        <v>1300</v>
      </c>
      <c r="Z29" s="616" t="s">
        <v>53</v>
      </c>
      <c r="AA29" s="618" t="s">
        <v>149</v>
      </c>
    </row>
    <row r="30" spans="1:27" s="554" customFormat="1" hidden="1">
      <c r="A30" s="572" t="s">
        <v>269</v>
      </c>
      <c r="B30" s="573"/>
      <c r="C30" s="573"/>
      <c r="D30" s="573"/>
      <c r="E30" s="573"/>
      <c r="F30" s="573"/>
      <c r="G30" s="573"/>
      <c r="H30" s="573"/>
      <c r="I30" s="573"/>
      <c r="J30" s="573"/>
      <c r="K30" s="573"/>
      <c r="L30" s="574"/>
      <c r="M30" s="574">
        <f>SUM(M28:M29)</f>
        <v>258.8</v>
      </c>
      <c r="N30" s="574">
        <f>SUM(N28:N29)</f>
        <v>1164.5999999999999</v>
      </c>
      <c r="O30" s="574">
        <f>SUM(O28:O29)</f>
        <v>1663.7142857142858</v>
      </c>
      <c r="P30" s="574">
        <f>SUM(P28:P29)</f>
        <v>113.14285714285715</v>
      </c>
      <c r="Q30" s="574">
        <f>SUM(Q28:Q29)</f>
        <v>3214.2857142857147</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250</v>
      </c>
      <c r="N31" s="574">
        <f>SUMIF($AA$28:$AA$29,"industrie",N28:N29)</f>
        <v>1125</v>
      </c>
      <c r="O31" s="574">
        <f>SUMIF($AA$28:$AA$29,"industrie",O28:O29)</f>
        <v>1607.1428571428571</v>
      </c>
      <c r="P31" s="574">
        <f>SUMIF($AA$28:$AA$29,"industrie",P28:P29)</f>
        <v>0</v>
      </c>
      <c r="Q31" s="574">
        <f>SUMIF($AA$28:$AA$29,"industrie",Q28:Q29)</f>
        <v>3214.2857142857147</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8.8000000000000007</v>
      </c>
      <c r="N32" s="574">
        <f ca="1">SUMIF($AA$28:AE29,"tertiair",N28:N29)</f>
        <v>39.6</v>
      </c>
      <c r="O32" s="574">
        <f ca="1">SUMIF($AA$28:AF29,"tertiair",O28:O29)</f>
        <v>56.571428571428577</v>
      </c>
      <c r="P32" s="574">
        <f ca="1">SUMIF($AA$28:AG29,"tertiair",P28:P29)</f>
        <v>113.14285714285715</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46.588235294117652</v>
      </c>
      <c r="C49" s="608">
        <f t="shared" si="2"/>
        <v>1323.5294117647061</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66.554621848739501</v>
      </c>
      <c r="C50" s="611">
        <f t="shared" si="3"/>
        <v>1890.7563025210086</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10446.197</v>
      </c>
      <c r="D10" s="930">
        <f ca="1">tertiair!C16</f>
        <v>56.571428571428577</v>
      </c>
      <c r="E10" s="930">
        <f ca="1">tertiair!D16</f>
        <v>8072.9193568571427</v>
      </c>
      <c r="F10" s="930">
        <f>tertiair!E16</f>
        <v>158.37587503239055</v>
      </c>
      <c r="G10" s="930">
        <f ca="1">tertiair!F16</f>
        <v>2021.1992586042306</v>
      </c>
      <c r="H10" s="930">
        <f>tertiair!G16</f>
        <v>0</v>
      </c>
      <c r="I10" s="930">
        <f>tertiair!H16</f>
        <v>0</v>
      </c>
      <c r="J10" s="930">
        <f>tertiair!I16</f>
        <v>0</v>
      </c>
      <c r="K10" s="930">
        <f>tertiair!J16</f>
        <v>1.3157781231179456E-2</v>
      </c>
      <c r="L10" s="930">
        <f>tertiair!K16</f>
        <v>0</v>
      </c>
      <c r="M10" s="930">
        <f ca="1">tertiair!L16</f>
        <v>0</v>
      </c>
      <c r="N10" s="930">
        <f>tertiair!M16</f>
        <v>0</v>
      </c>
      <c r="O10" s="930">
        <f ca="1">tertiair!N16</f>
        <v>472.92290169866925</v>
      </c>
      <c r="P10" s="930">
        <f>tertiair!O16</f>
        <v>3.1266666666666669</v>
      </c>
      <c r="Q10" s="931">
        <f>tertiair!P16</f>
        <v>38.133333333333333</v>
      </c>
      <c r="R10" s="628">
        <f ca="1">SUM(C10:Q10)</f>
        <v>21269.458978545095</v>
      </c>
      <c r="S10" s="67"/>
    </row>
    <row r="11" spans="1:19" s="437" customFormat="1">
      <c r="A11" s="736" t="s">
        <v>214</v>
      </c>
      <c r="B11" s="741"/>
      <c r="C11" s="930">
        <f>huishoudens!B8</f>
        <v>21015.503340834992</v>
      </c>
      <c r="D11" s="930">
        <f>huishoudens!C8</f>
        <v>0</v>
      </c>
      <c r="E11" s="930">
        <f>huishoudens!D8</f>
        <v>27620.267378</v>
      </c>
      <c r="F11" s="930">
        <f>huishoudens!E8</f>
        <v>1462.9535416720571</v>
      </c>
      <c r="G11" s="930">
        <f>huishoudens!F8</f>
        <v>39774.811069308147</v>
      </c>
      <c r="H11" s="930">
        <f>huishoudens!G8</f>
        <v>0</v>
      </c>
      <c r="I11" s="930">
        <f>huishoudens!H8</f>
        <v>0</v>
      </c>
      <c r="J11" s="930">
        <f>huishoudens!I8</f>
        <v>0</v>
      </c>
      <c r="K11" s="930">
        <f>huishoudens!J8</f>
        <v>733.51855889153887</v>
      </c>
      <c r="L11" s="930">
        <f>huishoudens!K8</f>
        <v>0</v>
      </c>
      <c r="M11" s="930">
        <f>huishoudens!L8</f>
        <v>0</v>
      </c>
      <c r="N11" s="930">
        <f>huishoudens!M8</f>
        <v>0</v>
      </c>
      <c r="O11" s="930">
        <f>huishoudens!N8</f>
        <v>6382.3844602704721</v>
      </c>
      <c r="P11" s="930">
        <f>huishoudens!O8</f>
        <v>301.72333333333336</v>
      </c>
      <c r="Q11" s="931">
        <f>huishoudens!P8</f>
        <v>858</v>
      </c>
      <c r="R11" s="628">
        <f>SUM(C11:Q11)</f>
        <v>98149.161682310529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39975.845999999998</v>
      </c>
      <c r="D13" s="930">
        <f>industrie!C18</f>
        <v>1607.1428571428571</v>
      </c>
      <c r="E13" s="930">
        <f>industrie!D18</f>
        <v>41833.007414</v>
      </c>
      <c r="F13" s="930">
        <f>industrie!E18</f>
        <v>7486.0349802312712</v>
      </c>
      <c r="G13" s="930">
        <f>industrie!F18</f>
        <v>26777.161153297748</v>
      </c>
      <c r="H13" s="930">
        <f>industrie!G18</f>
        <v>0</v>
      </c>
      <c r="I13" s="930">
        <f>industrie!H18</f>
        <v>0</v>
      </c>
      <c r="J13" s="930">
        <f>industrie!I18</f>
        <v>0</v>
      </c>
      <c r="K13" s="930">
        <f>industrie!J18</f>
        <v>2.2193958461410226</v>
      </c>
      <c r="L13" s="930">
        <f>industrie!K18</f>
        <v>0</v>
      </c>
      <c r="M13" s="930">
        <f>industrie!L18</f>
        <v>0</v>
      </c>
      <c r="N13" s="930">
        <f>industrie!M18</f>
        <v>0</v>
      </c>
      <c r="O13" s="930">
        <f>industrie!N18</f>
        <v>2800.0006674172764</v>
      </c>
      <c r="P13" s="930">
        <f>industrie!O18</f>
        <v>0</v>
      </c>
      <c r="Q13" s="931">
        <f>industrie!P18</f>
        <v>0</v>
      </c>
      <c r="R13" s="628">
        <f>SUM(C13:Q13)</f>
        <v>120481.41246793528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71437.54634083499</v>
      </c>
      <c r="D16" s="660">
        <f t="shared" ref="D16:R16" ca="1" si="0">SUM(D9:D15)</f>
        <v>1663.7142857142858</v>
      </c>
      <c r="E16" s="660">
        <f t="shared" ca="1" si="0"/>
        <v>77526.194148857147</v>
      </c>
      <c r="F16" s="660">
        <f t="shared" si="0"/>
        <v>9107.3643969357181</v>
      </c>
      <c r="G16" s="660">
        <f t="shared" ca="1" si="0"/>
        <v>68573.171481210127</v>
      </c>
      <c r="H16" s="660">
        <f t="shared" si="0"/>
        <v>0</v>
      </c>
      <c r="I16" s="660">
        <f t="shared" si="0"/>
        <v>0</v>
      </c>
      <c r="J16" s="660">
        <f t="shared" si="0"/>
        <v>0</v>
      </c>
      <c r="K16" s="660">
        <f t="shared" si="0"/>
        <v>735.75111251891099</v>
      </c>
      <c r="L16" s="660">
        <f t="shared" si="0"/>
        <v>0</v>
      </c>
      <c r="M16" s="660">
        <f t="shared" ca="1" si="0"/>
        <v>0</v>
      </c>
      <c r="N16" s="660">
        <f t="shared" si="0"/>
        <v>0</v>
      </c>
      <c r="O16" s="660">
        <f t="shared" ca="1" si="0"/>
        <v>9655.3080293864186</v>
      </c>
      <c r="P16" s="660">
        <f t="shared" si="0"/>
        <v>304.85000000000002</v>
      </c>
      <c r="Q16" s="660">
        <f t="shared" si="0"/>
        <v>896.13333333333333</v>
      </c>
      <c r="R16" s="660">
        <f t="shared" ca="1" si="0"/>
        <v>239900.03312879091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4.1767378555333234</v>
      </c>
      <c r="D19" s="930">
        <f>transport!C54</f>
        <v>0</v>
      </c>
      <c r="E19" s="930">
        <f>transport!D54</f>
        <v>0</v>
      </c>
      <c r="F19" s="930">
        <f>transport!E54</f>
        <v>0</v>
      </c>
      <c r="G19" s="930">
        <f>transport!F54</f>
        <v>0</v>
      </c>
      <c r="H19" s="930">
        <f>transport!G54</f>
        <v>744.72120234967292</v>
      </c>
      <c r="I19" s="930">
        <f>transport!H54</f>
        <v>0</v>
      </c>
      <c r="J19" s="930">
        <f>transport!I54</f>
        <v>0</v>
      </c>
      <c r="K19" s="930">
        <f>transport!J54</f>
        <v>0</v>
      </c>
      <c r="L19" s="930">
        <f>transport!K54</f>
        <v>0</v>
      </c>
      <c r="M19" s="930">
        <f>transport!L54</f>
        <v>0</v>
      </c>
      <c r="N19" s="930">
        <f>transport!M54</f>
        <v>23.247310415289242</v>
      </c>
      <c r="O19" s="930">
        <f>transport!N54</f>
        <v>0</v>
      </c>
      <c r="P19" s="930">
        <f>transport!O54</f>
        <v>0</v>
      </c>
      <c r="Q19" s="931">
        <f>transport!P54</f>
        <v>0</v>
      </c>
      <c r="R19" s="628">
        <f>SUM(C19:Q19)</f>
        <v>772.14525062049552</v>
      </c>
      <c r="S19" s="67"/>
    </row>
    <row r="20" spans="1:19" s="437" customFormat="1">
      <c r="A20" s="736" t="s">
        <v>296</v>
      </c>
      <c r="B20" s="741"/>
      <c r="C20" s="930">
        <f>transport!B14</f>
        <v>22.361560832399267</v>
      </c>
      <c r="D20" s="930">
        <f>transport!C14</f>
        <v>0</v>
      </c>
      <c r="E20" s="930">
        <f>transport!D14</f>
        <v>37.226620363987259</v>
      </c>
      <c r="F20" s="930">
        <f>transport!E14</f>
        <v>167.92068256671243</v>
      </c>
      <c r="G20" s="930">
        <f>transport!F14</f>
        <v>0</v>
      </c>
      <c r="H20" s="930">
        <f>transport!G14</f>
        <v>62807.1922234308</v>
      </c>
      <c r="I20" s="930">
        <f>transport!H14</f>
        <v>12856.809791404745</v>
      </c>
      <c r="J20" s="930">
        <f>transport!I14</f>
        <v>0</v>
      </c>
      <c r="K20" s="930">
        <f>transport!J14</f>
        <v>0</v>
      </c>
      <c r="L20" s="930">
        <f>transport!K14</f>
        <v>0</v>
      </c>
      <c r="M20" s="930">
        <f>transport!L14</f>
        <v>0</v>
      </c>
      <c r="N20" s="930">
        <f>transport!M14</f>
        <v>2361.2305748187682</v>
      </c>
      <c r="O20" s="930">
        <f>transport!N14</f>
        <v>0</v>
      </c>
      <c r="P20" s="930">
        <f>transport!O14</f>
        <v>0</v>
      </c>
      <c r="Q20" s="931">
        <f>transport!P14</f>
        <v>0</v>
      </c>
      <c r="R20" s="628">
        <f>SUM(C20:Q20)</f>
        <v>78252.741453417402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26.538298687932588</v>
      </c>
      <c r="D22" s="739">
        <f t="shared" ref="D22:R22" si="1">SUM(D18:D21)</f>
        <v>0</v>
      </c>
      <c r="E22" s="739">
        <f t="shared" si="1"/>
        <v>37.226620363987259</v>
      </c>
      <c r="F22" s="739">
        <f t="shared" si="1"/>
        <v>167.92068256671243</v>
      </c>
      <c r="G22" s="739">
        <f t="shared" si="1"/>
        <v>0</v>
      </c>
      <c r="H22" s="739">
        <f t="shared" si="1"/>
        <v>63551.913425780476</v>
      </c>
      <c r="I22" s="739">
        <f t="shared" si="1"/>
        <v>12856.809791404745</v>
      </c>
      <c r="J22" s="739">
        <f t="shared" si="1"/>
        <v>0</v>
      </c>
      <c r="K22" s="739">
        <f t="shared" si="1"/>
        <v>0</v>
      </c>
      <c r="L22" s="739">
        <f t="shared" si="1"/>
        <v>0</v>
      </c>
      <c r="M22" s="739">
        <f t="shared" si="1"/>
        <v>0</v>
      </c>
      <c r="N22" s="739">
        <f t="shared" si="1"/>
        <v>2384.4778852340573</v>
      </c>
      <c r="O22" s="739">
        <f t="shared" si="1"/>
        <v>0</v>
      </c>
      <c r="P22" s="739">
        <f t="shared" si="1"/>
        <v>0</v>
      </c>
      <c r="Q22" s="739">
        <f t="shared" si="1"/>
        <v>0</v>
      </c>
      <c r="R22" s="739">
        <f t="shared" si="1"/>
        <v>79024.886704037897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2493.0329999999999</v>
      </c>
      <c r="D24" s="930">
        <f>+landbouw!C8</f>
        <v>0</v>
      </c>
      <c r="E24" s="930">
        <f>+landbouw!D8</f>
        <v>367.73187000000001</v>
      </c>
      <c r="F24" s="930">
        <f>+landbouw!E8</f>
        <v>49.389127756686776</v>
      </c>
      <c r="G24" s="930">
        <f>+landbouw!F8</f>
        <v>9091.3882116791337</v>
      </c>
      <c r="H24" s="930">
        <f>+landbouw!G8</f>
        <v>0</v>
      </c>
      <c r="I24" s="930">
        <f>+landbouw!H8</f>
        <v>0</v>
      </c>
      <c r="J24" s="930">
        <f>+landbouw!I8</f>
        <v>0</v>
      </c>
      <c r="K24" s="930">
        <f>+landbouw!J8</f>
        <v>591.94647622771458</v>
      </c>
      <c r="L24" s="930">
        <f>+landbouw!K8</f>
        <v>0</v>
      </c>
      <c r="M24" s="930">
        <f>+landbouw!L8</f>
        <v>0</v>
      </c>
      <c r="N24" s="930">
        <f>+landbouw!M8</f>
        <v>0</v>
      </c>
      <c r="O24" s="930">
        <f>+landbouw!N8</f>
        <v>0</v>
      </c>
      <c r="P24" s="930">
        <f>+landbouw!O8</f>
        <v>0</v>
      </c>
      <c r="Q24" s="931">
        <f>+landbouw!P8</f>
        <v>0</v>
      </c>
      <c r="R24" s="628">
        <f>SUM(C24:Q24)</f>
        <v>12593.488685663535</v>
      </c>
      <c r="S24" s="67"/>
    </row>
    <row r="25" spans="1:19" s="437" customFormat="1" ht="15" thickBot="1">
      <c r="A25" s="758" t="s">
        <v>788</v>
      </c>
      <c r="B25" s="933"/>
      <c r="C25" s="934">
        <f>IF(Onbekend_ele_kWh="---",0,Onbekend_ele_kWh)/1000+IF(REST_rest_ele_kWh="---",0,REST_rest_ele_kWh)/1000</f>
        <v>411.27800000000002</v>
      </c>
      <c r="D25" s="934"/>
      <c r="E25" s="934">
        <f>IF(onbekend_gas_kWh="---",0,onbekend_gas_kWh)/1000+IF(REST_rest_gas_kWh="---",0,REST_rest_gas_kWh)/1000</f>
        <v>501.34699999999998</v>
      </c>
      <c r="F25" s="934"/>
      <c r="G25" s="934"/>
      <c r="H25" s="934"/>
      <c r="I25" s="934"/>
      <c r="J25" s="934"/>
      <c r="K25" s="934"/>
      <c r="L25" s="934"/>
      <c r="M25" s="934"/>
      <c r="N25" s="934"/>
      <c r="O25" s="934"/>
      <c r="P25" s="934"/>
      <c r="Q25" s="935"/>
      <c r="R25" s="628">
        <f>SUM(C25:Q25)</f>
        <v>912.625</v>
      </c>
      <c r="S25" s="67"/>
    </row>
    <row r="26" spans="1:19" s="437" customFormat="1" ht="15.75" thickBot="1">
      <c r="A26" s="633" t="s">
        <v>789</v>
      </c>
      <c r="B26" s="744"/>
      <c r="C26" s="739">
        <f>SUM(C24:C25)</f>
        <v>2904.3109999999997</v>
      </c>
      <c r="D26" s="739">
        <f t="shared" ref="D26:R26" si="2">SUM(D24:D25)</f>
        <v>0</v>
      </c>
      <c r="E26" s="739">
        <f t="shared" si="2"/>
        <v>869.07887000000005</v>
      </c>
      <c r="F26" s="739">
        <f t="shared" si="2"/>
        <v>49.389127756686776</v>
      </c>
      <c r="G26" s="739">
        <f t="shared" si="2"/>
        <v>9091.3882116791337</v>
      </c>
      <c r="H26" s="739">
        <f t="shared" si="2"/>
        <v>0</v>
      </c>
      <c r="I26" s="739">
        <f t="shared" si="2"/>
        <v>0</v>
      </c>
      <c r="J26" s="739">
        <f t="shared" si="2"/>
        <v>0</v>
      </c>
      <c r="K26" s="739">
        <f t="shared" si="2"/>
        <v>591.94647622771458</v>
      </c>
      <c r="L26" s="739">
        <f t="shared" si="2"/>
        <v>0</v>
      </c>
      <c r="M26" s="739">
        <f t="shared" si="2"/>
        <v>0</v>
      </c>
      <c r="N26" s="739">
        <f t="shared" si="2"/>
        <v>0</v>
      </c>
      <c r="O26" s="739">
        <f t="shared" si="2"/>
        <v>0</v>
      </c>
      <c r="P26" s="739">
        <f t="shared" si="2"/>
        <v>0</v>
      </c>
      <c r="Q26" s="739">
        <f t="shared" si="2"/>
        <v>0</v>
      </c>
      <c r="R26" s="739">
        <f t="shared" si="2"/>
        <v>13506.113685663535</v>
      </c>
      <c r="S26" s="67"/>
    </row>
    <row r="27" spans="1:19" s="437" customFormat="1" ht="17.25" thickTop="1" thickBot="1">
      <c r="A27" s="634" t="s">
        <v>109</v>
      </c>
      <c r="B27" s="732"/>
      <c r="C27" s="635">
        <f ca="1">C22+C16+C26</f>
        <v>74368.395639522918</v>
      </c>
      <c r="D27" s="635">
        <f t="shared" ref="D27:R27" ca="1" si="3">D22+D16+D26</f>
        <v>1663.7142857142858</v>
      </c>
      <c r="E27" s="635">
        <f t="shared" ca="1" si="3"/>
        <v>78432.499639221132</v>
      </c>
      <c r="F27" s="635">
        <f t="shared" si="3"/>
        <v>9324.6742072591169</v>
      </c>
      <c r="G27" s="635">
        <f t="shared" ca="1" si="3"/>
        <v>77664.559692889263</v>
      </c>
      <c r="H27" s="635">
        <f t="shared" si="3"/>
        <v>63551.913425780476</v>
      </c>
      <c r="I27" s="635">
        <f t="shared" si="3"/>
        <v>12856.809791404745</v>
      </c>
      <c r="J27" s="635">
        <f t="shared" si="3"/>
        <v>0</v>
      </c>
      <c r="K27" s="635">
        <f t="shared" si="3"/>
        <v>1327.6975887466256</v>
      </c>
      <c r="L27" s="635">
        <f t="shared" si="3"/>
        <v>0</v>
      </c>
      <c r="M27" s="635">
        <f t="shared" ca="1" si="3"/>
        <v>0</v>
      </c>
      <c r="N27" s="635">
        <f t="shared" si="3"/>
        <v>2384.4778852340573</v>
      </c>
      <c r="O27" s="635">
        <f t="shared" ca="1" si="3"/>
        <v>9655.3080293864186</v>
      </c>
      <c r="P27" s="635">
        <f t="shared" si="3"/>
        <v>304.85000000000002</v>
      </c>
      <c r="Q27" s="635">
        <f t="shared" si="3"/>
        <v>896.13333333333333</v>
      </c>
      <c r="R27" s="635">
        <f t="shared" ca="1" si="3"/>
        <v>332431.03351849236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2056.7756884254286</v>
      </c>
      <c r="D40" s="930">
        <f ca="1">tertiair!C20</f>
        <v>0.45713870092086301</v>
      </c>
      <c r="E40" s="930">
        <f ca="1">tertiair!D20</f>
        <v>1630.7297100851429</v>
      </c>
      <c r="F40" s="930">
        <f>tertiair!E20</f>
        <v>35.951323632352654</v>
      </c>
      <c r="G40" s="930">
        <f ca="1">tertiair!F20</f>
        <v>539.66020204732956</v>
      </c>
      <c r="H40" s="930">
        <f>tertiair!G20</f>
        <v>0</v>
      </c>
      <c r="I40" s="930">
        <f>tertiair!H20</f>
        <v>0</v>
      </c>
      <c r="J40" s="930">
        <f>tertiair!I20</f>
        <v>0</v>
      </c>
      <c r="K40" s="930">
        <f>tertiair!J20</f>
        <v>4.6578545558375274E-3</v>
      </c>
      <c r="L40" s="930">
        <f>tertiair!K20</f>
        <v>0</v>
      </c>
      <c r="M40" s="930">
        <f ca="1">tertiair!L20</f>
        <v>0</v>
      </c>
      <c r="N40" s="930">
        <f>tertiair!M20</f>
        <v>0</v>
      </c>
      <c r="O40" s="930">
        <f ca="1">tertiair!N20</f>
        <v>0</v>
      </c>
      <c r="P40" s="930">
        <f>tertiair!O20</f>
        <v>0</v>
      </c>
      <c r="Q40" s="702">
        <f>tertiair!P20</f>
        <v>0</v>
      </c>
      <c r="R40" s="777">
        <f t="shared" ca="1" si="4"/>
        <v>4263.5787207457306</v>
      </c>
    </row>
    <row r="41" spans="1:18">
      <c r="A41" s="749" t="s">
        <v>214</v>
      </c>
      <c r="B41" s="756"/>
      <c r="C41" s="930">
        <f ca="1">huishoudens!B12</f>
        <v>4137.7906573514538</v>
      </c>
      <c r="D41" s="930">
        <f ca="1">huishoudens!C12</f>
        <v>0</v>
      </c>
      <c r="E41" s="930">
        <f>huishoudens!D12</f>
        <v>5579.2940103560004</v>
      </c>
      <c r="F41" s="930">
        <f>huishoudens!E12</f>
        <v>332.09045395955695</v>
      </c>
      <c r="G41" s="930">
        <f>huishoudens!F12</f>
        <v>10619.874555505276</v>
      </c>
      <c r="H41" s="930">
        <f>huishoudens!G12</f>
        <v>0</v>
      </c>
      <c r="I41" s="930">
        <f>huishoudens!H12</f>
        <v>0</v>
      </c>
      <c r="J41" s="930">
        <f>huishoudens!I12</f>
        <v>0</v>
      </c>
      <c r="K41" s="930">
        <f>huishoudens!J12</f>
        <v>259.66556984760473</v>
      </c>
      <c r="L41" s="930">
        <f>huishoudens!K12</f>
        <v>0</v>
      </c>
      <c r="M41" s="930">
        <f>huishoudens!L12</f>
        <v>0</v>
      </c>
      <c r="N41" s="930">
        <f>huishoudens!M12</f>
        <v>0</v>
      </c>
      <c r="O41" s="930">
        <f>huishoudens!N12</f>
        <v>0</v>
      </c>
      <c r="P41" s="930">
        <f>huishoudens!O12</f>
        <v>0</v>
      </c>
      <c r="Q41" s="702">
        <f>huishoudens!P12</f>
        <v>0</v>
      </c>
      <c r="R41" s="777">
        <f t="shared" ca="1" si="4"/>
        <v>20928.715247019896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7870.9360140383069</v>
      </c>
      <c r="D43" s="930">
        <f ca="1">industrie!C22</f>
        <v>12.986894912524516</v>
      </c>
      <c r="E43" s="930">
        <f>industrie!D22</f>
        <v>8450.2674976280014</v>
      </c>
      <c r="F43" s="930">
        <f>industrie!E22</f>
        <v>1699.3299405124985</v>
      </c>
      <c r="G43" s="930">
        <f>industrie!F22</f>
        <v>7149.502027930499</v>
      </c>
      <c r="H43" s="930">
        <f>industrie!G22</f>
        <v>0</v>
      </c>
      <c r="I43" s="930">
        <f>industrie!H22</f>
        <v>0</v>
      </c>
      <c r="J43" s="930">
        <f>industrie!I22</f>
        <v>0</v>
      </c>
      <c r="K43" s="930">
        <f>industrie!J22</f>
        <v>0.78566612953392201</v>
      </c>
      <c r="L43" s="930">
        <f>industrie!K22</f>
        <v>0</v>
      </c>
      <c r="M43" s="930">
        <f>industrie!L22</f>
        <v>0</v>
      </c>
      <c r="N43" s="930">
        <f>industrie!M22</f>
        <v>0</v>
      </c>
      <c r="O43" s="930">
        <f>industrie!N22</f>
        <v>0</v>
      </c>
      <c r="P43" s="930">
        <f>industrie!O22</f>
        <v>0</v>
      </c>
      <c r="Q43" s="702">
        <f>industrie!P22</f>
        <v>0</v>
      </c>
      <c r="R43" s="776">
        <f t="shared" ca="1" si="4"/>
        <v>25183.808041151366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14065.502359815189</v>
      </c>
      <c r="D46" s="660">
        <f t="shared" ref="D46:Q46" ca="1" si="5">SUM(D39:D45)</f>
        <v>13.444033613445379</v>
      </c>
      <c r="E46" s="660">
        <f t="shared" ca="1" si="5"/>
        <v>15660.291218069146</v>
      </c>
      <c r="F46" s="660">
        <f t="shared" si="5"/>
        <v>2067.371718104408</v>
      </c>
      <c r="G46" s="660">
        <f t="shared" ca="1" si="5"/>
        <v>18309.036785483106</v>
      </c>
      <c r="H46" s="660">
        <f t="shared" si="5"/>
        <v>0</v>
      </c>
      <c r="I46" s="660">
        <f t="shared" si="5"/>
        <v>0</v>
      </c>
      <c r="J46" s="660">
        <f t="shared" si="5"/>
        <v>0</v>
      </c>
      <c r="K46" s="660">
        <f t="shared" si="5"/>
        <v>260.45589383169448</v>
      </c>
      <c r="L46" s="660">
        <f t="shared" si="5"/>
        <v>0</v>
      </c>
      <c r="M46" s="660">
        <f t="shared" ca="1" si="5"/>
        <v>0</v>
      </c>
      <c r="N46" s="660">
        <f t="shared" si="5"/>
        <v>0</v>
      </c>
      <c r="O46" s="660">
        <f t="shared" ca="1" si="5"/>
        <v>0</v>
      </c>
      <c r="P46" s="660">
        <f t="shared" si="5"/>
        <v>0</v>
      </c>
      <c r="Q46" s="660">
        <f t="shared" si="5"/>
        <v>0</v>
      </c>
      <c r="R46" s="660">
        <f ca="1">SUM(R39:R45)</f>
        <v>50376.102008916991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0.82236749682081434</v>
      </c>
      <c r="D49" s="930">
        <f ca="1">transport!C58</f>
        <v>0</v>
      </c>
      <c r="E49" s="930">
        <f>transport!D58</f>
        <v>0</v>
      </c>
      <c r="F49" s="930">
        <f>transport!E58</f>
        <v>0</v>
      </c>
      <c r="G49" s="930">
        <f>transport!F58</f>
        <v>0</v>
      </c>
      <c r="H49" s="930">
        <f>transport!G58</f>
        <v>198.84056102736267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199.66292852418349</v>
      </c>
    </row>
    <row r="50" spans="1:18">
      <c r="A50" s="752" t="s">
        <v>296</v>
      </c>
      <c r="B50" s="762"/>
      <c r="C50" s="631">
        <f ca="1">transport!B18</f>
        <v>4.4028190044018034</v>
      </c>
      <c r="D50" s="631">
        <f>transport!C18</f>
        <v>0</v>
      </c>
      <c r="E50" s="631">
        <f>transport!D18</f>
        <v>7.5197773135254264</v>
      </c>
      <c r="F50" s="631">
        <f>transport!E18</f>
        <v>38.117994942643726</v>
      </c>
      <c r="G50" s="631">
        <f>transport!F18</f>
        <v>0</v>
      </c>
      <c r="H50" s="631">
        <f>transport!G18</f>
        <v>16769.520323656026</v>
      </c>
      <c r="I50" s="631">
        <f>transport!H18</f>
        <v>3201.3456380597813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20020.906552976379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5.225186501222618</v>
      </c>
      <c r="D52" s="660">
        <f t="shared" ref="D52:Q52" ca="1" si="6">SUM(D48:D51)</f>
        <v>0</v>
      </c>
      <c r="E52" s="660">
        <f t="shared" si="6"/>
        <v>7.5197773135254264</v>
      </c>
      <c r="F52" s="660">
        <f t="shared" si="6"/>
        <v>38.117994942643726</v>
      </c>
      <c r="G52" s="660">
        <f t="shared" si="6"/>
        <v>0</v>
      </c>
      <c r="H52" s="660">
        <f t="shared" si="6"/>
        <v>16968.360884683389</v>
      </c>
      <c r="I52" s="660">
        <f t="shared" si="6"/>
        <v>3201.3456380597813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20220.569481500563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490.85898579572182</v>
      </c>
      <c r="D54" s="631">
        <f ca="1">+landbouw!C12</f>
        <v>0</v>
      </c>
      <c r="E54" s="631">
        <f>+landbouw!D12</f>
        <v>74.281837740000014</v>
      </c>
      <c r="F54" s="631">
        <f>+landbouw!E12</f>
        <v>11.211332000767898</v>
      </c>
      <c r="G54" s="631">
        <f>+landbouw!F12</f>
        <v>2427.400652518329</v>
      </c>
      <c r="H54" s="631">
        <f>+landbouw!G12</f>
        <v>0</v>
      </c>
      <c r="I54" s="631">
        <f>+landbouw!H12</f>
        <v>0</v>
      </c>
      <c r="J54" s="631">
        <f>+landbouw!I12</f>
        <v>0</v>
      </c>
      <c r="K54" s="631">
        <f>+landbouw!J12</f>
        <v>209.54905258461096</v>
      </c>
      <c r="L54" s="631">
        <f>+landbouw!K12</f>
        <v>0</v>
      </c>
      <c r="M54" s="631">
        <f>+landbouw!L12</f>
        <v>0</v>
      </c>
      <c r="N54" s="631">
        <f>+landbouw!M12</f>
        <v>0</v>
      </c>
      <c r="O54" s="631">
        <f>+landbouw!N12</f>
        <v>0</v>
      </c>
      <c r="P54" s="631">
        <f>+landbouw!O12</f>
        <v>0</v>
      </c>
      <c r="Q54" s="632">
        <f>+landbouw!P12</f>
        <v>0</v>
      </c>
      <c r="R54" s="659">
        <f ca="1">SUM(C54:Q54)</f>
        <v>3213.3018606394298</v>
      </c>
    </row>
    <row r="55" spans="1:18" ht="15" thickBot="1">
      <c r="A55" s="752" t="s">
        <v>788</v>
      </c>
      <c r="B55" s="762"/>
      <c r="C55" s="631">
        <f ca="1">C25*'EF ele_warmte'!B12</f>
        <v>80.977468794072479</v>
      </c>
      <c r="D55" s="631"/>
      <c r="E55" s="631">
        <f>E25*EF_CO2_aardgas</f>
        <v>101.272094</v>
      </c>
      <c r="F55" s="631"/>
      <c r="G55" s="631"/>
      <c r="H55" s="631"/>
      <c r="I55" s="631"/>
      <c r="J55" s="631"/>
      <c r="K55" s="631"/>
      <c r="L55" s="631"/>
      <c r="M55" s="631"/>
      <c r="N55" s="631"/>
      <c r="O55" s="631"/>
      <c r="P55" s="631"/>
      <c r="Q55" s="632"/>
      <c r="R55" s="659">
        <f ca="1">SUM(C55:Q55)</f>
        <v>182.24956279407246</v>
      </c>
    </row>
    <row r="56" spans="1:18" ht="15.75" thickBot="1">
      <c r="A56" s="750" t="s">
        <v>789</v>
      </c>
      <c r="B56" s="763"/>
      <c r="C56" s="660">
        <f ca="1">SUM(C54:C55)</f>
        <v>571.83645458979436</v>
      </c>
      <c r="D56" s="660">
        <f t="shared" ref="D56:Q56" ca="1" si="7">SUM(D54:D55)</f>
        <v>0</v>
      </c>
      <c r="E56" s="660">
        <f t="shared" si="7"/>
        <v>175.55393174</v>
      </c>
      <c r="F56" s="660">
        <f t="shared" si="7"/>
        <v>11.211332000767898</v>
      </c>
      <c r="G56" s="660">
        <f t="shared" si="7"/>
        <v>2427.400652518329</v>
      </c>
      <c r="H56" s="660">
        <f t="shared" si="7"/>
        <v>0</v>
      </c>
      <c r="I56" s="660">
        <f t="shared" si="7"/>
        <v>0</v>
      </c>
      <c r="J56" s="660">
        <f t="shared" si="7"/>
        <v>0</v>
      </c>
      <c r="K56" s="660">
        <f t="shared" si="7"/>
        <v>209.54905258461096</v>
      </c>
      <c r="L56" s="660">
        <f t="shared" si="7"/>
        <v>0</v>
      </c>
      <c r="M56" s="660">
        <f t="shared" si="7"/>
        <v>0</v>
      </c>
      <c r="N56" s="660">
        <f t="shared" si="7"/>
        <v>0</v>
      </c>
      <c r="O56" s="660">
        <f t="shared" si="7"/>
        <v>0</v>
      </c>
      <c r="P56" s="660">
        <f t="shared" si="7"/>
        <v>0</v>
      </c>
      <c r="Q56" s="661">
        <f t="shared" si="7"/>
        <v>0</v>
      </c>
      <c r="R56" s="662">
        <f ca="1">SUM(R54:R55)</f>
        <v>3395.5514234335024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14642.564000906206</v>
      </c>
      <c r="D61" s="668">
        <f t="shared" ref="D61:Q61" ca="1" si="8">D46+D52+D56</f>
        <v>13.444033613445379</v>
      </c>
      <c r="E61" s="668">
        <f t="shared" ca="1" si="8"/>
        <v>15843.364927122671</v>
      </c>
      <c r="F61" s="668">
        <f t="shared" si="8"/>
        <v>2116.7010450478197</v>
      </c>
      <c r="G61" s="668">
        <f t="shared" ca="1" si="8"/>
        <v>20736.437438001434</v>
      </c>
      <c r="H61" s="668">
        <f t="shared" si="8"/>
        <v>16968.360884683389</v>
      </c>
      <c r="I61" s="668">
        <f t="shared" si="8"/>
        <v>3201.3456380597813</v>
      </c>
      <c r="J61" s="668">
        <f t="shared" si="8"/>
        <v>0</v>
      </c>
      <c r="K61" s="668">
        <f t="shared" si="8"/>
        <v>470.00494641630542</v>
      </c>
      <c r="L61" s="668">
        <f t="shared" si="8"/>
        <v>0</v>
      </c>
      <c r="M61" s="668">
        <f t="shared" ca="1" si="8"/>
        <v>0</v>
      </c>
      <c r="N61" s="668">
        <f t="shared" si="8"/>
        <v>0</v>
      </c>
      <c r="O61" s="668">
        <f t="shared" ca="1" si="8"/>
        <v>0</v>
      </c>
      <c r="P61" s="668">
        <f t="shared" si="8"/>
        <v>0</v>
      </c>
      <c r="Q61" s="668">
        <f t="shared" si="8"/>
        <v>0</v>
      </c>
      <c r="R61" s="668">
        <f ca="1">R46+R52+R56</f>
        <v>73992.222913851059</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0.19689229376254619</v>
      </c>
      <c r="D63" s="709">
        <f t="shared" ca="1" si="9"/>
        <v>8.0807346122374769E-3</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6990.4328459627595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1125</v>
      </c>
      <c r="C76" s="678">
        <f>'lokale energieproductie'!B8*IFERROR(SUM(D76:H76)/SUM(D76:O76),0)</f>
        <v>39.599999999999994</v>
      </c>
      <c r="D76" s="951">
        <f>'lokale energieproductie'!C8</f>
        <v>46.588235294117652</v>
      </c>
      <c r="E76" s="952">
        <f>'lokale energieproductie'!D8</f>
        <v>0</v>
      </c>
      <c r="F76" s="952">
        <f>'lokale energieproductie'!E8</f>
        <v>0</v>
      </c>
      <c r="G76" s="952">
        <f>'lokale energieproductie'!F8</f>
        <v>0</v>
      </c>
      <c r="H76" s="952">
        <f>'lokale energieproductie'!G8</f>
        <v>0</v>
      </c>
      <c r="I76" s="952">
        <f>'lokale energieproductie'!I8</f>
        <v>0</v>
      </c>
      <c r="J76" s="952">
        <f>'lokale energieproductie'!J8</f>
        <v>1323.5294117647061</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9.4108235294117666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8115.4328459627595</v>
      </c>
      <c r="C78" s="683">
        <f>SUM(C72:C77)</f>
        <v>39.599999999999994</v>
      </c>
      <c r="D78" s="684">
        <f t="shared" ref="D78:H78" si="10">SUM(D76:D77)</f>
        <v>46.588235294117652</v>
      </c>
      <c r="E78" s="684">
        <f t="shared" si="10"/>
        <v>0</v>
      </c>
      <c r="F78" s="684">
        <f t="shared" si="10"/>
        <v>0</v>
      </c>
      <c r="G78" s="684">
        <f t="shared" si="10"/>
        <v>0</v>
      </c>
      <c r="H78" s="684">
        <f t="shared" si="10"/>
        <v>0</v>
      </c>
      <c r="I78" s="684">
        <f>SUM(I76:I77)</f>
        <v>0</v>
      </c>
      <c r="J78" s="684">
        <f>SUM(J76:J77)</f>
        <v>1323.5294117647061</v>
      </c>
      <c r="K78" s="684">
        <f t="shared" ref="K78:L78" si="11">SUM(K76:K77)</f>
        <v>0</v>
      </c>
      <c r="L78" s="684">
        <f t="shared" si="11"/>
        <v>0</v>
      </c>
      <c r="M78" s="684">
        <f>SUM(M76:M77)</f>
        <v>0</v>
      </c>
      <c r="N78" s="684">
        <f>SUM(N76:N77)</f>
        <v>0</v>
      </c>
      <c r="O78" s="787">
        <f>SUM(O76:O77)</f>
        <v>0</v>
      </c>
      <c r="P78" s="685">
        <v>0</v>
      </c>
      <c r="Q78" s="685">
        <f>SUM(Q76:Q77)</f>
        <v>9.4108235294117666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1607.1428571428571</v>
      </c>
      <c r="C87" s="694">
        <f>'lokale energieproductie'!B17*IFERROR(SUM(D87:H87)/SUM(D87:O87),0)</f>
        <v>56.571428571428577</v>
      </c>
      <c r="D87" s="705">
        <f>'lokale energieproductie'!C17</f>
        <v>66.554621848739501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1890.7563025210086</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13.444033613445381</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1607.1428571428571</v>
      </c>
      <c r="C90" s="683">
        <f>SUM(C87:C89)</f>
        <v>56.571428571428577</v>
      </c>
      <c r="D90" s="683">
        <f t="shared" ref="D90:H90" si="12">SUM(D87:D89)</f>
        <v>66.554621848739501</v>
      </c>
      <c r="E90" s="683">
        <f t="shared" si="12"/>
        <v>0</v>
      </c>
      <c r="F90" s="683">
        <f t="shared" si="12"/>
        <v>0</v>
      </c>
      <c r="G90" s="683">
        <f t="shared" si="12"/>
        <v>0</v>
      </c>
      <c r="H90" s="683">
        <f t="shared" si="12"/>
        <v>0</v>
      </c>
      <c r="I90" s="683">
        <f>SUM(I87:I89)</f>
        <v>0</v>
      </c>
      <c r="J90" s="683">
        <f>SUM(J87:J89)</f>
        <v>1890.7563025210086</v>
      </c>
      <c r="K90" s="683">
        <f t="shared" ref="K90:L90" si="13">SUM(K87:K89)</f>
        <v>0</v>
      </c>
      <c r="L90" s="683">
        <f t="shared" si="13"/>
        <v>0</v>
      </c>
      <c r="M90" s="683">
        <f>SUM(M87:M89)</f>
        <v>0</v>
      </c>
      <c r="N90" s="683">
        <f>SUM(N87:N89)</f>
        <v>0</v>
      </c>
      <c r="O90" s="683">
        <f>SUM(O87:O89)</f>
        <v>0</v>
      </c>
      <c r="P90" s="683">
        <v>0</v>
      </c>
      <c r="Q90" s="683">
        <f>SUM(Q87:Q89)</f>
        <v>13.444033613445381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21015.503340834992</v>
      </c>
      <c r="C4" s="441">
        <f>huishoudens!C8</f>
        <v>0</v>
      </c>
      <c r="D4" s="441">
        <f>huishoudens!D8</f>
        <v>27620.267378</v>
      </c>
      <c r="E4" s="441">
        <f>huishoudens!E8</f>
        <v>1462.9535416720571</v>
      </c>
      <c r="F4" s="441">
        <f>huishoudens!F8</f>
        <v>39774.811069308147</v>
      </c>
      <c r="G4" s="441">
        <f>huishoudens!G8</f>
        <v>0</v>
      </c>
      <c r="H4" s="441">
        <f>huishoudens!H8</f>
        <v>0</v>
      </c>
      <c r="I4" s="441">
        <f>huishoudens!I8</f>
        <v>0</v>
      </c>
      <c r="J4" s="441">
        <f>huishoudens!J8</f>
        <v>733.51855889153887</v>
      </c>
      <c r="K4" s="441">
        <f>huishoudens!K8</f>
        <v>0</v>
      </c>
      <c r="L4" s="441">
        <f>huishoudens!L8</f>
        <v>0</v>
      </c>
      <c r="M4" s="441">
        <f>huishoudens!M8</f>
        <v>0</v>
      </c>
      <c r="N4" s="441">
        <f>huishoudens!N8</f>
        <v>6382.3844602704721</v>
      </c>
      <c r="O4" s="441">
        <f>huishoudens!O8</f>
        <v>301.72333333333336</v>
      </c>
      <c r="P4" s="442">
        <f>huishoudens!P8</f>
        <v>858</v>
      </c>
      <c r="Q4" s="443">
        <f>SUM(B4:P4)</f>
        <v>98149.161682310529</v>
      </c>
    </row>
    <row r="5" spans="1:17">
      <c r="A5" s="440" t="s">
        <v>149</v>
      </c>
      <c r="B5" s="441">
        <f ca="1">tertiair!B16</f>
        <v>9841.3979999999992</v>
      </c>
      <c r="C5" s="441">
        <f ca="1">tertiair!C16</f>
        <v>56.571428571428577</v>
      </c>
      <c r="D5" s="441">
        <f ca="1">tertiair!D16</f>
        <v>8072.9193568571427</v>
      </c>
      <c r="E5" s="441">
        <f>tertiair!E16</f>
        <v>158.37587503239055</v>
      </c>
      <c r="F5" s="441">
        <f ca="1">tertiair!F16</f>
        <v>2021.1992586042306</v>
      </c>
      <c r="G5" s="441">
        <f>tertiair!G16</f>
        <v>0</v>
      </c>
      <c r="H5" s="441">
        <f>tertiair!H16</f>
        <v>0</v>
      </c>
      <c r="I5" s="441">
        <f>tertiair!I16</f>
        <v>0</v>
      </c>
      <c r="J5" s="441">
        <f>tertiair!J16</f>
        <v>1.3157781231179456E-2</v>
      </c>
      <c r="K5" s="441">
        <f>tertiair!K16</f>
        <v>0</v>
      </c>
      <c r="L5" s="441">
        <f ca="1">tertiair!L16</f>
        <v>0</v>
      </c>
      <c r="M5" s="441">
        <f>tertiair!M16</f>
        <v>0</v>
      </c>
      <c r="N5" s="441">
        <f ca="1">tertiair!N16</f>
        <v>472.92290169866925</v>
      </c>
      <c r="O5" s="441">
        <f>tertiair!O16</f>
        <v>3.1266666666666669</v>
      </c>
      <c r="P5" s="442">
        <f>tertiair!P16</f>
        <v>38.133333333333333</v>
      </c>
      <c r="Q5" s="440">
        <f t="shared" ref="Q5:Q14" ca="1" si="0">SUM(B5:P5)</f>
        <v>20664.659978545096</v>
      </c>
    </row>
    <row r="6" spans="1:17">
      <c r="A6" s="440" t="s">
        <v>187</v>
      </c>
      <c r="B6" s="441">
        <f>'openbare verlichting'!B8</f>
        <v>604.79899999999998</v>
      </c>
      <c r="C6" s="441"/>
      <c r="D6" s="441"/>
      <c r="E6" s="441"/>
      <c r="F6" s="441"/>
      <c r="G6" s="441"/>
      <c r="H6" s="441"/>
      <c r="I6" s="441"/>
      <c r="J6" s="441"/>
      <c r="K6" s="441"/>
      <c r="L6" s="441"/>
      <c r="M6" s="441"/>
      <c r="N6" s="441"/>
      <c r="O6" s="441"/>
      <c r="P6" s="442"/>
      <c r="Q6" s="440">
        <f t="shared" si="0"/>
        <v>604.79899999999998</v>
      </c>
    </row>
    <row r="7" spans="1:17">
      <c r="A7" s="440" t="s">
        <v>105</v>
      </c>
      <c r="B7" s="441">
        <f>landbouw!B8</f>
        <v>2493.0329999999999</v>
      </c>
      <c r="C7" s="441">
        <f>landbouw!C8</f>
        <v>0</v>
      </c>
      <c r="D7" s="441">
        <f>landbouw!D8</f>
        <v>367.73187000000001</v>
      </c>
      <c r="E7" s="441">
        <f>landbouw!E8</f>
        <v>49.389127756686776</v>
      </c>
      <c r="F7" s="441">
        <f>landbouw!F8</f>
        <v>9091.3882116791337</v>
      </c>
      <c r="G7" s="441">
        <f>landbouw!G8</f>
        <v>0</v>
      </c>
      <c r="H7" s="441">
        <f>landbouw!H8</f>
        <v>0</v>
      </c>
      <c r="I7" s="441">
        <f>landbouw!I8</f>
        <v>0</v>
      </c>
      <c r="J7" s="441">
        <f>landbouw!J8</f>
        <v>591.94647622771458</v>
      </c>
      <c r="K7" s="441">
        <f>landbouw!K8</f>
        <v>0</v>
      </c>
      <c r="L7" s="441">
        <f>landbouw!L8</f>
        <v>0</v>
      </c>
      <c r="M7" s="441">
        <f>landbouw!M8</f>
        <v>0</v>
      </c>
      <c r="N7" s="441">
        <f>landbouw!N8</f>
        <v>0</v>
      </c>
      <c r="O7" s="441">
        <f>landbouw!O8</f>
        <v>0</v>
      </c>
      <c r="P7" s="442">
        <f>landbouw!P8</f>
        <v>0</v>
      </c>
      <c r="Q7" s="440">
        <f t="shared" si="0"/>
        <v>12593.488685663535</v>
      </c>
    </row>
    <row r="8" spans="1:17">
      <c r="A8" s="440" t="s">
        <v>600</v>
      </c>
      <c r="B8" s="441">
        <f>industrie!B18</f>
        <v>39975.845999999998</v>
      </c>
      <c r="C8" s="441">
        <f>industrie!C18</f>
        <v>1607.1428571428571</v>
      </c>
      <c r="D8" s="441">
        <f>industrie!D18</f>
        <v>41833.007414</v>
      </c>
      <c r="E8" s="441">
        <f>industrie!E18</f>
        <v>7486.0349802312712</v>
      </c>
      <c r="F8" s="441">
        <f>industrie!F18</f>
        <v>26777.161153297748</v>
      </c>
      <c r="G8" s="441">
        <f>industrie!G18</f>
        <v>0</v>
      </c>
      <c r="H8" s="441">
        <f>industrie!H18</f>
        <v>0</v>
      </c>
      <c r="I8" s="441">
        <f>industrie!I18</f>
        <v>0</v>
      </c>
      <c r="J8" s="441">
        <f>industrie!J18</f>
        <v>2.2193958461410226</v>
      </c>
      <c r="K8" s="441">
        <f>industrie!K18</f>
        <v>0</v>
      </c>
      <c r="L8" s="441">
        <f>industrie!L18</f>
        <v>0</v>
      </c>
      <c r="M8" s="441">
        <f>industrie!M18</f>
        <v>0</v>
      </c>
      <c r="N8" s="441">
        <f>industrie!N18</f>
        <v>2800.0006674172764</v>
      </c>
      <c r="O8" s="441">
        <f>industrie!O18</f>
        <v>0</v>
      </c>
      <c r="P8" s="442">
        <f>industrie!P18</f>
        <v>0</v>
      </c>
      <c r="Q8" s="440">
        <f t="shared" si="0"/>
        <v>120481.41246793528</v>
      </c>
    </row>
    <row r="9" spans="1:17" s="446" customFormat="1">
      <c r="A9" s="444" t="s">
        <v>549</v>
      </c>
      <c r="B9" s="445">
        <f>transport!B14</f>
        <v>22.361560832399267</v>
      </c>
      <c r="C9" s="445">
        <f>transport!C14</f>
        <v>0</v>
      </c>
      <c r="D9" s="445">
        <f>transport!D14</f>
        <v>37.226620363987259</v>
      </c>
      <c r="E9" s="445">
        <f>transport!E14</f>
        <v>167.92068256671243</v>
      </c>
      <c r="F9" s="445">
        <f>transport!F14</f>
        <v>0</v>
      </c>
      <c r="G9" s="445">
        <f>transport!G14</f>
        <v>62807.1922234308</v>
      </c>
      <c r="H9" s="445">
        <f>transport!H14</f>
        <v>12856.809791404745</v>
      </c>
      <c r="I9" s="445">
        <f>transport!I14</f>
        <v>0</v>
      </c>
      <c r="J9" s="445">
        <f>transport!J14</f>
        <v>0</v>
      </c>
      <c r="K9" s="445">
        <f>transport!K14</f>
        <v>0</v>
      </c>
      <c r="L9" s="445">
        <f>transport!L14</f>
        <v>0</v>
      </c>
      <c r="M9" s="445">
        <f>transport!M14</f>
        <v>2361.2305748187682</v>
      </c>
      <c r="N9" s="445">
        <f>transport!N14</f>
        <v>0</v>
      </c>
      <c r="O9" s="445">
        <f>transport!O14</f>
        <v>0</v>
      </c>
      <c r="P9" s="445">
        <f>transport!P14</f>
        <v>0</v>
      </c>
      <c r="Q9" s="444">
        <f>SUM(B9:P9)</f>
        <v>78252.741453417402</v>
      </c>
    </row>
    <row r="10" spans="1:17">
      <c r="A10" s="440" t="s">
        <v>539</v>
      </c>
      <c r="B10" s="441">
        <f>transport!B54</f>
        <v>4.1767378555333234</v>
      </c>
      <c r="C10" s="441">
        <f>transport!C54</f>
        <v>0</v>
      </c>
      <c r="D10" s="441">
        <f>transport!D54</f>
        <v>0</v>
      </c>
      <c r="E10" s="441">
        <f>transport!E54</f>
        <v>0</v>
      </c>
      <c r="F10" s="441">
        <f>transport!F54</f>
        <v>0</v>
      </c>
      <c r="G10" s="441">
        <f>transport!G54</f>
        <v>744.72120234967292</v>
      </c>
      <c r="H10" s="441">
        <f>transport!H54</f>
        <v>0</v>
      </c>
      <c r="I10" s="441">
        <f>transport!I54</f>
        <v>0</v>
      </c>
      <c r="J10" s="441">
        <f>transport!J54</f>
        <v>0</v>
      </c>
      <c r="K10" s="441">
        <f>transport!K54</f>
        <v>0</v>
      </c>
      <c r="L10" s="441">
        <f>transport!L54</f>
        <v>0</v>
      </c>
      <c r="M10" s="441">
        <f>transport!M54</f>
        <v>23.247310415289242</v>
      </c>
      <c r="N10" s="441">
        <f>transport!N54</f>
        <v>0</v>
      </c>
      <c r="O10" s="441">
        <f>transport!O54</f>
        <v>0</v>
      </c>
      <c r="P10" s="442">
        <f>transport!P54</f>
        <v>0</v>
      </c>
      <c r="Q10" s="440">
        <f t="shared" si="0"/>
        <v>772.14525062049552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411.27800000000002</v>
      </c>
      <c r="C14" s="448"/>
      <c r="D14" s="448">
        <f>'SEAP template'!E25</f>
        <v>501.34699999999998</v>
      </c>
      <c r="E14" s="448"/>
      <c r="F14" s="448"/>
      <c r="G14" s="448"/>
      <c r="H14" s="448"/>
      <c r="I14" s="448"/>
      <c r="J14" s="448"/>
      <c r="K14" s="448"/>
      <c r="L14" s="448"/>
      <c r="M14" s="448"/>
      <c r="N14" s="448"/>
      <c r="O14" s="448"/>
      <c r="P14" s="449"/>
      <c r="Q14" s="440">
        <f t="shared" si="0"/>
        <v>912.625</v>
      </c>
    </row>
    <row r="15" spans="1:17" s="450" customFormat="1">
      <c r="A15" s="956" t="s">
        <v>543</v>
      </c>
      <c r="B15" s="896">
        <f ca="1">SUM(B4:B14)</f>
        <v>74368.395639522932</v>
      </c>
      <c r="C15" s="896">
        <f t="shared" ref="C15:Q15" ca="1" si="1">SUM(C4:C14)</f>
        <v>1663.7142857142858</v>
      </c>
      <c r="D15" s="896">
        <f t="shared" ca="1" si="1"/>
        <v>78432.499639221118</v>
      </c>
      <c r="E15" s="896">
        <f t="shared" si="1"/>
        <v>9324.6742072591169</v>
      </c>
      <c r="F15" s="896">
        <f t="shared" ca="1" si="1"/>
        <v>77664.559692889263</v>
      </c>
      <c r="G15" s="896">
        <f t="shared" si="1"/>
        <v>63551.913425780476</v>
      </c>
      <c r="H15" s="896">
        <f t="shared" si="1"/>
        <v>12856.809791404745</v>
      </c>
      <c r="I15" s="896">
        <f t="shared" si="1"/>
        <v>0</v>
      </c>
      <c r="J15" s="896">
        <f t="shared" si="1"/>
        <v>1327.6975887466256</v>
      </c>
      <c r="K15" s="896">
        <f t="shared" si="1"/>
        <v>0</v>
      </c>
      <c r="L15" s="896">
        <f t="shared" ca="1" si="1"/>
        <v>0</v>
      </c>
      <c r="M15" s="896">
        <f t="shared" si="1"/>
        <v>2384.4778852340573</v>
      </c>
      <c r="N15" s="896">
        <f t="shared" ca="1" si="1"/>
        <v>9655.3080293864186</v>
      </c>
      <c r="O15" s="896">
        <f t="shared" si="1"/>
        <v>304.85000000000002</v>
      </c>
      <c r="P15" s="896">
        <f t="shared" si="1"/>
        <v>896.13333333333333</v>
      </c>
      <c r="Q15" s="896">
        <f t="shared" ca="1" si="1"/>
        <v>332431.03351849236</v>
      </c>
    </row>
    <row r="17" spans="1:17">
      <c r="A17" s="451" t="s">
        <v>544</v>
      </c>
      <c r="B17" s="714">
        <f ca="1">huishoudens!B10</f>
        <v>0.19689229376254619</v>
      </c>
      <c r="C17" s="714">
        <f ca="1">huishoudens!C10</f>
        <v>8.0807346122374769E-3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4137.7906573514538</v>
      </c>
      <c r="C22" s="441">
        <f t="shared" ref="C22:C32" ca="1" si="3">C4*$C$17</f>
        <v>0</v>
      </c>
      <c r="D22" s="441">
        <f t="shared" ref="D22:D32" si="4">D4*$D$17</f>
        <v>5579.2940103560004</v>
      </c>
      <c r="E22" s="441">
        <f t="shared" ref="E22:E32" si="5">E4*$E$17</f>
        <v>332.09045395955695</v>
      </c>
      <c r="F22" s="441">
        <f t="shared" ref="F22:F32" si="6">F4*$F$17</f>
        <v>10619.874555505276</v>
      </c>
      <c r="G22" s="441">
        <f t="shared" ref="G22:G32" si="7">G4*$G$17</f>
        <v>0</v>
      </c>
      <c r="H22" s="441">
        <f t="shared" ref="H22:H32" si="8">H4*$H$17</f>
        <v>0</v>
      </c>
      <c r="I22" s="441">
        <f t="shared" ref="I22:I32" si="9">I4*$I$17</f>
        <v>0</v>
      </c>
      <c r="J22" s="441">
        <f t="shared" ref="J22:J32" si="10">J4*$J$17</f>
        <v>259.66556984760473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20928.715247019896</v>
      </c>
    </row>
    <row r="23" spans="1:17">
      <c r="A23" s="440" t="s">
        <v>149</v>
      </c>
      <c r="B23" s="441">
        <f t="shared" ca="1" si="2"/>
        <v>1937.6954260501343</v>
      </c>
      <c r="C23" s="441">
        <f t="shared" ca="1" si="3"/>
        <v>0.45713870092086301</v>
      </c>
      <c r="D23" s="441">
        <f t="shared" ca="1" si="4"/>
        <v>1630.7297100851429</v>
      </c>
      <c r="E23" s="441">
        <f t="shared" si="5"/>
        <v>35.951323632352654</v>
      </c>
      <c r="F23" s="441">
        <f t="shared" ca="1" si="6"/>
        <v>539.66020204732956</v>
      </c>
      <c r="G23" s="441">
        <f t="shared" si="7"/>
        <v>0</v>
      </c>
      <c r="H23" s="441">
        <f t="shared" si="8"/>
        <v>0</v>
      </c>
      <c r="I23" s="441">
        <f t="shared" si="9"/>
        <v>0</v>
      </c>
      <c r="J23" s="441">
        <f t="shared" si="10"/>
        <v>4.6578545558375274E-3</v>
      </c>
      <c r="K23" s="441">
        <f t="shared" si="11"/>
        <v>0</v>
      </c>
      <c r="L23" s="441">
        <f t="shared" ca="1" si="12"/>
        <v>0</v>
      </c>
      <c r="M23" s="441">
        <f t="shared" si="13"/>
        <v>0</v>
      </c>
      <c r="N23" s="441">
        <f t="shared" ca="1" si="14"/>
        <v>0</v>
      </c>
      <c r="O23" s="441">
        <f t="shared" si="15"/>
        <v>0</v>
      </c>
      <c r="P23" s="442">
        <f t="shared" si="16"/>
        <v>0</v>
      </c>
      <c r="Q23" s="440">
        <f t="shared" ref="Q23:Q32" ca="1" si="17">SUM(B23:P23)</f>
        <v>4144.4984583704363</v>
      </c>
    </row>
    <row r="24" spans="1:17">
      <c r="A24" s="440" t="s">
        <v>187</v>
      </c>
      <c r="B24" s="441">
        <f t="shared" ca="1" si="2"/>
        <v>119.08026237529417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119.08026237529417</v>
      </c>
    </row>
    <row r="25" spans="1:17">
      <c r="A25" s="440" t="s">
        <v>105</v>
      </c>
      <c r="B25" s="441">
        <f t="shared" ca="1" si="2"/>
        <v>490.85898579572182</v>
      </c>
      <c r="C25" s="441">
        <f t="shared" ca="1" si="3"/>
        <v>0</v>
      </c>
      <c r="D25" s="441">
        <f t="shared" si="4"/>
        <v>74.281837740000014</v>
      </c>
      <c r="E25" s="441">
        <f t="shared" si="5"/>
        <v>11.211332000767898</v>
      </c>
      <c r="F25" s="441">
        <f t="shared" si="6"/>
        <v>2427.400652518329</v>
      </c>
      <c r="G25" s="441">
        <f t="shared" si="7"/>
        <v>0</v>
      </c>
      <c r="H25" s="441">
        <f t="shared" si="8"/>
        <v>0</v>
      </c>
      <c r="I25" s="441">
        <f t="shared" si="9"/>
        <v>0</v>
      </c>
      <c r="J25" s="441">
        <f t="shared" si="10"/>
        <v>209.54905258461096</v>
      </c>
      <c r="K25" s="441">
        <f t="shared" si="11"/>
        <v>0</v>
      </c>
      <c r="L25" s="441">
        <f t="shared" si="12"/>
        <v>0</v>
      </c>
      <c r="M25" s="441">
        <f t="shared" si="13"/>
        <v>0</v>
      </c>
      <c r="N25" s="441">
        <f t="shared" si="14"/>
        <v>0</v>
      </c>
      <c r="O25" s="441">
        <f t="shared" si="15"/>
        <v>0</v>
      </c>
      <c r="P25" s="442">
        <f t="shared" si="16"/>
        <v>0</v>
      </c>
      <c r="Q25" s="440">
        <f t="shared" ca="1" si="17"/>
        <v>3213.3018606394298</v>
      </c>
    </row>
    <row r="26" spans="1:17">
      <c r="A26" s="440" t="s">
        <v>600</v>
      </c>
      <c r="B26" s="441">
        <f t="shared" ca="1" si="2"/>
        <v>7870.9360140383069</v>
      </c>
      <c r="C26" s="441">
        <f t="shared" ca="1" si="3"/>
        <v>12.986894912524516</v>
      </c>
      <c r="D26" s="441">
        <f t="shared" si="4"/>
        <v>8450.2674976280014</v>
      </c>
      <c r="E26" s="441">
        <f t="shared" si="5"/>
        <v>1699.3299405124985</v>
      </c>
      <c r="F26" s="441">
        <f t="shared" si="6"/>
        <v>7149.502027930499</v>
      </c>
      <c r="G26" s="441">
        <f t="shared" si="7"/>
        <v>0</v>
      </c>
      <c r="H26" s="441">
        <f t="shared" si="8"/>
        <v>0</v>
      </c>
      <c r="I26" s="441">
        <f t="shared" si="9"/>
        <v>0</v>
      </c>
      <c r="J26" s="441">
        <f t="shared" si="10"/>
        <v>0.78566612953392201</v>
      </c>
      <c r="K26" s="441">
        <f t="shared" si="11"/>
        <v>0</v>
      </c>
      <c r="L26" s="441">
        <f t="shared" si="12"/>
        <v>0</v>
      </c>
      <c r="M26" s="441">
        <f t="shared" si="13"/>
        <v>0</v>
      </c>
      <c r="N26" s="441">
        <f t="shared" si="14"/>
        <v>0</v>
      </c>
      <c r="O26" s="441">
        <f t="shared" si="15"/>
        <v>0</v>
      </c>
      <c r="P26" s="442">
        <f t="shared" si="16"/>
        <v>0</v>
      </c>
      <c r="Q26" s="440">
        <f t="shared" ca="1" si="17"/>
        <v>25183.808041151366</v>
      </c>
    </row>
    <row r="27" spans="1:17" s="446" customFormat="1">
      <c r="A27" s="444" t="s">
        <v>549</v>
      </c>
      <c r="B27" s="708">
        <f t="shared" ca="1" si="2"/>
        <v>4.4028190044018034</v>
      </c>
      <c r="C27" s="445">
        <f t="shared" ca="1" si="3"/>
        <v>0</v>
      </c>
      <c r="D27" s="445">
        <f t="shared" si="4"/>
        <v>7.5197773135254264</v>
      </c>
      <c r="E27" s="445">
        <f t="shared" si="5"/>
        <v>38.117994942643726</v>
      </c>
      <c r="F27" s="445">
        <f t="shared" si="6"/>
        <v>0</v>
      </c>
      <c r="G27" s="445">
        <f t="shared" si="7"/>
        <v>16769.520323656026</v>
      </c>
      <c r="H27" s="445">
        <f t="shared" si="8"/>
        <v>3201.3456380597813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20020.906552976379</v>
      </c>
    </row>
    <row r="28" spans="1:17">
      <c r="A28" s="440" t="s">
        <v>539</v>
      </c>
      <c r="B28" s="441">
        <f t="shared" ca="1" si="2"/>
        <v>0.82236749682081434</v>
      </c>
      <c r="C28" s="441">
        <f t="shared" ca="1" si="3"/>
        <v>0</v>
      </c>
      <c r="D28" s="441">
        <f t="shared" si="4"/>
        <v>0</v>
      </c>
      <c r="E28" s="441">
        <f t="shared" si="5"/>
        <v>0</v>
      </c>
      <c r="F28" s="441">
        <f t="shared" si="6"/>
        <v>0</v>
      </c>
      <c r="G28" s="441">
        <f t="shared" si="7"/>
        <v>198.84056102736267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199.66292852418349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80.977468794072479</v>
      </c>
      <c r="C32" s="441">
        <f t="shared" ca="1" si="3"/>
        <v>0</v>
      </c>
      <c r="D32" s="441">
        <f t="shared" si="4"/>
        <v>101.272094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182.24956279407246</v>
      </c>
    </row>
    <row r="33" spans="1:17" s="450" customFormat="1">
      <c r="A33" s="956" t="s">
        <v>543</v>
      </c>
      <c r="B33" s="896">
        <f ca="1">SUM(B22:B32)</f>
        <v>14642.564000906206</v>
      </c>
      <c r="C33" s="896">
        <f t="shared" ref="C33:Q33" ca="1" si="18">SUM(C22:C32)</f>
        <v>13.444033613445379</v>
      </c>
      <c r="D33" s="896">
        <f t="shared" ca="1" si="18"/>
        <v>15843.364927122671</v>
      </c>
      <c r="E33" s="896">
        <f t="shared" si="18"/>
        <v>2116.7010450478197</v>
      </c>
      <c r="F33" s="896">
        <f t="shared" ca="1" si="18"/>
        <v>20736.437438001434</v>
      </c>
      <c r="G33" s="896">
        <f t="shared" si="18"/>
        <v>16968.360884683389</v>
      </c>
      <c r="H33" s="896">
        <f t="shared" si="18"/>
        <v>3201.3456380597813</v>
      </c>
      <c r="I33" s="896">
        <f t="shared" si="18"/>
        <v>0</v>
      </c>
      <c r="J33" s="896">
        <f t="shared" si="18"/>
        <v>470.00494641630547</v>
      </c>
      <c r="K33" s="896">
        <f t="shared" si="18"/>
        <v>0</v>
      </c>
      <c r="L33" s="896">
        <f t="shared" ca="1" si="18"/>
        <v>0</v>
      </c>
      <c r="M33" s="896">
        <f t="shared" si="18"/>
        <v>0</v>
      </c>
      <c r="N33" s="896">
        <f t="shared" ca="1" si="18"/>
        <v>0</v>
      </c>
      <c r="O33" s="896">
        <f t="shared" si="18"/>
        <v>0</v>
      </c>
      <c r="P33" s="896">
        <f t="shared" si="18"/>
        <v>0</v>
      </c>
      <c r="Q33" s="896">
        <f t="shared" ca="1" si="18"/>
        <v>73992.222913851045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6990.4328459627595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1125</v>
      </c>
      <c r="C8" s="973">
        <f>'SEAP template'!C76</f>
        <v>39.599999999999994</v>
      </c>
      <c r="D8" s="973">
        <f>'SEAP template'!D76</f>
        <v>46.588235294117652</v>
      </c>
      <c r="E8" s="973">
        <f>'SEAP template'!E76</f>
        <v>0</v>
      </c>
      <c r="F8" s="973">
        <f>'SEAP template'!F76</f>
        <v>0</v>
      </c>
      <c r="G8" s="973">
        <f>'SEAP template'!G76</f>
        <v>0</v>
      </c>
      <c r="H8" s="973">
        <f>'SEAP template'!H76</f>
        <v>0</v>
      </c>
      <c r="I8" s="973">
        <f>'SEAP template'!I76</f>
        <v>0</v>
      </c>
      <c r="J8" s="973">
        <f>'SEAP template'!J76</f>
        <v>1323.5294117647061</v>
      </c>
      <c r="K8" s="973">
        <f>'SEAP template'!K76</f>
        <v>0</v>
      </c>
      <c r="L8" s="973">
        <f>'SEAP template'!L76</f>
        <v>0</v>
      </c>
      <c r="M8" s="973">
        <f>'SEAP template'!M76</f>
        <v>0</v>
      </c>
      <c r="N8" s="973">
        <f>'SEAP template'!N76</f>
        <v>0</v>
      </c>
      <c r="O8" s="973">
        <f>'SEAP template'!O76</f>
        <v>0</v>
      </c>
      <c r="P8" s="974">
        <f>'SEAP template'!Q76</f>
        <v>9.4108235294117666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8115.4328459627595</v>
      </c>
      <c r="C10" s="977">
        <f>SUM(C4:C9)</f>
        <v>39.599999999999994</v>
      </c>
      <c r="D10" s="977">
        <f t="shared" ref="D10:H10" si="0">SUM(D8:D9)</f>
        <v>46.588235294117652</v>
      </c>
      <c r="E10" s="977">
        <f t="shared" si="0"/>
        <v>0</v>
      </c>
      <c r="F10" s="977">
        <f t="shared" si="0"/>
        <v>0</v>
      </c>
      <c r="G10" s="977">
        <f t="shared" si="0"/>
        <v>0</v>
      </c>
      <c r="H10" s="977">
        <f t="shared" si="0"/>
        <v>0</v>
      </c>
      <c r="I10" s="977">
        <f>SUM(I8:I9)</f>
        <v>0</v>
      </c>
      <c r="J10" s="977">
        <f>SUM(J8:J9)</f>
        <v>1323.5294117647061</v>
      </c>
      <c r="K10" s="977">
        <f t="shared" ref="K10:L10" si="1">SUM(K8:K9)</f>
        <v>0</v>
      </c>
      <c r="L10" s="977">
        <f t="shared" si="1"/>
        <v>0</v>
      </c>
      <c r="M10" s="977">
        <f>SUM(M8:M9)</f>
        <v>0</v>
      </c>
      <c r="N10" s="977">
        <f>SUM(N8:N9)</f>
        <v>0</v>
      </c>
      <c r="O10" s="977">
        <f>SUM(O8:O9)</f>
        <v>0</v>
      </c>
      <c r="P10" s="977">
        <f>SUM(P8:P9)</f>
        <v>9.4108235294117666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0.19689229376254619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1607.1428571428571</v>
      </c>
      <c r="C17" s="979">
        <f>'SEAP template'!C87</f>
        <v>56.571428571428577</v>
      </c>
      <c r="D17" s="974">
        <f>'SEAP template'!D87</f>
        <v>66.554621848739501</v>
      </c>
      <c r="E17" s="974">
        <f>'SEAP template'!E87</f>
        <v>0</v>
      </c>
      <c r="F17" s="974">
        <f>'SEAP template'!F87</f>
        <v>0</v>
      </c>
      <c r="G17" s="974">
        <f>'SEAP template'!G87</f>
        <v>0</v>
      </c>
      <c r="H17" s="974">
        <f>'SEAP template'!H87</f>
        <v>0</v>
      </c>
      <c r="I17" s="974">
        <f>'SEAP template'!I87</f>
        <v>0</v>
      </c>
      <c r="J17" s="974">
        <f>'SEAP template'!J87</f>
        <v>1890.7563025210086</v>
      </c>
      <c r="K17" s="974">
        <f>'SEAP template'!K87</f>
        <v>0</v>
      </c>
      <c r="L17" s="974">
        <f>'SEAP template'!L87</f>
        <v>0</v>
      </c>
      <c r="M17" s="974">
        <f>'SEAP template'!M87</f>
        <v>0</v>
      </c>
      <c r="N17" s="974">
        <f>'SEAP template'!N87</f>
        <v>0</v>
      </c>
      <c r="O17" s="974">
        <f>'SEAP template'!O87</f>
        <v>0</v>
      </c>
      <c r="P17" s="974">
        <f>'SEAP template'!Q87</f>
        <v>13.444033613445381</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1607.1428571428571</v>
      </c>
      <c r="C20" s="977">
        <f>SUM(C17:C19)</f>
        <v>56.571428571428577</v>
      </c>
      <c r="D20" s="977">
        <f t="shared" ref="D20:H20" si="2">SUM(D17:D19)</f>
        <v>66.554621848739501</v>
      </c>
      <c r="E20" s="977">
        <f t="shared" si="2"/>
        <v>0</v>
      </c>
      <c r="F20" s="977">
        <f t="shared" si="2"/>
        <v>0</v>
      </c>
      <c r="G20" s="977">
        <f t="shared" si="2"/>
        <v>0</v>
      </c>
      <c r="H20" s="977">
        <f t="shared" si="2"/>
        <v>0</v>
      </c>
      <c r="I20" s="977">
        <f>SUM(I17:I19)</f>
        <v>0</v>
      </c>
      <c r="J20" s="977">
        <f>SUM(J17:J19)</f>
        <v>1890.7563025210086</v>
      </c>
      <c r="K20" s="977">
        <f t="shared" ref="K20:L20" si="3">SUM(K17:K19)</f>
        <v>0</v>
      </c>
      <c r="L20" s="977">
        <f t="shared" si="3"/>
        <v>0</v>
      </c>
      <c r="M20" s="977">
        <f>SUM(M17:M19)</f>
        <v>0</v>
      </c>
      <c r="N20" s="977">
        <f>SUM(N17:N19)</f>
        <v>0</v>
      </c>
      <c r="O20" s="977">
        <f>SUM(O17:O19)</f>
        <v>0</v>
      </c>
      <c r="P20" s="977">
        <f>SUM(P17:P19)</f>
        <v>13.444033613445381</v>
      </c>
    </row>
    <row r="22" spans="1:16">
      <c r="A22" s="451" t="s">
        <v>811</v>
      </c>
      <c r="B22" s="714" t="s">
        <v>805</v>
      </c>
      <c r="C22" s="714">
        <f ca="1">'EF ele_warmte'!B22</f>
        <v>8.0807346122374769E-3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0.19689229376254619</v>
      </c>
      <c r="C17" s="488">
        <f ca="1">'EF ele_warmte'!B22</f>
        <v>8.0807346122374769E-3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2022-07-26T11:20:28Z</dcterms:modified>
</cp:coreProperties>
</file>