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62BA35F2-ED14-438F-8AF8-1BDFD982AB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C9" i="18"/>
  <c r="D77" i="14"/>
  <c r="D9" i="59"/>
  <c r="O38" i="18"/>
  <c r="N38" i="18"/>
  <c r="B9" i="18"/>
  <c r="M38" i="18"/>
  <c r="W34" i="18"/>
  <c r="V34" i="18"/>
  <c r="U34" i="18"/>
  <c r="T34" i="18"/>
  <c r="S34" i="18"/>
  <c r="R34" i="18"/>
  <c r="Q34" i="18"/>
  <c r="P34" i="18"/>
  <c r="O34" i="18"/>
  <c r="N34" i="18"/>
  <c r="M34" i="18"/>
  <c r="W33" i="18"/>
  <c r="V33" i="18"/>
  <c r="U33" i="18"/>
  <c r="T33" i="18"/>
  <c r="S33" i="18"/>
  <c r="F13" i="15"/>
  <c r="R33" i="18"/>
  <c r="Q33" i="18"/>
  <c r="P33" i="18"/>
  <c r="O33" i="18"/>
  <c r="C13" i="15"/>
  <c r="N33" i="18"/>
  <c r="B13" i="15"/>
  <c r="M33" i="18"/>
  <c r="W32" i="18"/>
  <c r="V32" i="18"/>
  <c r="U32" i="18"/>
  <c r="T32" i="18"/>
  <c r="S32" i="18"/>
  <c r="R32" i="18"/>
  <c r="Q32" i="18"/>
  <c r="P32" i="18"/>
  <c r="O32" i="18"/>
  <c r="N32" i="18"/>
  <c r="M32" i="18"/>
  <c r="W31" i="18"/>
  <c r="V31" i="18"/>
  <c r="U31" i="18"/>
  <c r="T31" i="18"/>
  <c r="S31" i="18"/>
  <c r="R31" i="18"/>
  <c r="Q31" i="18"/>
  <c r="P31" i="18"/>
  <c r="O31" i="18"/>
  <c r="N31" i="18"/>
  <c r="B8" i="18"/>
  <c r="M31"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7" i="18"/>
  <c r="I9" i="18"/>
  <c r="I77" i="14"/>
  <c r="I9" i="59"/>
  <c r="B17" i="18"/>
  <c r="B20" i="18"/>
  <c r="C6" i="17"/>
  <c r="E10" i="59"/>
  <c r="G77" i="14"/>
  <c r="G9" i="59"/>
  <c r="G10" i="59"/>
  <c r="J9" i="18"/>
  <c r="J77" i="14"/>
  <c r="J9" i="59"/>
  <c r="E20" i="59"/>
  <c r="C47" i="18"/>
  <c r="I50"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0" i="18"/>
  <c r="I51" i="18"/>
  <c r="H17" i="18"/>
  <c r="E51" i="18"/>
  <c r="E17" i="18"/>
  <c r="H51" i="18"/>
  <c r="D51" i="18"/>
  <c r="G51" i="18"/>
  <c r="C51" i="18"/>
  <c r="F51" i="18"/>
  <c r="B51" i="18"/>
  <c r="C17" i="18"/>
  <c r="Q14" i="48"/>
  <c r="O24" i="48"/>
  <c r="O30" i="48"/>
  <c r="P24" i="48"/>
  <c r="P30" i="48"/>
  <c r="E78" i="14"/>
  <c r="E90" i="14"/>
  <c r="N78" i="14"/>
  <c r="B50" i="18"/>
  <c r="C8" i="18"/>
  <c r="C10" i="18"/>
  <c r="Q77" i="14"/>
  <c r="P9" i="59"/>
  <c r="O9" i="18"/>
  <c r="G78" i="14"/>
  <c r="C77" i="14"/>
  <c r="C9" i="59"/>
  <c r="F50" i="18"/>
  <c r="G50" i="18"/>
  <c r="I8" i="18"/>
  <c r="H50" i="18"/>
  <c r="C50" i="18"/>
  <c r="E50"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<sst xmlns="http://schemas.openxmlformats.org/spreadsheetml/2006/main" count="2421" uniqueCount="890">
  <si>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</si>
  <si>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</si>
  <si>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</si>
  <si>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</si>
  <si>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</si>
  <si>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</si>
  <si>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</si>
  <si>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</si>
  <si>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</si>
  <si>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</si>
  <si>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</si>
  <si>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</si>
  <si>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</si>
  <si>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</si>
  <si>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</si>
  <si>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</si>
  <si>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</si>
  <si>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</si>
  <si>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</si>
  <si>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</si>
  <si>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</si>
  <si>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</si>
  <si>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</si>
  <si>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</si>
  <si>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</si>
  <si>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</si>
  <si>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</si>
  <si>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</si>
  <si>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</si>
  <si>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</si>
  <si>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</si>
  <si>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</si>
  <si>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</si>
  <si>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</si>
  <si>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</si>
  <si>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</si>
  <si>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</si>
  <si>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</si>
  <si>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</si>
  <si>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</si>
  <si>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</si>
  <si>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</si>
  <si>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</si>
  <si>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</si>
  <si>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</si>
  <si>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</si>
  <si>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</si>
  <si>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</si>
  <si>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</si>
  <si>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</si>
  <si>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</si>
  <si>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</si>
  <si>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</si>
  <si>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</si>
  <si>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</si>
  <si>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</si>
  <si>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</si>
  <si>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</si>
  <si>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</si>
  <si>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</si>
  <si>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</si>
  <si>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</si>
  <si>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</si>
  <si>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</si>
  <si>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</si>
  <si>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</si>
  <si>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</si>
  <si>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</si>
  <si>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</si>
  <si>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</si>
  <si>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</si>
  <si>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</si>
  <si>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</si>
  <si>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</si>
  <si>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</si>
  <si>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</si>
  <si>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</si>
  <si>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</si>
  <si>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</si>
  <si>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</si>
  <si>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</si>
  <si>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</si>
  <si>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</si>
  <si>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</si>
  <si>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</si>
  <si>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</si>
  <si>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</si>
  <si>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</si>
  <si>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</si>
  <si>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</si>
  <si>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</si>
  <si>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</si>
  <si>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</si>
  <si>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</si>
  <si>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</si>
  <si>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</si>
  <si>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</si>
  <si>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</si>
  <si>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</si>
  <si>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</si>
  <si>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</si>
  <si>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</si>
  <si>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</si>
  <si>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</si>
  <si>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</si>
  <si>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</si>
  <si>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</si>
  <si>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</si>
  <si>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</si>
  <si>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</si>
  <si>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</si>
  <si>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</si>
  <si>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</si>
  <si>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</si>
  <si>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</si>
  <si>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</si>
  <si>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</si>
  <si>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</si>
  <si>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</si>
  <si>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</si>
  <si>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</si>
  <si>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</si>
  <si>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</si>
  <si>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</si>
  <si>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</si>
  <si>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</si>
  <si>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</si>
  <si>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</si>
  <si>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</si>
  <si>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</si>
  <si>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</si>
  <si>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</si>
  <si>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</si>
  <si>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</si>
  <si>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</si>
  <si>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</si>
  <si>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</si>
  <si>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</si>
  <si>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</si>
  <si>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</si>
  <si>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</si>
  <si>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</si>
  <si>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</si>
  <si>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</si>
  <si>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</si>
  <si>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</si>
  <si>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</si>
  <si>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</si>
  <si>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</si>
  <si>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</si>
  <si>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</si>
  <si>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</si>
  <si>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</si>
  <si>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</si>
  <si>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</si>
  <si>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</si>
  <si>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</si>
  <si>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</si>
  <si>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</si>
  <si>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</si>
  <si>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</si>
  <si>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</si>
  <si>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</si>
  <si>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</si>
  <si>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</si>
  <si>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</si>
  <si>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</si>
  <si>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</si>
  <si>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</si>
  <si>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</si>
  <si>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</si>
  <si>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</si>
  <si>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</si>
  <si>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</si>
  <si>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</si>
  <si>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</si>
  <si>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</si>
  <si>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</si>
  <si>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</si>
  <si>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</si>
  <si>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</si>
  <si>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</si>
  <si>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</si>
  <si>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</si>
  <si>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</si>
  <si>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</si>
  <si>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</si>
  <si>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</si>
  <si>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</si>
  <si>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</si>
  <si>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</si>
  <si>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</si>
  <si>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</si>
  <si>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</si>
  <si>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</si>
  <si>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</si>
  <si>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</si>
  <si>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</si>
  <si>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</si>
  <si>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</si>
  <si>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</si>
  <si>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</si>
  <si>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</si>
  <si>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</si>
  <si>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</si>
  <si>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</si>
  <si>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</si>
  <si>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</si>
  <si>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</si>
  <si>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</si>
  <si>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</si>
  <si>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</si>
  <si>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</si>
  <si>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</si>
  <si>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</si>
  <si>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</si>
  <si>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</si>
  <si>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</si>
  <si>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</si>
  <si>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</si>
  <si>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</si>
  <si>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</si>
  <si>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</si>
  <si>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</si>
  <si>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</si>
  <si>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</si>
  <si>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</si>
  <si>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</si>
  <si>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</si>
  <si>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</si>
  <si>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</si>
  <si>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</si>
  <si>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</si>
  <si>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</si>
  <si>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</si>
  <si>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</si>
  <si>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</si>
  <si>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</si>
  <si>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</si>
  <si>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</si>
  <si>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</si>
  <si>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</si>
  <si>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</si>
  <si>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</si>
  <si>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</si>
  <si>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</si>
  <si>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</si>
  <si>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</si>
  <si>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</si>
  <si>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</si>
  <si>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</si>
  <si>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</si>
  <si>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</si>
  <si>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</si>
  <si>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</si>
  <si>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</si>
  <si>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</si>
  <si>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</si>
  <si>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</si>
  <si>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</si>
  <si>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</si>
  <si>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</si>
  <si>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</si>
  <si>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</si>
  <si>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</si>
  <si>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</si>
  <si>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</si>
  <si>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</si>
  <si>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</si>
  <si>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</si>
  <si>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</si>
  <si>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</si>
  <si>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</si>
  <si>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</si>
  <si>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</si>
  <si>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</si>
  <si>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</si>
  <si>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</si>
  <si>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</si>
  <si>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</si>
  <si>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</si>
  <si>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</si>
  <si>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</si>
  <si>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</si>
  <si>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</si>
  <si>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</si>
  <si>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</si>
  <si>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</si>
  <si>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</si>
  <si>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</si>
  <si>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</si>
  <si>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</si>
  <si>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</si>
  <si>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</si>
  <si>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</si>
  <si>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</si>
  <si>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</si>
  <si>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</si>
  <si>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</si>
  <si>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</si>
  <si>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</si>
  <si>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</si>
  <si>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</si>
  <si>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</si>
  <si>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</si>
  <si>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</si>
  <si>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</si>
  <si>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</si>
  <si>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</si>
  <si>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</si>
  <si>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</si>
  <si>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</si>
  <si>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</si>
  <si>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</si>
  <si>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</si>
  <si>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</si>
  <si>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</si>
  <si>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</si>
  <si>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</si>
  <si>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</si>
  <si>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</si>
  <si>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</si>
  <si>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</si>
  <si>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</si>
  <si>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</si>
  <si>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</si>
  <si>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</si>
  <si>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</si>
  <si>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</si>
  <si>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</si>
  <si>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</si>
  <si>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</si>
  <si>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</si>
  <si>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</si>
  <si>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</si>
  <si>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</si>
  <si>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</si>
  <si>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</si>
  <si>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</si>
  <si>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</si>
  <si>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</si>
  <si>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</si>
  <si>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</si>
  <si>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</si>
  <si>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</si>
  <si>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</si>
  <si>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</si>
  <si>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</si>
  <si>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</si>
  <si>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</si>
  <si>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</si>
  <si>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</si>
  <si>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</si>
  <si>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</si>
  <si>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</si>
  <si>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</si>
  <si>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</si>
  <si>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</si>
  <si>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</si>
  <si>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</si>
  <si>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</si>
  <si>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</si>
  <si>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</si>
  <si>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</si>
  <si>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</si>
  <si>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</si>
  <si>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</si>
  <si>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</si>
  <si>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</si>
  <si>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</si>
  <si>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</si>
  <si>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</si>
  <si>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</si>
  <si>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</si>
  <si>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</si>
  <si>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</si>
  <si>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</si>
  <si>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</si>
  <si>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</si>
  <si>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</si>
  <si>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</si>
  <si>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</si>
  <si>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</si>
  <si>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</si>
  <si>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</si>
  <si>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</si>
  <si>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</si>
  <si>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</si>
  <si>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</si>
  <si>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</si>
  <si>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</si>
  <si>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</si>
  <si>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</si>
  <si>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</si>
  <si>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</si>
  <si>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</si>
  <si>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</si>
  <si>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</si>
  <si>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</si>
  <si>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</si>
  <si>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</si>
  <si>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</si>
  <si>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</si>
  <si>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</si>
  <si>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</si>
  <si>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</si>
  <si>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</si>
  <si>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</si>
  <si>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</si>
  <si>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</si>
  <si>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</si>
  <si>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</si>
  <si>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</si>
  <si>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</si>
  <si>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</si>
  <si>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</si>
  <si>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</si>
  <si>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</si>
  <si>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</si>
  <si>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</si>
  <si>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</si>
  <si>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</si>
  <si>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</si>
  <si>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</si>
  <si>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</si>
  <si>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</si>
  <si>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</si>
  <si>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</si>
  <si>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</si>
  <si>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</si>
  <si>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</si>
  <si>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</si>
  <si>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</si>
  <si>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</si>
  <si>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</si>
  <si>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</si>
  <si>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</si>
  <si>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</si>
  <si>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</si>
  <si>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</si>
  <si>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</si>
  <si>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</si>
  <si>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</si>
  <si>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</si>
  <si>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</si>
  <si>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</si>
  <si>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</si>
  <si>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</si>
  <si>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</si>
  <si>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</si>
  <si>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</si>
  <si>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</si>
  <si>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</si>
  <si>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</si>
  <si>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</si>
  <si>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</si>
  <si>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</si>
  <si>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</si>
  <si>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</si>
  <si>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</si>
  <si>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</si>
  <si>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</si>
  <si>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</si>
  <si>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</si>
  <si>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</si>
  <si>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</si>
  <si>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</si>
  <si>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</si>
  <si>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</si>
  <si>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</si>
  <si>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</si>
  <si>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</si>
  <si>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</si>
  <si>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</si>
  <si>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</si>
  <si>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</si>
  <si>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</si>
  <si>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</si>
  <si>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</si>
  <si>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</si>
  <si>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</si>
  <si>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</si>
  <si>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</si>
  <si>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</si>
  <si>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</si>
  <si>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</si>
  <si>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</si>
  <si>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</si>
  <si>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</si>
  <si>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</si>
  <si>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</si>
  <si>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</si>
  <si>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</si>
  <si>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</si>
  <si>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</si>
  <si>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</si>
  <si>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</si>
  <si>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</si>
  <si>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</si>
  <si>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</si>
  <si>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</si>
  <si>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</si>
  <si>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</si>
  <si>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</si>
  <si>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</si>
  <si>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</si>
  <si>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</si>
  <si>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</si>
  <si>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</si>
  <si>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</si>
  <si>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</si>
  <si>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</si>
  <si>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</si>
  <si>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</si>
  <si>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</si>
  <si>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</si>
  <si>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</si>
  <si>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</si>
  <si>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</si>
  <si>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</si>
  <si>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</si>
  <si>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</si>
  <si>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</si>
  <si>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</si>
  <si>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</si>
  <si>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</si>
  <si>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</si>
  <si>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</si>
  <si>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</si>
  <si>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</si>
  <si>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</si>
  <si>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</si>
  <si>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</si>
  <si>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</si>
  <si>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</si>
  <si>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</si>
  <si>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</si>
  <si>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</si>
  <si>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</si>
  <si>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</si>
  <si>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</si>
  <si>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</si>
  <si>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</si>
  <si>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</si>
  <si>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</si>
  <si>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</si>
  <si>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</si>
  <si>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</si>
  <si>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</si>
  <si>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</si>
  <si>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</si>
  <si>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</si>
  <si>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</si>
  <si>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</si>
  <si>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</si>
  <si>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</si>
  <si>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</si>
  <si>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</si>
  <si>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</si>
  <si>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</si>
  <si>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</si>
  <si>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</si>
  <si>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</si>
  <si>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</si>
  <si>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</si>
  <si>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</si>
  <si>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</si>
  <si>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</si>
  <si>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</si>
  <si>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</si>
  <si>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</si>
  <si>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</si>
  <si>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</si>
  <si>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</si>
  <si>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</si>
  <si>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</si>
  <si>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</si>
  <si>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</si>
  <si>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</si>
  <si>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</si>
  <si>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</si>
  <si>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</si>
  <si>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</si>
  <si>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</si>
  <si>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</si>
  <si>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</si>
  <si>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</si>
  <si>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</si>
  <si>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</si>
  <si>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</si>
  <si>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</si>
  <si>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</si>
  <si>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</si>
  <si>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</si>
  <si>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</si>
  <si>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</si>
  <si>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</si>
  <si>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</si>
  <si>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</si>
  <si>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</si>
  <si>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</si>
  <si>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</si>
  <si>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</si>
  <si>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</si>
  <si>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</si>
  <si>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</si>
  <si>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</si>
  <si>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</si>
  <si>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</si>
  <si>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</si>
  <si>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</si>
  <si>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</si>
  <si>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</si>
  <si>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</si>
  <si>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</si>
  <si>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</si>
  <si>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</si>
  <si>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</si>
  <si>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</si>
  <si>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</si>
  <si>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</si>
  <si>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</si>
  <si>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</si>
  <si>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</si>
  <si>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</si>
  <si>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</si>
  <si>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</si>
  <si>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</si>
  <si>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</si>
  <si>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</si>
  <si>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</si>
  <si>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</si>
  <si>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</si>
  <si>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</si>
  <si>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</si>
  <si>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</si>
  <si>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</si>
  <si>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</si>
  <si>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</si>
  <si>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</si>
  <si>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</si>
  <si>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</si>
  <si>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</si>
  <si>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</si>
  <si>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</si>
  <si>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</si>
  <si>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</si>
  <si>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</si>
  <si>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</si>
  <si>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</si>
  <si>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</si>
  <si>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</si>
  <si>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</si>
  <si>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</si>
  <si>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</si>
  <si>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</si>
  <si>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</si>
  <si>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</si>
  <si>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</si>
  <si>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</si>
  <si>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</si>
  <si>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</si>
  <si>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</si>
  <si>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</si>
  <si>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</si>
  <si>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</si>
  <si>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</si>
  <si>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</si>
  <si>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</si>
  <si>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</si>
  <si>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</si>
  <si>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</si>
  <si>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</si>
  <si>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</si>
  <si>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</si>
  <si>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</si>
  <si>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</si>
  <si>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</si>
  <si>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</si>
  <si>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</si>
  <si>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</si>
  <si>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</si>
  <si>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</si>
  <si>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</si>
  <si>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</si>
  <si>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</si>
  <si>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</si>
  <si>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</si>
  <si>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</si>
  <si>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</si>
  <si>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</si>
  <si>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</si>
  <si>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</si>
  <si>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</si>
  <si>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</si>
  <si>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</si>
  <si>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</si>
  <si>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</si>
  <si>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</si>
  <si>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</si>
  <si>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</si>
  <si>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</si>
  <si>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</si>
  <si>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</si>
  <si>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</si>
  <si>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</si>
  <si>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</si>
  <si>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</si>
  <si>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</si>
  <si>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</si>
  <si>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</si>
  <si>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</si>
  <si>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</si>
  <si>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</si>
  <si>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</si>
  <si>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</si>
  <si>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</si>
  <si>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</si>
  <si>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</si>
  <si>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</si>
  <si>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</si>
  <si>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</si>
  <si>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</si>
  <si>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</si>
  <si>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</si>
  <si>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</si>
  <si>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</si>
  <si>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</si>
  <si>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</si>
  <si>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</si>
  <si>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</si>
  <si>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</si>
  <si>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</si>
  <si>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</si>
  <si>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</si>
  <si>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</si>
  <si>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</si>
  <si>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</si>
  <si>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</si>
  <si>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</si>
  <si>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</si>
  <si>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</si>
  <si>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</si>
  <si>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</si>
  <si>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</si>
  <si>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</si>
  <si>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</si>
  <si>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</si>
  <si>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</si>
  <si>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</si>
  <si>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</si>
  <si>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</si>
  <si>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</si>
  <si>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</si>
  <si>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</si>
  <si>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</si>
  <si>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</si>
  <si>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</si>
  <si>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</si>
  <si>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</si>
  <si>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</si>
  <si>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</si>
  <si>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</si>
  <si>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</si>
  <si>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</si>
  <si>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</si>
  <si>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</si>
  <si>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</si>
  <si>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</si>
  <si>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</si>
  <si>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</si>
  <si>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</si>
  <si>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</si>
  <si>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</si>
  <si>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</si>
  <si>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</si>
  <si>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</si>
  <si>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</si>
  <si>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</si>
  <si>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</si>
  <si>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</si>
  <si>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</si>
  <si>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</si>
  <si>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</si>
  <si>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</si>
  <si>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</si>
  <si>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</si>
  <si>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</si>
  <si>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</si>
  <si>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</si>
  <si>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</si>
  <si>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</si>
  <si>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</si>
  <si>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</si>
  <si>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</si>
  <si>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</si>
  <si>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</si>
  <si>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</si>
  <si>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</si>
  <si>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</si>
  <si>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</si>
  <si>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</si>
  <si>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</si>
  <si>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</si>
  <si>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</si>
  <si>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</si>
  <si>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</si>
  <si>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</si>
  <si>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</si>
  <si>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</si>
  <si>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</si>
  <si>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</si>
  <si>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</si>
  <si>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</si>
  <si>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</si>
  <si>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</si>
  <si>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</si>
  <si>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</si>
  <si>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</si>
  <si>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</si>
  <si>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</si>
  <si>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</si>
  <si>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</si>
  <si>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</si>
  <si>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</si>
  <si>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</si>
  <si>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</si>
  <si>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</si>
  <si>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</si>
  <si>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</si>
  <si>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</si>
  <si>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</si>
  <si>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</si>
  <si>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</si>
  <si>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</si>
  <si>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</si>
  <si>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</si>
  <si>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</si>
  <si>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</si>
  <si>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</si>
  <si>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</si>
  <si>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</si>
  <si>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</si>
  <si>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</si>
  <si>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</si>
  <si>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</si>
  <si>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</si>
  <si>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</si>
  <si>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</si>
  <si>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</si>
  <si>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</si>
  <si>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</si>
  <si>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</si>
  <si>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</si>
  <si>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</si>
  <si>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</si>
  <si>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</si>
  <si>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</si>
  <si>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</si>
  <si>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</si>
  <si>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</si>
  <si>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</si>
  <si>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</si>
  <si>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</si>
  <si>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</si>
  <si>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</si>
  <si>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</si>
  <si>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</si>
  <si>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</si>
  <si>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</si>
  <si>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</si>
  <si>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</si>
  <si>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</si>
  <si>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</si>
  <si>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</si>
  <si>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</si>
  <si>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</si>
  <si>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</si>
  <si>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</si>
  <si>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</si>
  <si>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</si>
  <si>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</si>
  <si>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72003</t>
  </si>
  <si>
    <t>BOCHOLT</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</si>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</sst>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00D718C-C3B1-4476-B5BE-48F73273492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107073.21183868118</c:v>
                </c:pt>
                <c:pt idx="1">
                  <c:v>83321.593160071177</c:v>
                </c:pt>
                <c:pt idx="2">
                  <c:v>929.16</c:v>
                </c:pt>
                <c:pt idx="3">
                  <c:v>16181.451411551565</c:v>
                </c:pt>
                <c:pt idx="4">
                  <c:v>127519.65273289803</c:v>
                </c:pt>
                <c:pt idx="5">
                  <c:v>60423.373382256679</c:v>
                </c:pt>
                <c:pt idx="6">
                  <c:v>1036.6480245790094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107073.21183868118</c:v>
                </c:pt>
                <c:pt idx="1">
                  <c:v>83321.593160071177</c:v>
                </c:pt>
                <c:pt idx="2">
                  <c:v>929.16</c:v>
                </c:pt>
                <c:pt idx="3">
                  <c:v>16181.451411551565</c:v>
                </c:pt>
                <c:pt idx="4">
                  <c:v>127519.65273289803</c:v>
                </c:pt>
                <c:pt idx="5">
                  <c:v>60423.373382256679</c:v>
                </c:pt>
                <c:pt idx="6">
                  <c:v>1036.6480245790094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22144.429651786046</c:v>
                </c:pt>
                <c:pt idx="2">
                  <c:v>12401.544104468117</c:v>
                </c:pt>
                <c:pt idx="3">
                  <c:v>161.80951012795893</c:v>
                </c:pt>
                <c:pt idx="4">
                  <c:v>4046.3556231274765</c:v>
                </c:pt>
                <c:pt idx="5">
                  <c:v>21784.422064589566</c:v>
                </c:pt>
                <c:pt idx="6">
                  <c:v>15461.15232421494</c:v>
                </c:pt>
                <c:pt idx="7">
                  <c:v>267.93105735802084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22144.429651786046</c:v>
                </c:pt>
                <c:pt idx="2">
                  <c:v>12401.544104468117</c:v>
                </c:pt>
                <c:pt idx="3">
                  <c:v>161.80951012795893</c:v>
                </c:pt>
                <c:pt idx="4">
                  <c:v>4046.3556231274765</c:v>
                </c:pt>
                <c:pt idx="5">
                  <c:v>21784.422064589566</c:v>
                </c:pt>
                <c:pt idx="6">
                  <c:v>15461.15232421494</c:v>
                </c:pt>
                <c:pt idx="7">
                  <c:v>267.93105735802084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72003</v>
      </c>
      <c r="B6" s="380"/>
      <c r="C6" s="381"/>
    </row>
    <row r="7" spans="1:7" s="378" customFormat="1" ht="15.75" customHeight="1">
      <c r="A7" s="382" t="str">
        <f>txtMunicipality</f>
        <v>BOCHOLT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0.17414601374139968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0.17414601374139968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5188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3139.81</v>
      </c>
      <c r="C14" s="322"/>
      <c r="D14" s="322"/>
      <c r="E14" s="322"/>
      <c r="F14" s="322"/>
    </row>
    <row r="15" spans="1:6">
      <c r="A15" s="1248" t="s">
        <v>177</v>
      </c>
      <c r="B15" s="1249">
        <v>71</v>
      </c>
      <c r="C15" s="322"/>
      <c r="D15" s="322"/>
      <c r="E15" s="322"/>
      <c r="F15" s="322"/>
    </row>
    <row r="16" spans="1:6">
      <c r="A16" s="1248" t="s">
        <v>6</v>
      </c>
      <c r="B16" s="1249">
        <v>3526</v>
      </c>
      <c r="C16" s="322"/>
      <c r="D16" s="322"/>
      <c r="E16" s="322"/>
      <c r="F16" s="322"/>
    </row>
    <row r="17" spans="1:6">
      <c r="A17" s="1248" t="s">
        <v>7</v>
      </c>
      <c r="B17" s="1249">
        <v>377</v>
      </c>
      <c r="C17" s="322"/>
      <c r="D17" s="322"/>
      <c r="E17" s="322"/>
      <c r="F17" s="322"/>
    </row>
    <row r="18" spans="1:6">
      <c r="A18" s="1248" t="s">
        <v>8</v>
      </c>
      <c r="B18" s="1249">
        <v>1853</v>
      </c>
      <c r="C18" s="322"/>
      <c r="D18" s="322"/>
      <c r="E18" s="322"/>
      <c r="F18" s="322"/>
    </row>
    <row r="19" spans="1:6">
      <c r="A19" s="1248" t="s">
        <v>9</v>
      </c>
      <c r="B19" s="1249">
        <v>2040</v>
      </c>
      <c r="C19" s="322"/>
      <c r="D19" s="322"/>
      <c r="E19" s="322"/>
      <c r="F19" s="322"/>
    </row>
    <row r="20" spans="1:6">
      <c r="A20" s="1248" t="s">
        <v>10</v>
      </c>
      <c r="B20" s="1249">
        <v>886</v>
      </c>
      <c r="C20" s="322"/>
      <c r="D20" s="322"/>
      <c r="E20" s="322"/>
      <c r="F20" s="322"/>
    </row>
    <row r="21" spans="1:6">
      <c r="A21" s="1248" t="s">
        <v>11</v>
      </c>
      <c r="B21" s="1249">
        <v>9548</v>
      </c>
      <c r="C21" s="322"/>
      <c r="D21" s="322"/>
      <c r="E21" s="322"/>
      <c r="F21" s="322"/>
    </row>
    <row r="22" spans="1:6">
      <c r="A22" s="1248" t="s">
        <v>12</v>
      </c>
      <c r="B22" s="1249">
        <v>24626</v>
      </c>
      <c r="C22" s="322"/>
      <c r="D22" s="322"/>
      <c r="E22" s="322"/>
      <c r="F22" s="322"/>
    </row>
    <row r="23" spans="1:6">
      <c r="A23" s="1248" t="s">
        <v>13</v>
      </c>
      <c r="B23" s="1249">
        <v>533</v>
      </c>
      <c r="C23" s="322"/>
      <c r="D23" s="322"/>
      <c r="E23" s="322"/>
      <c r="F23" s="322"/>
    </row>
    <row r="24" spans="1:6">
      <c r="A24" s="1248" t="s">
        <v>14</v>
      </c>
      <c r="B24" s="1249">
        <v>111</v>
      </c>
      <c r="C24" s="322"/>
      <c r="D24" s="322"/>
      <c r="E24" s="322"/>
      <c r="F24" s="322"/>
    </row>
    <row r="25" spans="1:6">
      <c r="A25" s="1248" t="s">
        <v>15</v>
      </c>
      <c r="B25" s="1249">
        <v>2299</v>
      </c>
      <c r="C25" s="322"/>
      <c r="D25" s="322"/>
      <c r="E25" s="322"/>
      <c r="F25" s="322"/>
    </row>
    <row r="26" spans="1:6">
      <c r="A26" s="1248" t="s">
        <v>16</v>
      </c>
      <c r="B26" s="1249">
        <v>42</v>
      </c>
      <c r="C26" s="322"/>
      <c r="D26" s="322"/>
      <c r="E26" s="322"/>
      <c r="F26" s="322"/>
    </row>
    <row r="27" spans="1:6">
      <c r="A27" s="1248" t="s">
        <v>17</v>
      </c>
      <c r="B27" s="1249">
        <v>10</v>
      </c>
      <c r="C27" s="322"/>
      <c r="D27" s="322"/>
      <c r="E27" s="322"/>
      <c r="F27" s="322"/>
    </row>
    <row r="28" spans="1:6">
      <c r="A28" s="1248" t="s">
        <v>18</v>
      </c>
      <c r="B28" s="1250">
        <v>174462</v>
      </c>
      <c r="C28" s="322"/>
      <c r="D28" s="322"/>
      <c r="E28" s="322"/>
      <c r="F28" s="322"/>
    </row>
    <row r="29" spans="1:6">
      <c r="A29" s="1248" t="s">
        <v>884</v>
      </c>
      <c r="B29" s="1250">
        <v>415</v>
      </c>
      <c r="C29" s="322"/>
      <c r="D29" s="322"/>
      <c r="E29" s="322"/>
      <c r="F29" s="322"/>
    </row>
    <row r="30" spans="1:6">
      <c r="A30" s="1243" t="s">
        <v>885</v>
      </c>
      <c r="B30" s="1251">
        <v>77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12</v>
      </c>
      <c r="F36" s="1249">
        <v>76688</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2373</v>
      </c>
      <c r="D39" s="1249">
        <v>34675086</v>
      </c>
      <c r="E39" s="1249">
        <v>5162</v>
      </c>
      <c r="F39" s="1249">
        <v>18598337</v>
      </c>
    </row>
    <row r="40" spans="1:6">
      <c r="A40" s="1248" t="s">
        <v>29</v>
      </c>
      <c r="B40" s="1248" t="s">
        <v>28</v>
      </c>
      <c r="C40" s="1249">
        <v>0</v>
      </c>
      <c r="D40" s="1249">
        <v>0</v>
      </c>
      <c r="E40" s="1249">
        <v>0</v>
      </c>
      <c r="F40" s="1249">
        <v>0</v>
      </c>
    </row>
    <row r="41" spans="1:6">
      <c r="A41" s="1248" t="s">
        <v>31</v>
      </c>
      <c r="B41" s="1248" t="s">
        <v>32</v>
      </c>
      <c r="C41" s="1249">
        <v>30</v>
      </c>
      <c r="D41" s="1249">
        <v>895385</v>
      </c>
      <c r="E41" s="1249">
        <v>110</v>
      </c>
      <c r="F41" s="1249">
        <v>4311138</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8</v>
      </c>
      <c r="D44" s="1249">
        <v>238980</v>
      </c>
      <c r="E44" s="1249">
        <v>17</v>
      </c>
      <c r="F44" s="1249">
        <v>2026376</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v>
      </c>
      <c r="D48" s="1249">
        <v>130470</v>
      </c>
      <c r="E48" s="1249">
        <v>3</v>
      </c>
      <c r="F48" s="1249">
        <v>170043</v>
      </c>
    </row>
    <row r="49" spans="1:6">
      <c r="A49" s="1248" t="s">
        <v>31</v>
      </c>
      <c r="B49" s="1248" t="s">
        <v>39</v>
      </c>
      <c r="C49" s="1249">
        <v>0</v>
      </c>
      <c r="D49" s="1249">
        <v>0</v>
      </c>
      <c r="E49" s="1249">
        <v>3</v>
      </c>
      <c r="F49" s="1249">
        <v>65887</v>
      </c>
    </row>
    <row r="50" spans="1:6">
      <c r="A50" s="1248" t="s">
        <v>31</v>
      </c>
      <c r="B50" s="1248" t="s">
        <v>40</v>
      </c>
      <c r="C50" s="1249">
        <v>4</v>
      </c>
      <c r="D50" s="1249">
        <v>43496002</v>
      </c>
      <c r="E50" s="1249">
        <v>8</v>
      </c>
      <c r="F50" s="1249">
        <v>45674243</v>
      </c>
    </row>
    <row r="51" spans="1:6">
      <c r="A51" s="1248" t="s">
        <v>41</v>
      </c>
      <c r="B51" s="1248" t="s">
        <v>42</v>
      </c>
      <c r="C51" s="1249">
        <v>0</v>
      </c>
      <c r="D51" s="1249">
        <v>0</v>
      </c>
      <c r="E51" s="1249">
        <v>122</v>
      </c>
      <c r="F51" s="1249">
        <v>3266869</v>
      </c>
    </row>
    <row r="52" spans="1:6">
      <c r="A52" s="1248" t="s">
        <v>41</v>
      </c>
      <c r="B52" s="1248" t="s">
        <v>28</v>
      </c>
      <c r="C52" s="1249">
        <v>0</v>
      </c>
      <c r="D52" s="1249">
        <v>40036</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80</v>
      </c>
      <c r="F54" s="1249">
        <v>929160</v>
      </c>
    </row>
    <row r="55" spans="1:6">
      <c r="A55" s="1248" t="s">
        <v>45</v>
      </c>
      <c r="B55" s="1248" t="s">
        <v>28</v>
      </c>
      <c r="C55" s="1249">
        <v>0</v>
      </c>
      <c r="D55" s="1249">
        <v>0</v>
      </c>
      <c r="E55" s="1249">
        <v>0</v>
      </c>
      <c r="F55" s="1249">
        <v>0</v>
      </c>
    </row>
    <row r="56" spans="1:6">
      <c r="A56" s="1248" t="s">
        <v>47</v>
      </c>
      <c r="B56" s="1248" t="s">
        <v>28</v>
      </c>
      <c r="C56" s="1249">
        <v>23</v>
      </c>
      <c r="D56" s="1249">
        <v>384242</v>
      </c>
      <c r="E56" s="1249">
        <v>74</v>
      </c>
      <c r="F56" s="1249">
        <v>480313</v>
      </c>
    </row>
    <row r="57" spans="1:6">
      <c r="A57" s="1248" t="s">
        <v>48</v>
      </c>
      <c r="B57" s="1248" t="s">
        <v>49</v>
      </c>
      <c r="C57" s="1249">
        <v>20</v>
      </c>
      <c r="D57" s="1249">
        <v>4326347</v>
      </c>
      <c r="E57" s="1249">
        <v>59</v>
      </c>
      <c r="F57" s="1249">
        <v>1315200</v>
      </c>
    </row>
    <row r="58" spans="1:6">
      <c r="A58" s="1248" t="s">
        <v>48</v>
      </c>
      <c r="B58" s="1248" t="s">
        <v>50</v>
      </c>
      <c r="C58" s="1249">
        <v>8</v>
      </c>
      <c r="D58" s="1249">
        <v>1203106</v>
      </c>
      <c r="E58" s="1249">
        <v>19</v>
      </c>
      <c r="F58" s="1249">
        <v>501960</v>
      </c>
    </row>
    <row r="59" spans="1:6">
      <c r="A59" s="1248" t="s">
        <v>48</v>
      </c>
      <c r="B59" s="1248" t="s">
        <v>51</v>
      </c>
      <c r="C59" s="1249">
        <v>43</v>
      </c>
      <c r="D59" s="1249">
        <v>951069</v>
      </c>
      <c r="E59" s="1249">
        <v>110</v>
      </c>
      <c r="F59" s="1249">
        <v>3280887</v>
      </c>
    </row>
    <row r="60" spans="1:6">
      <c r="A60" s="1248" t="s">
        <v>48</v>
      </c>
      <c r="B60" s="1248" t="s">
        <v>52</v>
      </c>
      <c r="C60" s="1249">
        <v>24</v>
      </c>
      <c r="D60" s="1249">
        <v>775009</v>
      </c>
      <c r="E60" s="1249">
        <v>55</v>
      </c>
      <c r="F60" s="1249">
        <v>1802496</v>
      </c>
    </row>
    <row r="61" spans="1:6">
      <c r="A61" s="1248" t="s">
        <v>48</v>
      </c>
      <c r="B61" s="1248" t="s">
        <v>53</v>
      </c>
      <c r="C61" s="1249">
        <v>48</v>
      </c>
      <c r="D61" s="1249">
        <v>30782010</v>
      </c>
      <c r="E61" s="1249">
        <v>189</v>
      </c>
      <c r="F61" s="1249">
        <v>5841133</v>
      </c>
    </row>
    <row r="62" spans="1:6">
      <c r="A62" s="1248" t="s">
        <v>48</v>
      </c>
      <c r="B62" s="1248" t="s">
        <v>54</v>
      </c>
      <c r="C62" s="1249">
        <v>14</v>
      </c>
      <c r="D62" s="1249">
        <v>952581</v>
      </c>
      <c r="E62" s="1249">
        <v>16</v>
      </c>
      <c r="F62" s="1249">
        <v>219517</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69036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43125787</v>
      </c>
      <c r="E73" s="439"/>
      <c r="F73" s="322"/>
    </row>
    <row r="74" spans="1:6">
      <c r="A74" s="1248" t="s">
        <v>63</v>
      </c>
      <c r="B74" s="1248" t="s">
        <v>626</v>
      </c>
      <c r="C74" s="1261" t="s">
        <v>628</v>
      </c>
      <c r="D74" s="1249">
        <v>5376282.3616582314</v>
      </c>
      <c r="E74" s="439"/>
      <c r="F74" s="322"/>
    </row>
    <row r="75" spans="1:6">
      <c r="A75" s="1248" t="s">
        <v>64</v>
      </c>
      <c r="B75" s="1248" t="s">
        <v>625</v>
      </c>
      <c r="C75" s="1261" t="s">
        <v>629</v>
      </c>
      <c r="D75" s="1249">
        <v>20072154</v>
      </c>
      <c r="E75" s="439"/>
      <c r="F75" s="322"/>
    </row>
    <row r="76" spans="1:6">
      <c r="A76" s="1248" t="s">
        <v>64</v>
      </c>
      <c r="B76" s="1248" t="s">
        <v>626</v>
      </c>
      <c r="C76" s="1261" t="s">
        <v>630</v>
      </c>
      <c r="D76" s="1249">
        <v>226559.36165823156</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280377.27668353688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388.16568047337279</v>
      </c>
      <c r="C89" s="322"/>
      <c r="D89" s="322"/>
      <c r="E89" s="322"/>
      <c r="F89" s="322"/>
    </row>
    <row r="90" spans="1:6">
      <c r="A90" s="1248" t="s">
        <v>537</v>
      </c>
      <c r="B90" s="1249">
        <v>0</v>
      </c>
      <c r="C90" s="322"/>
      <c r="D90" s="322"/>
      <c r="E90" s="322"/>
      <c r="F90" s="322"/>
    </row>
    <row r="91" spans="1:6">
      <c r="A91" s="1248" t="s">
        <v>67</v>
      </c>
      <c r="B91" s="1249">
        <v>5239.7471698785303</v>
      </c>
      <c r="C91" s="322"/>
      <c r="D91" s="322"/>
      <c r="E91" s="322"/>
      <c r="F91" s="322"/>
    </row>
    <row r="92" spans="1:6">
      <c r="A92" s="1243" t="s">
        <v>68</v>
      </c>
      <c r="B92" s="1244">
        <v>3613.9102409257625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538</v>
      </c>
      <c r="C97" s="322"/>
      <c r="D97" s="322"/>
      <c r="E97" s="322"/>
      <c r="F97" s="322"/>
    </row>
    <row r="98" spans="1:6">
      <c r="A98" s="1248" t="s">
        <v>71</v>
      </c>
      <c r="B98" s="1249">
        <v>6</v>
      </c>
      <c r="C98" s="322"/>
      <c r="D98" s="322"/>
      <c r="E98" s="322"/>
      <c r="F98" s="322"/>
    </row>
    <row r="99" spans="1:6">
      <c r="A99" s="1248" t="s">
        <v>72</v>
      </c>
      <c r="B99" s="1249">
        <v>56</v>
      </c>
      <c r="C99" s="322"/>
      <c r="D99" s="322"/>
      <c r="E99" s="322"/>
      <c r="F99" s="322"/>
    </row>
    <row r="100" spans="1:6">
      <c r="A100" s="1248" t="s">
        <v>73</v>
      </c>
      <c r="B100" s="1249">
        <v>172</v>
      </c>
      <c r="C100" s="322"/>
      <c r="D100" s="322"/>
      <c r="E100" s="322"/>
      <c r="F100" s="322"/>
    </row>
    <row r="101" spans="1:6">
      <c r="A101" s="1248" t="s">
        <v>74</v>
      </c>
      <c r="B101" s="1249">
        <v>69</v>
      </c>
      <c r="C101" s="322"/>
      <c r="D101" s="322"/>
      <c r="E101" s="322"/>
      <c r="F101" s="322"/>
    </row>
    <row r="102" spans="1:6">
      <c r="A102" s="1248" t="s">
        <v>75</v>
      </c>
      <c r="B102" s="1249">
        <v>50</v>
      </c>
      <c r="C102" s="322"/>
      <c r="D102" s="322"/>
      <c r="E102" s="322"/>
      <c r="F102" s="322"/>
    </row>
    <row r="103" spans="1:6">
      <c r="A103" s="1248" t="s">
        <v>76</v>
      </c>
      <c r="B103" s="1249">
        <v>73</v>
      </c>
      <c r="C103" s="322"/>
      <c r="D103" s="322"/>
      <c r="E103" s="322"/>
      <c r="F103" s="322"/>
    </row>
    <row r="104" spans="1:6">
      <c r="A104" s="1248" t="s">
        <v>77</v>
      </c>
      <c r="B104" s="1249">
        <v>3316</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13</v>
      </c>
      <c r="C123" s="1249">
        <v>20</v>
      </c>
      <c r="D123" s="322"/>
      <c r="E123" s="322"/>
      <c r="F123" s="322"/>
    </row>
    <row r="124" spans="1:6">
      <c r="A124" s="1248" t="s">
        <v>88</v>
      </c>
      <c r="B124" s="1249">
        <v>1</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189</v>
      </c>
      <c r="C129" s="322"/>
      <c r="D129" s="322"/>
      <c r="E129" s="322"/>
      <c r="F129" s="322"/>
    </row>
    <row r="130" spans="1:6">
      <c r="A130" s="1248" t="s">
        <v>284</v>
      </c>
      <c r="B130" s="1249">
        <v>6</v>
      </c>
      <c r="C130" s="322"/>
      <c r="D130" s="322"/>
      <c r="E130" s="322"/>
      <c r="F130" s="322"/>
    </row>
    <row r="131" spans="1:6">
      <c r="A131" s="1248" t="s">
        <v>285</v>
      </c>
      <c r="B131" s="1249">
        <v>0</v>
      </c>
      <c r="C131" s="322"/>
      <c r="D131" s="322"/>
      <c r="E131" s="322"/>
      <c r="F131" s="322"/>
    </row>
    <row r="132" spans="1:6">
      <c r="A132" s="1243" t="s">
        <v>286</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107128.11446755027</v>
      </c>
      <c r="C3" s="43" t="s">
        <v>163</v>
      </c>
      <c r="D3" s="43"/>
      <c r="E3" s="153"/>
      <c r="F3" s="43"/>
      <c r="G3" s="43"/>
      <c r="H3" s="43"/>
      <c r="I3" s="43"/>
      <c r="J3" s="43"/>
      <c r="K3" s="96"/>
    </row>
    <row r="4" spans="1:11">
      <c r="A4" s="348" t="s">
        <v>164</v>
      </c>
      <c r="B4" s="49">
        <f>IF(ISERROR('SEAP template'!B78+'SEAP template'!C78),0,'SEAP template'!B78+'SEAP template'!C78)</f>
        <v>22712.123091277666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0.17414601374139968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19243.285714285714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929.16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929.16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0.17414601374139968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161.80951012795893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18598.337</v>
      </c>
      <c r="C5" s="17">
        <f>IF(ISERROR('Eigen informatie GS &amp; warmtenet'!B57),0,'Eigen informatie GS &amp; warmtenet'!B57)</f>
        <v>0</v>
      </c>
      <c r="D5" s="30">
        <f>(SUM(HH_hh_gas_kWh,HH_rest_gas_kWh)/1000)*0.902</f>
        <v>31276.927572000004</v>
      </c>
      <c r="E5" s="17">
        <f>B32*B41</f>
        <v>1523.440334911684</v>
      </c>
      <c r="F5" s="17">
        <f>B36*B45</f>
        <v>41419.327251650306</v>
      </c>
      <c r="G5" s="18"/>
      <c r="H5" s="17"/>
      <c r="I5" s="17"/>
      <c r="J5" s="17">
        <f>B35*B44+C35*C44</f>
        <v>763.84637460494275</v>
      </c>
      <c r="K5" s="17"/>
      <c r="L5" s="17"/>
      <c r="M5" s="17"/>
      <c r="N5" s="17">
        <f>B34*B43+C34*C43</f>
        <v>7139.9894689690491</v>
      </c>
      <c r="O5" s="17">
        <f>B52*B53*B54</f>
        <v>329.86333333333334</v>
      </c>
      <c r="P5" s="17">
        <f>B60*B61*B62/1000-B60*B61*B62/1000/B63</f>
        <v>781.73333333333335</v>
      </c>
    </row>
    <row r="6" spans="1:16">
      <c r="A6" s="16" t="s">
        <v>586</v>
      </c>
      <c r="B6" s="716">
        <f>kWh_PV_kleiner_dan_10kW</f>
        <v>5239.7471698785303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23838.08416987853</v>
      </c>
      <c r="C8" s="21">
        <f>C5</f>
        <v>0</v>
      </c>
      <c r="D8" s="21">
        <f>D5</f>
        <v>31276.927572000004</v>
      </c>
      <c r="E8" s="21">
        <f>E5</f>
        <v>1523.440334911684</v>
      </c>
      <c r="F8" s="21">
        <f>F5</f>
        <v>41419.327251650306</v>
      </c>
      <c r="G8" s="21"/>
      <c r="H8" s="21"/>
      <c r="I8" s="21"/>
      <c r="J8" s="21">
        <f>J5</f>
        <v>763.84637460494275</v>
      </c>
      <c r="K8" s="21"/>
      <c r="L8" s="21">
        <f>L5</f>
        <v>0</v>
      </c>
      <c r="M8" s="21">
        <f>M5</f>
        <v>0</v>
      </c>
      <c r="N8" s="21">
        <f>N5</f>
        <v>7139.9894689690491</v>
      </c>
      <c r="O8" s="21">
        <f>O5</f>
        <v>329.86333333333334</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0.17414601374139968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4151.3073334163082</v>
      </c>
      <c r="C12" s="23">
        <f ca="1">C10*C8</f>
        <v>0</v>
      </c>
      <c r="D12" s="23">
        <f>D8*D10</f>
        <v>6317.9393695440012</v>
      </c>
      <c r="E12" s="23">
        <f>E10*E8</f>
        <v>345.8209560249523</v>
      </c>
      <c r="F12" s="23">
        <f>F10*F8</f>
        <v>11058.960376190633</v>
      </c>
      <c r="G12" s="23"/>
      <c r="H12" s="23"/>
      <c r="I12" s="23"/>
      <c r="J12" s="23">
        <f>J10*J8</f>
        <v>270.40161661014974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5188</v>
      </c>
      <c r="C26" s="36"/>
      <c r="D26" s="224"/>
    </row>
    <row r="27" spans="1:5" s="15" customFormat="1">
      <c r="A27" s="226" t="s">
        <v>655</v>
      </c>
      <c r="B27" s="37">
        <f>SUM(HH_hh_gas_aantal,HH_rest_gas_aantal)</f>
        <v>2373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2254.35</v>
      </c>
      <c r="C31" s="34" t="s">
        <v>104</v>
      </c>
      <c r="D31" s="170"/>
    </row>
    <row r="32" spans="1:5">
      <c r="A32" s="167" t="s">
        <v>72</v>
      </c>
      <c r="B32" s="33">
        <f>IF((B21*($B$26-($B$27-0.05*$B$27)-$B$60))&lt;0,0,B21*($B$26-($B$27-0.05*$B$27)-$B$60))</f>
        <v>18.667505123258366</v>
      </c>
      <c r="C32" s="34" t="s">
        <v>104</v>
      </c>
      <c r="D32" s="170"/>
    </row>
    <row r="33" spans="1:6">
      <c r="A33" s="167" t="s">
        <v>73</v>
      </c>
      <c r="B33" s="33">
        <f>IF((B22*($B$26-($B$27-0.05*$B$27)-$B$60))&lt;0,0,B22*($B$26-($B$27-0.05*$B$27)-$B$60))</f>
        <v>650.07034210841039</v>
      </c>
      <c r="C33" s="34" t="s">
        <v>104</v>
      </c>
      <c r="D33" s="170"/>
    </row>
    <row r="34" spans="1:6">
      <c r="A34" s="167" t="s">
        <v>74</v>
      </c>
      <c r="B34" s="33">
        <f>IF((B24*($B$26-($B$27-0.05*$B$27)-$B$60))&lt;0,0,B24*($B$26-($B$27-0.05*$B$27)-$B$60))</f>
        <v>129.09064894234146</v>
      </c>
      <c r="C34" s="33">
        <f>B26*C24</f>
        <v>1061.7882219882761</v>
      </c>
      <c r="D34" s="229"/>
    </row>
    <row r="35" spans="1:6">
      <c r="A35" s="167" t="s">
        <v>76</v>
      </c>
      <c r="B35" s="33">
        <f>IF((B19*($B$26-($B$27-0.05*$B$27)-$B$60))&lt;0,0,B19*($B$26-($B$27-0.05*$B$27)-$B$60))</f>
        <v>63.041466749669056</v>
      </c>
      <c r="C35" s="33">
        <f>B35/2</f>
        <v>31.520733374834528</v>
      </c>
      <c r="D35" s="229"/>
    </row>
    <row r="36" spans="1:6">
      <c r="A36" s="167" t="s">
        <v>77</v>
      </c>
      <c r="B36" s="33">
        <f>IF((B18*($B$26-($B$27-0.05*$B$27)-$B$60))&lt;0,0,B18*($B$26-($B$27-0.05*$B$27)-$B$60))</f>
        <v>2031.7800370763216</v>
      </c>
      <c r="C36" s="34" t="s">
        <v>104</v>
      </c>
      <c r="D36" s="170"/>
    </row>
    <row r="37" spans="1:6">
      <c r="A37" s="167" t="s">
        <v>78</v>
      </c>
      <c r="B37" s="33">
        <f>B60</f>
        <v>41</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211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41</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12961.192999999999</v>
      </c>
      <c r="C5" s="17">
        <f>IF(ISERROR('Eigen informatie GS &amp; warmtenet'!B58),0,'Eigen informatie GS &amp; warmtenet'!B58)</f>
        <v>0</v>
      </c>
      <c r="D5" s="30">
        <f>SUM(D6:D12)</f>
        <v>35169.090044000004</v>
      </c>
      <c r="E5" s="17">
        <f>SUM(E6:E12)</f>
        <v>150.13590759699923</v>
      </c>
      <c r="F5" s="17">
        <f>SUM(F6:F12)</f>
        <v>2530.2068472880351</v>
      </c>
      <c r="G5" s="18"/>
      <c r="H5" s="17"/>
      <c r="I5" s="17"/>
      <c r="J5" s="17">
        <f>SUM(J6:J12)</f>
        <v>1.5932614713377986E-2</v>
      </c>
      <c r="K5" s="17"/>
      <c r="L5" s="17"/>
      <c r="M5" s="17"/>
      <c r="N5" s="17">
        <f>SUM(N6:N12)</f>
        <v>572.07397159529853</v>
      </c>
      <c r="O5" s="17">
        <f>B38*B39*B40</f>
        <v>9.3800000000000008</v>
      </c>
      <c r="P5" s="17">
        <f>B46*B47*B48/1000-B46*B47*B48/1000/B49</f>
        <v>0</v>
      </c>
      <c r="R5" s="32"/>
    </row>
    <row r="6" spans="1:18">
      <c r="A6" s="32" t="s">
        <v>53</v>
      </c>
      <c r="B6" s="37">
        <f>B26</f>
        <v>5841.1329999999998</v>
      </c>
      <c r="C6" s="33"/>
      <c r="D6" s="37">
        <f>IF(ISERROR(TER_kantoor_gas_kWh/1000),0,TER_kantoor_gas_kWh/1000)*0.902</f>
        <v>27765.373019999999</v>
      </c>
      <c r="E6" s="33">
        <f>$C$26*'E Balans VL '!I12/100/3.6*1000000</f>
        <v>3.3254538991750131E-18</v>
      </c>
      <c r="F6" s="33">
        <f>$C$26*('E Balans VL '!L12+'E Balans VL '!N12)/100/3.6*1000000</f>
        <v>789.6249361943643</v>
      </c>
      <c r="G6" s="34"/>
      <c r="H6" s="33"/>
      <c r="I6" s="33"/>
      <c r="J6" s="33">
        <f>$C$26*('E Balans VL '!D12+'E Balans VL '!E12)/100/3.6*1000000</f>
        <v>0</v>
      </c>
      <c r="K6" s="33"/>
      <c r="L6" s="33"/>
      <c r="M6" s="33"/>
      <c r="N6" s="33">
        <f>$C$26*'E Balans VL '!Y12/100/3.6*1000000</f>
        <v>7.3411173145273141</v>
      </c>
      <c r="O6" s="33"/>
      <c r="P6" s="33"/>
      <c r="R6" s="32"/>
    </row>
    <row r="7" spans="1:18">
      <c r="A7" s="32" t="s">
        <v>52</v>
      </c>
      <c r="B7" s="37">
        <f t="shared" ref="B7:B12" si="0">B27</f>
        <v>1802.4960000000001</v>
      </c>
      <c r="C7" s="33"/>
      <c r="D7" s="37">
        <f>IF(ISERROR(TER_horeca_gas_kWh/1000),0,TER_horeca_gas_kWh/1000)*0.902</f>
        <v>699.05811800000004</v>
      </c>
      <c r="E7" s="33">
        <f>$C$27*'E Balans VL '!I9/100/3.6*1000000</f>
        <v>23.021541653826393</v>
      </c>
      <c r="F7" s="33">
        <f>$C$27*('E Balans VL '!L9+'E Balans VL '!N9)/100/3.6*1000000</f>
        <v>203.58382427805364</v>
      </c>
      <c r="G7" s="34"/>
      <c r="H7" s="33"/>
      <c r="I7" s="33"/>
      <c r="J7" s="33">
        <f>$C$27*('E Balans VL '!D9+'E Balans VL '!E9)/100/3.6*1000000</f>
        <v>0</v>
      </c>
      <c r="K7" s="33"/>
      <c r="L7" s="33"/>
      <c r="M7" s="33"/>
      <c r="N7" s="33">
        <f>$C$27*'E Balans VL '!Y9/100/3.6*1000000</f>
        <v>0.42954244796551805</v>
      </c>
      <c r="O7" s="33"/>
      <c r="P7" s="33"/>
      <c r="R7" s="32"/>
    </row>
    <row r="8" spans="1:18">
      <c r="A8" s="6" t="s">
        <v>51</v>
      </c>
      <c r="B8" s="37">
        <f t="shared" si="0"/>
        <v>3280.8870000000002</v>
      </c>
      <c r="C8" s="33"/>
      <c r="D8" s="37">
        <f>IF(ISERROR(TER_handel_gas_kWh/1000),0,TER_handel_gas_kWh/1000)*0.902</f>
        <v>857.864238</v>
      </c>
      <c r="E8" s="33">
        <f>$C$28*'E Balans VL '!I13/100/3.6*1000000</f>
        <v>107.1484441665951</v>
      </c>
      <c r="F8" s="33">
        <f>$C$28*('E Balans VL '!L13+'E Balans VL '!N13)/100/3.6*1000000</f>
        <v>568.058926315863</v>
      </c>
      <c r="G8" s="34"/>
      <c r="H8" s="33"/>
      <c r="I8" s="33"/>
      <c r="J8" s="33">
        <f>$C$28*('E Balans VL '!D13+'E Balans VL '!E13)/100/3.6*1000000</f>
        <v>0</v>
      </c>
      <c r="K8" s="33"/>
      <c r="L8" s="33"/>
      <c r="M8" s="33"/>
      <c r="N8" s="33">
        <f>$C$28*'E Balans VL '!Y13/100/3.6*1000000</f>
        <v>3.8615129878022061</v>
      </c>
      <c r="O8" s="33"/>
      <c r="P8" s="33"/>
      <c r="R8" s="32"/>
    </row>
    <row r="9" spans="1:18">
      <c r="A9" s="32" t="s">
        <v>50</v>
      </c>
      <c r="B9" s="37">
        <f t="shared" si="0"/>
        <v>501.96</v>
      </c>
      <c r="C9" s="33"/>
      <c r="D9" s="37">
        <f>IF(ISERROR(TER_gezond_gas_kWh/1000),0,TER_gezond_gas_kWh/1000)*0.902</f>
        <v>1085.2016120000001</v>
      </c>
      <c r="E9" s="33">
        <f>$C$29*'E Balans VL '!I10/100/3.6*1000000</f>
        <v>2.8030707667354361E-2</v>
      </c>
      <c r="F9" s="33">
        <f>$C$29*('E Balans VL '!L10+'E Balans VL '!N10)/100/3.6*1000000</f>
        <v>66.50783263810176</v>
      </c>
      <c r="G9" s="34"/>
      <c r="H9" s="33"/>
      <c r="I9" s="33"/>
      <c r="J9" s="33">
        <f>$C$29*('E Balans VL '!D10+'E Balans VL '!E10)/100/3.6*1000000</f>
        <v>0</v>
      </c>
      <c r="K9" s="33"/>
      <c r="L9" s="33"/>
      <c r="M9" s="33"/>
      <c r="N9" s="33">
        <f>$C$29*'E Balans VL '!Y10/100/3.6*1000000</f>
        <v>5.3204386169778397</v>
      </c>
      <c r="O9" s="33"/>
      <c r="P9" s="33"/>
      <c r="R9" s="32"/>
    </row>
    <row r="10" spans="1:18">
      <c r="A10" s="32" t="s">
        <v>49</v>
      </c>
      <c r="B10" s="37">
        <f t="shared" si="0"/>
        <v>1315.2</v>
      </c>
      <c r="C10" s="33"/>
      <c r="D10" s="37">
        <f>IF(ISERROR(TER_ander_gas_kWh/1000),0,TER_ander_gas_kWh/1000)*0.902</f>
        <v>3902.364994</v>
      </c>
      <c r="E10" s="33">
        <f>$C$30*'E Balans VL '!I14/100/3.6*1000000</f>
        <v>16.983736817641201</v>
      </c>
      <c r="F10" s="33">
        <f>$C$30*('E Balans VL '!L14+'E Balans VL '!N14)/100/3.6*1000000</f>
        <v>868.12580943010289</v>
      </c>
      <c r="G10" s="34"/>
      <c r="H10" s="33"/>
      <c r="I10" s="33"/>
      <c r="J10" s="33">
        <f>$C$30*('E Balans VL '!D14+'E Balans VL '!E14)/100/3.6*1000000</f>
        <v>1.5932614713377986E-2</v>
      </c>
      <c r="K10" s="33"/>
      <c r="L10" s="33"/>
      <c r="M10" s="33"/>
      <c r="N10" s="33">
        <f>$C$30*'E Balans VL '!Y14/100/3.6*1000000</f>
        <v>554.61448507313673</v>
      </c>
      <c r="O10" s="33"/>
      <c r="P10" s="33"/>
      <c r="R10" s="32"/>
    </row>
    <row r="11" spans="1:18">
      <c r="A11" s="32" t="s">
        <v>54</v>
      </c>
      <c r="B11" s="37">
        <f t="shared" si="0"/>
        <v>219.517</v>
      </c>
      <c r="C11" s="33"/>
      <c r="D11" s="37">
        <f>IF(ISERROR(TER_onderwijs_gas_kWh/1000),0,TER_onderwijs_gas_kWh/1000)*0.902</f>
        <v>859.22806200000002</v>
      </c>
      <c r="E11" s="33">
        <f>$C$31*'E Balans VL '!I11/100/3.6*1000000</f>
        <v>2.9541542512691832</v>
      </c>
      <c r="F11" s="33">
        <f>$C$31*('E Balans VL '!L11+'E Balans VL '!N11)/100/3.6*1000000</f>
        <v>34.305518431549288</v>
      </c>
      <c r="G11" s="34"/>
      <c r="H11" s="33"/>
      <c r="I11" s="33"/>
      <c r="J11" s="33">
        <f>$C$31*('E Balans VL '!D11+'E Balans VL '!E11)/100/3.6*1000000</f>
        <v>0</v>
      </c>
      <c r="K11" s="33"/>
      <c r="L11" s="33"/>
      <c r="M11" s="33"/>
      <c r="N11" s="33">
        <f>$C$31*'E Balans VL '!Y11/100/3.6*1000000</f>
        <v>0.50687515488895507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energieproductie'!N40+'lokale energieproductie'!N33</f>
        <v>13383</v>
      </c>
      <c r="C13" s="242">
        <f ca="1">'lokale energieproductie'!O40+'lokale energieproductie'!O33</f>
        <v>19118.571428571428</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-38237.142857142862</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26344.192999999999</v>
      </c>
      <c r="C16" s="21">
        <f t="shared" ca="1" si="1"/>
        <v>19118.571428571428</v>
      </c>
      <c r="D16" s="21">
        <f t="shared" ca="1" si="1"/>
        <v>35169.090044000004</v>
      </c>
      <c r="E16" s="21">
        <f t="shared" si="1"/>
        <v>150.13590759699923</v>
      </c>
      <c r="F16" s="21">
        <f t="shared" ca="1" si="1"/>
        <v>2530.2068472880351</v>
      </c>
      <c r="G16" s="21">
        <f t="shared" si="1"/>
        <v>0</v>
      </c>
      <c r="H16" s="21">
        <f t="shared" si="1"/>
        <v>0</v>
      </c>
      <c r="I16" s="21">
        <f t="shared" si="1"/>
        <v>0</v>
      </c>
      <c r="J16" s="21">
        <f t="shared" si="1"/>
        <v>1.5932614713377986E-2</v>
      </c>
      <c r="K16" s="21">
        <f t="shared" si="1"/>
        <v>0</v>
      </c>
      <c r="L16" s="21">
        <f t="shared" ca="1" si="1"/>
        <v>0</v>
      </c>
      <c r="M16" s="21">
        <f t="shared" si="1"/>
        <v>0</v>
      </c>
      <c r="N16" s="21">
        <f t="shared" ca="1" si="1"/>
        <v>0</v>
      </c>
      <c r="O16" s="21">
        <f>O5</f>
        <v>9.3800000000000008</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0.17414601374139968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4587.7361961840852</v>
      </c>
      <c r="C20" s="23">
        <f t="shared" ref="C20:P20" ca="1" si="2">C16*C18</f>
        <v>0</v>
      </c>
      <c r="D20" s="23">
        <f t="shared" ca="1" si="2"/>
        <v>7104.1561888880015</v>
      </c>
      <c r="E20" s="23">
        <f t="shared" si="2"/>
        <v>34.080851024518829</v>
      </c>
      <c r="F20" s="23">
        <f t="shared" ca="1" si="2"/>
        <v>675.56522822590546</v>
      </c>
      <c r="G20" s="23">
        <f t="shared" si="2"/>
        <v>0</v>
      </c>
      <c r="H20" s="23">
        <f t="shared" si="2"/>
        <v>0</v>
      </c>
      <c r="I20" s="23">
        <f t="shared" si="2"/>
        <v>0</v>
      </c>
      <c r="J20" s="23">
        <f t="shared" si="2"/>
        <v>5.6401456085358069E-3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5841.1329999999998</v>
      </c>
      <c r="C26" s="39">
        <f>IF(ISERROR(B26*3.6/1000000/'E Balans VL '!Z12*100),0,B26*3.6/1000000/'E Balans VL '!Z12*100)</f>
        <v>0.15672467402397908</v>
      </c>
      <c r="D26" s="232" t="s">
        <v>621</v>
      </c>
      <c r="F26" s="6"/>
    </row>
    <row r="27" spans="1:18">
      <c r="A27" s="227" t="s">
        <v>52</v>
      </c>
      <c r="B27" s="33">
        <f>IF(ISERROR(TER_horeca_ele_kWh/1000),0,TER_horeca_ele_kWh/1000)</f>
        <v>1802.4960000000001</v>
      </c>
      <c r="C27" s="39">
        <f>IF(ISERROR(B27*3.6/1000000/'E Balans VL '!Z9*100),0,B27*3.6/1000000/'E Balans VL '!Z9*100)</f>
        <v>0.14319571643092105</v>
      </c>
      <c r="D27" s="232" t="s">
        <v>621</v>
      </c>
      <c r="F27" s="6"/>
    </row>
    <row r="28" spans="1:18">
      <c r="A28" s="167" t="s">
        <v>51</v>
      </c>
      <c r="B28" s="33">
        <f>IF(ISERROR(TER_handel_ele_kWh/1000),0,TER_handel_ele_kWh/1000)</f>
        <v>3280.8870000000002</v>
      </c>
      <c r="C28" s="39">
        <f>IF(ISERROR(B28*3.6/1000000/'E Balans VL '!Z13*100),0,B28*3.6/1000000/'E Balans VL '!Z13*100)</f>
        <v>9.5965556755875744E-2</v>
      </c>
      <c r="D28" s="232" t="s">
        <v>621</v>
      </c>
      <c r="F28" s="6"/>
    </row>
    <row r="29" spans="1:18">
      <c r="A29" s="227" t="s">
        <v>50</v>
      </c>
      <c r="B29" s="33">
        <f>IF(ISERROR(TER_gezond_ele_kWh/1000),0,TER_gezond_ele_kWh/1000)</f>
        <v>501.96</v>
      </c>
      <c r="C29" s="39">
        <f>IF(ISERROR(B29*3.6/1000000/'E Balans VL '!Z10*100),0,B29*3.6/1000000/'E Balans VL '!Z10*100)</f>
        <v>5.3275979615095823E-2</v>
      </c>
      <c r="D29" s="232" t="s">
        <v>621</v>
      </c>
      <c r="F29" s="6"/>
    </row>
    <row r="30" spans="1:18">
      <c r="A30" s="227" t="s">
        <v>49</v>
      </c>
      <c r="B30" s="33">
        <f>IF(ISERROR(TER_ander_ele_kWh/1000),0,TER_ander_ele_kWh/1000)</f>
        <v>1315.2</v>
      </c>
      <c r="C30" s="39">
        <f>IF(ISERROR(B30*3.6/1000000/'E Balans VL '!Z14*100),0,B30*3.6/1000000/'E Balans VL '!Z14*100)</f>
        <v>6.1174715196417179E-2</v>
      </c>
      <c r="D30" s="232" t="s">
        <v>621</v>
      </c>
      <c r="F30" s="6"/>
    </row>
    <row r="31" spans="1:18">
      <c r="A31" s="227" t="s">
        <v>54</v>
      </c>
      <c r="B31" s="33">
        <f>IF(ISERROR(TER_onderwijs_ele_kWh/1000),0,TER_onderwijs_ele_kWh/1000)</f>
        <v>219.517</v>
      </c>
      <c r="C31" s="39">
        <f>IF(ISERROR(B31*3.6/1000000/'E Balans VL '!Z11*100),0,B31*3.6/1000000/'E Balans VL '!Z11*100)</f>
        <v>5.4940555454197355E-2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6</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52247.687000000005</v>
      </c>
      <c r="C5" s="17">
        <f>IF(ISERROR('Eigen informatie GS &amp; warmtenet'!B59),0,'Eigen informatie GS &amp; warmtenet'!B59)</f>
        <v>0</v>
      </c>
      <c r="D5" s="30">
        <f>SUM(D6:D15)</f>
        <v>40374.274974</v>
      </c>
      <c r="E5" s="17">
        <f>SUM(E6:E15)</f>
        <v>2343.5315895503863</v>
      </c>
      <c r="F5" s="17">
        <f>SUM(F6:F15)</f>
        <v>14972.36861848278</v>
      </c>
      <c r="G5" s="18"/>
      <c r="H5" s="17"/>
      <c r="I5" s="17"/>
      <c r="J5" s="17">
        <f>SUM(J6:J15)</f>
        <v>1.3785582496478943</v>
      </c>
      <c r="K5" s="17"/>
      <c r="L5" s="17"/>
      <c r="M5" s="17"/>
      <c r="N5" s="17">
        <f>SUM(N6:N15)</f>
        <v>17580.411992615209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2026.376</v>
      </c>
      <c r="C8" s="33"/>
      <c r="D8" s="37">
        <f>IF( ISERROR(IND_metaal_Gas_kWH/1000),0,IND_metaal_Gas_kWH/1000)*0.902</f>
        <v>215.55995999999999</v>
      </c>
      <c r="E8" s="33">
        <f>C30*'E Balans VL '!I18/100/3.6*1000000</f>
        <v>72.915138682954222</v>
      </c>
      <c r="F8" s="33">
        <f>C30*'E Balans VL '!L18/100/3.6*1000000+C30*'E Balans VL '!N18/100/3.6*1000000</f>
        <v>884.85271115744786</v>
      </c>
      <c r="G8" s="34"/>
      <c r="H8" s="33"/>
      <c r="I8" s="33"/>
      <c r="J8" s="40">
        <f>C30*'E Balans VL '!D18/100/3.6*1000000+C30*'E Balans VL '!E18/100/3.6*1000000</f>
        <v>0</v>
      </c>
      <c r="K8" s="33"/>
      <c r="L8" s="33"/>
      <c r="M8" s="33"/>
      <c r="N8" s="33">
        <f>C30*'E Balans VL '!Y18/100/3.6*1000000</f>
        <v>101.56058805159437</v>
      </c>
      <c r="O8" s="33"/>
      <c r="P8" s="33"/>
      <c r="R8" s="32"/>
    </row>
    <row r="9" spans="1:18">
      <c r="A9" s="6" t="s">
        <v>32</v>
      </c>
      <c r="B9" s="37">
        <f t="shared" si="0"/>
        <v>4311.1379999999999</v>
      </c>
      <c r="C9" s="33"/>
      <c r="D9" s="37">
        <f>IF( ISERROR(IND_andere_gas_kWh/1000),0,IND_andere_gas_kWh/1000)*0.902</f>
        <v>807.63727000000006</v>
      </c>
      <c r="E9" s="33">
        <f>C31*'E Balans VL '!I19/100/3.6*1000000</f>
        <v>1100.1048753706934</v>
      </c>
      <c r="F9" s="33">
        <f>C31*'E Balans VL '!L19/100/3.6*1000000+C31*'E Balans VL '!N19/100/3.6*1000000</f>
        <v>3711.5657802704145</v>
      </c>
      <c r="G9" s="34"/>
      <c r="H9" s="33"/>
      <c r="I9" s="33"/>
      <c r="J9" s="40">
        <f>C31*'E Balans VL '!D19/100/3.6*1000000+C31*'E Balans VL '!E19/100/3.6*1000000</f>
        <v>0</v>
      </c>
      <c r="K9" s="33"/>
      <c r="L9" s="33"/>
      <c r="M9" s="33"/>
      <c r="N9" s="33">
        <f>C31*'E Balans VL '!Y19/100/3.6*1000000</f>
        <v>340.09834048619308</v>
      </c>
      <c r="O9" s="33"/>
      <c r="P9" s="33"/>
      <c r="R9" s="32"/>
    </row>
    <row r="10" spans="1:18">
      <c r="A10" s="6" t="s">
        <v>40</v>
      </c>
      <c r="B10" s="37">
        <f t="shared" si="0"/>
        <v>45674.243000000002</v>
      </c>
      <c r="C10" s="33"/>
      <c r="D10" s="37">
        <f>IF( ISERROR(IND_voed_gas_kWh/1000),0,IND_voed_gas_kWh/1000)*0.902</f>
        <v>39233.393803999999</v>
      </c>
      <c r="E10" s="33">
        <f>C32*'E Balans VL '!I20/100/3.6*1000000</f>
        <v>1161.1019729350992</v>
      </c>
      <c r="F10" s="33">
        <f>C32*'E Balans VL '!L20/100/3.6*1000000+C32*'E Balans VL '!N20/100/3.6*1000000</f>
        <v>10335.395561383843</v>
      </c>
      <c r="G10" s="34"/>
      <c r="H10" s="33"/>
      <c r="I10" s="33"/>
      <c r="J10" s="40">
        <f>C32*'E Balans VL '!D20/100/3.6*1000000+C32*'E Balans VL '!E20/100/3.6*1000000</f>
        <v>0</v>
      </c>
      <c r="K10" s="33"/>
      <c r="L10" s="33"/>
      <c r="M10" s="33"/>
      <c r="N10" s="33">
        <f>C32*'E Balans VL '!Y20/100/3.6*1000000</f>
        <v>17129.079174053517</v>
      </c>
      <c r="O10" s="33"/>
      <c r="P10" s="33"/>
      <c r="R10" s="32"/>
    </row>
    <row r="11" spans="1:18">
      <c r="A11" s="6" t="s">
        <v>39</v>
      </c>
      <c r="B11" s="37">
        <f t="shared" si="0"/>
        <v>65.887</v>
      </c>
      <c r="C11" s="33"/>
      <c r="D11" s="37">
        <f>IF( ISERROR(IND_textiel_gas_kWh/1000),0,IND_textiel_gas_kWh/1000)*0.902</f>
        <v>0</v>
      </c>
      <c r="E11" s="33">
        <f>C33*'E Balans VL '!I21/100/3.6*1000000</f>
        <v>0.18087753351983019</v>
      </c>
      <c r="F11" s="33">
        <f>C33*'E Balans VL '!L21/100/3.6*1000000+C33*'E Balans VL '!N21/100/3.6*1000000</f>
        <v>3.493054153489445</v>
      </c>
      <c r="G11" s="34"/>
      <c r="H11" s="33"/>
      <c r="I11" s="33"/>
      <c r="J11" s="40">
        <f>C33*'E Balans VL '!D21/100/3.6*1000000+C33*'E Balans VL '!E21/100/3.6*1000000</f>
        <v>0</v>
      </c>
      <c r="K11" s="33"/>
      <c r="L11" s="33"/>
      <c r="M11" s="33"/>
      <c r="N11" s="33">
        <f>C33*'E Balans VL '!Y21/100/3.6*1000000</f>
        <v>0.13242196684752155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170.04300000000001</v>
      </c>
      <c r="C15" s="33"/>
      <c r="D15" s="37">
        <f>IF( ISERROR(IND_rest_gas_kWh/1000),0,IND_rest_gas_kWh/1000)*0.902</f>
        <v>117.68394000000001</v>
      </c>
      <c r="E15" s="33">
        <f>C37*'E Balans VL '!I15/100/3.6*1000000</f>
        <v>9.2287250281195785</v>
      </c>
      <c r="F15" s="33">
        <f>C37*'E Balans VL '!L15/100/3.6*1000000+C37*'E Balans VL '!N15/100/3.6*1000000</f>
        <v>37.061511517587213</v>
      </c>
      <c r="G15" s="34"/>
      <c r="H15" s="33"/>
      <c r="I15" s="33"/>
      <c r="J15" s="40">
        <f>C37*'E Balans VL '!D15/100/3.6*1000000+C37*'E Balans VL '!E15/100/3.6*1000000</f>
        <v>1.3785582496478943</v>
      </c>
      <c r="K15" s="33"/>
      <c r="L15" s="33"/>
      <c r="M15" s="33"/>
      <c r="N15" s="33">
        <f>C37*'E Balans VL '!Y15/100/3.6*1000000</f>
        <v>9.541468057057747</v>
      </c>
      <c r="O15" s="33"/>
      <c r="P15" s="33"/>
      <c r="R15" s="32"/>
    </row>
    <row r="16" spans="1:18">
      <c r="A16" s="16" t="s">
        <v>477</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52247.687000000005</v>
      </c>
      <c r="C18" s="21">
        <f>C5+C16</f>
        <v>0</v>
      </c>
      <c r="D18" s="21">
        <f>MAX((D5+D16),0)</f>
        <v>40374.274974</v>
      </c>
      <c r="E18" s="21">
        <f>MAX((E5+E16),0)</f>
        <v>2343.5315895503863</v>
      </c>
      <c r="F18" s="21">
        <f>MAX((F5+F16),0)</f>
        <v>14972.36861848278</v>
      </c>
      <c r="G18" s="21"/>
      <c r="H18" s="21"/>
      <c r="I18" s="21"/>
      <c r="J18" s="21">
        <f>MAX((J5+J16),0)</f>
        <v>1.3785582496478943</v>
      </c>
      <c r="K18" s="21"/>
      <c r="L18" s="21">
        <f>MAX((L5+L16),0)</f>
        <v>0</v>
      </c>
      <c r="M18" s="21"/>
      <c r="N18" s="21">
        <f>MAX((N5+N16),0)</f>
        <v>17580.411992615209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0.17414601374139968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9098.7264182583513</v>
      </c>
      <c r="C22" s="23">
        <f ca="1">C18*C20</f>
        <v>0</v>
      </c>
      <c r="D22" s="23">
        <f>D18*D20</f>
        <v>8155.6035447480008</v>
      </c>
      <c r="E22" s="23">
        <f>E18*E20</f>
        <v>531.98167082793771</v>
      </c>
      <c r="F22" s="23">
        <f>F18*F20</f>
        <v>3997.6224211349027</v>
      </c>
      <c r="G22" s="23"/>
      <c r="H22" s="23"/>
      <c r="I22" s="23"/>
      <c r="J22" s="23">
        <f>J18*J20</f>
        <v>0.48800962037535456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2026.376</v>
      </c>
      <c r="C30" s="39">
        <f>IF(ISERROR(B30*3.6/1000000/'E Balans VL '!Z18*100),0,B30*3.6/1000000/'E Balans VL '!Z18*100)</f>
        <v>0.42934563004355958</v>
      </c>
      <c r="D30" s="232" t="s">
        <v>621</v>
      </c>
    </row>
    <row r="31" spans="1:18">
      <c r="A31" s="6" t="s">
        <v>32</v>
      </c>
      <c r="B31" s="37">
        <f>IF( ISERROR(IND_ander_ele_kWh/1000),0,IND_ander_ele_kWh/1000)</f>
        <v>4311.1379999999999</v>
      </c>
      <c r="C31" s="39">
        <f>IF(ISERROR(B31*3.6/1000000/'E Balans VL '!Z19*100),0,B31*3.6/1000000/'E Balans VL '!Z19*100)</f>
        <v>0.18146558757075393</v>
      </c>
      <c r="D31" s="232" t="s">
        <v>621</v>
      </c>
    </row>
    <row r="32" spans="1:18">
      <c r="A32" s="167" t="s">
        <v>40</v>
      </c>
      <c r="B32" s="37">
        <f>IF( ISERROR(IND_voed_ele_kWh/1000),0,IND_voed_ele_kWh/1000)</f>
        <v>45674.243000000002</v>
      </c>
      <c r="C32" s="39">
        <f>IF(ISERROR(B32*3.6/1000000/'E Balans VL '!Z20*100),0,B32*3.6/1000000/'E Balans VL '!Z20*100)</f>
        <v>7.6303990616679265</v>
      </c>
      <c r="D32" s="232" t="s">
        <v>621</v>
      </c>
    </row>
    <row r="33" spans="1:5">
      <c r="A33" s="167" t="s">
        <v>39</v>
      </c>
      <c r="B33" s="37">
        <f>IF( ISERROR(IND_textiel_ele_kWh/1000),0,IND_textiel_ele_kWh/1000)</f>
        <v>65.887</v>
      </c>
      <c r="C33" s="39">
        <f>IF(ISERROR(B33*3.6/1000000/'E Balans VL '!Z21*100),0,B33*3.6/1000000/'E Balans VL '!Z21*100)</f>
        <v>3.8466802279599581E-3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170.04300000000001</v>
      </c>
      <c r="C37" s="39">
        <f>IF(ISERROR(B37*3.6/1000000/'E Balans VL '!Z15*100),0,B37*3.6/1000000/'E Balans VL '!Z15*100)</f>
        <v>1.3728229826674618E-3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3266.8690000000001</v>
      </c>
      <c r="C5" s="17">
        <f>'Eigen informatie GS &amp; warmtenet'!B60</f>
        <v>0</v>
      </c>
      <c r="D5" s="30">
        <f>IF(ISERROR(SUM(LB_lb_gas_kWh,LB_rest_gas_kWh)/1000),0,SUM(LB_lb_gas_kWh,LB_rest_gas_kWh)/1000)*0.902</f>
        <v>36.112472000000004</v>
      </c>
      <c r="E5" s="17">
        <f>B17*'E Balans VL '!I25/3.6*1000000/100</f>
        <v>64.719484421329184</v>
      </c>
      <c r="F5" s="17">
        <f>B17*('E Balans VL '!L25/3.6*1000000+'E Balans VL '!N25/3.6*1000000)/100</f>
        <v>11913.349849640979</v>
      </c>
      <c r="G5" s="18"/>
      <c r="H5" s="17"/>
      <c r="I5" s="17"/>
      <c r="J5" s="17">
        <f>('E Balans VL '!D25+'E Balans VL '!E25)/3.6*1000000*landbouw!B17/100</f>
        <v>775.68631977497193</v>
      </c>
      <c r="K5" s="17"/>
      <c r="L5" s="17">
        <f>L6*(-1)</f>
        <v>0</v>
      </c>
      <c r="M5" s="17"/>
      <c r="N5" s="17">
        <f>N6*(-1)</f>
        <v>249.42857142857139</v>
      </c>
      <c r="O5" s="17"/>
      <c r="P5" s="17"/>
      <c r="R5" s="32"/>
    </row>
    <row r="6" spans="1:18">
      <c r="A6" s="16" t="s">
        <v>477</v>
      </c>
      <c r="B6" s="17" t="s">
        <v>204</v>
      </c>
      <c r="C6" s="17">
        <f>'lokale energieproductie'!O41+'lokale energieproductie'!O34</f>
        <v>124.71428571428569</v>
      </c>
      <c r="D6" s="300">
        <f>('lokale energieproductie'!P34+'lokale energieproductie'!P41)*(-1)</f>
        <v>0</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3266.8690000000001</v>
      </c>
      <c r="C8" s="21">
        <f>C5+C6</f>
        <v>124.71428571428569</v>
      </c>
      <c r="D8" s="21">
        <f>MAX((D5+D6),0)</f>
        <v>36.112472000000004</v>
      </c>
      <c r="E8" s="21">
        <f>MAX((E5+E6),0)</f>
        <v>64.719484421329184</v>
      </c>
      <c r="F8" s="21">
        <f>MAX((F5+F6),0)</f>
        <v>11913.349849640979</v>
      </c>
      <c r="G8" s="21"/>
      <c r="H8" s="21"/>
      <c r="I8" s="21"/>
      <c r="J8" s="21">
        <f>MAX((J5+J6),0)</f>
        <v>775.68631977497193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0.17414601374139968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568.9122137653527</v>
      </c>
      <c r="C12" s="23">
        <f ca="1">C8*C10</f>
        <v>0</v>
      </c>
      <c r="D12" s="23">
        <f>D8*D10</f>
        <v>7.2947193440000015</v>
      </c>
      <c r="E12" s="23">
        <f>E8*E10</f>
        <v>14.691322963641726</v>
      </c>
      <c r="F12" s="23">
        <f>F8*F10</f>
        <v>3180.8644098541417</v>
      </c>
      <c r="G12" s="23"/>
      <c r="H12" s="23"/>
      <c r="I12" s="23"/>
      <c r="J12" s="23">
        <f>J8*J10</f>
        <v>274.59295720034004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0.46065016825504168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722.58792981001716</v>
      </c>
      <c r="C26" s="242">
        <f>B26*'GWP N2O_CH4'!B5</f>
        <v>15174.34652601036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296.77724493282574</v>
      </c>
      <c r="C27" s="242">
        <f>B27*'GWP N2O_CH4'!B5</f>
        <v>6232.3221435893402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9.2910951975403631</v>
      </c>
      <c r="C28" s="242">
        <f>B28*'GWP N2O_CH4'!B4</f>
        <v>2880.2395112375125</v>
      </c>
      <c r="D28" s="50"/>
    </row>
    <row r="29" spans="1:4">
      <c r="A29" s="41" t="s">
        <v>266</v>
      </c>
      <c r="B29" s="242">
        <f>B34*'ha_N2O bodem landbouw'!B4</f>
        <v>20.713579688510841</v>
      </c>
      <c r="C29" s="242">
        <f>B29*'GWP N2O_CH4'!B4</f>
        <v>6421.2097034383605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4.6616810385784876E-3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5.8322859709435032E-5</v>
      </c>
      <c r="C5" s="427" t="s">
        <v>204</v>
      </c>
      <c r="D5" s="412">
        <f>SUM(D6:D11)</f>
        <v>1.0280451243998893E-4</v>
      </c>
      <c r="E5" s="412">
        <f>SUM(E6:E11)</f>
        <v>4.5973929188363729E-4</v>
      </c>
      <c r="F5" s="425" t="s">
        <v>204</v>
      </c>
      <c r="G5" s="412">
        <f>SUM(G6:G11)</f>
        <v>0.17503015167532032</v>
      </c>
      <c r="H5" s="412">
        <f>SUM(H6:H11)</f>
        <v>3.5308489339616028E-2</v>
      </c>
      <c r="I5" s="427" t="s">
        <v>204</v>
      </c>
      <c r="J5" s="427" t="s">
        <v>204</v>
      </c>
      <c r="K5" s="427" t="s">
        <v>204</v>
      </c>
      <c r="L5" s="427" t="s">
        <v>204</v>
      </c>
      <c r="M5" s="412">
        <f>SUM(M6:M11)</f>
        <v>6.5646364971546564E-3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3.6397572258045201E-5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5.7352726277337887E-5</v>
      </c>
      <c r="E6" s="818">
        <f>vkm_GW_PW*SUMIFS(TableVerdeelsleutelVkm[LPG],TableVerdeelsleutelVkm[Voertuigtype],"Lichte voertuigen")*SUMIFS(TableECFTransport[EnergieConsumptieFactor (PJ per km)],TableECFTransport[Index],CONCATENATE($A6,"_LPG_LPG"))</f>
        <v>2.6180169222918189E-4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7.068696641807494E-2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1.9959914878679846E-2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2.8220200715774204E-3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1.5002368540205978E-6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5.1711461244146627E-2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1.0505623729678247E-6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1.6268489894056804E-3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2.0361829828607705E-5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4.5451786162651047E-5</v>
      </c>
      <c r="E8" s="415">
        <f>vkm_NGW_PW*SUMIFS(TableVerdeelsleutelVkm[LPG],TableVerdeelsleutelVkm[Voertuigtype],"Lichte voertuigen")*SUMIFS(TableECFTransport[EnergieConsumptieFactor (PJ per km)],TableECFTransport[Index],CONCATENATE($A8,"_LPG_LPG"))</f>
        <v>1.979375996544554E-4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4.9829854987673367E-2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1.5347470462035401E-2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2.0276203933286686E-3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6.3220768761524918E-8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2.801869025425383E-3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5.3436527811891703E-8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8.8147042842887856E-5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16.200794363731955</v>
      </c>
      <c r="C14" s="21"/>
      <c r="D14" s="21">
        <f t="shared" ref="D14:M14" si="0">((D5)*10^9/3600)+D12</f>
        <v>28.556809011108037</v>
      </c>
      <c r="E14" s="21">
        <f t="shared" si="0"/>
        <v>127.70535885656592</v>
      </c>
      <c r="F14" s="21"/>
      <c r="G14" s="21">
        <f t="shared" si="0"/>
        <v>48619.486576477866</v>
      </c>
      <c r="H14" s="21">
        <f t="shared" si="0"/>
        <v>9807.9137054488965</v>
      </c>
      <c r="I14" s="21"/>
      <c r="J14" s="21"/>
      <c r="K14" s="21"/>
      <c r="L14" s="21"/>
      <c r="M14" s="21">
        <f t="shared" si="0"/>
        <v>1823.5101380985159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0.17414601374139968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2.8213037578880553</v>
      </c>
      <c r="C18" s="23"/>
      <c r="D18" s="23">
        <f t="shared" ref="D18:M18" si="1">D14*D16</f>
        <v>5.7684754202438242</v>
      </c>
      <c r="E18" s="23">
        <f t="shared" si="1"/>
        <v>28.989116460440464</v>
      </c>
      <c r="F18" s="23"/>
      <c r="G18" s="23">
        <f t="shared" si="1"/>
        <v>12981.402915919591</v>
      </c>
      <c r="H18" s="23">
        <f t="shared" si="1"/>
        <v>2442.1705126567754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2.0187011908856278E-5</v>
      </c>
      <c r="C50" s="311">
        <f t="shared" ref="C50:P50" si="2">SUM(C51:C52)</f>
        <v>0</v>
      </c>
      <c r="D50" s="311">
        <f t="shared" si="2"/>
        <v>0</v>
      </c>
      <c r="E50" s="311">
        <f t="shared" si="2"/>
        <v>0</v>
      </c>
      <c r="F50" s="311">
        <f t="shared" si="2"/>
        <v>0</v>
      </c>
      <c r="G50" s="311">
        <f t="shared" si="2"/>
        <v>3.5993869619310769E-3</v>
      </c>
      <c r="H50" s="311">
        <f t="shared" si="2"/>
        <v>0</v>
      </c>
      <c r="I50" s="311">
        <f t="shared" si="2"/>
        <v>0</v>
      </c>
      <c r="J50" s="311">
        <f t="shared" si="2"/>
        <v>0</v>
      </c>
      <c r="K50" s="311">
        <f t="shared" si="2"/>
        <v>0</v>
      </c>
      <c r="L50" s="311">
        <f t="shared" si="2"/>
        <v>0</v>
      </c>
      <c r="M50" s="311">
        <f t="shared" si="2"/>
        <v>1.1235891464450039E-4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2.0187011908856278E-5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3.5993869619310769E-3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1.1235891464450039E-4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5.6075033080156329</v>
      </c>
      <c r="C54" s="21">
        <f t="shared" ref="C54:P54" si="3">(C50)*10^9/3600</f>
        <v>0</v>
      </c>
      <c r="D54" s="21">
        <f t="shared" si="3"/>
        <v>0</v>
      </c>
      <c r="E54" s="21">
        <f t="shared" si="3"/>
        <v>0</v>
      </c>
      <c r="F54" s="21">
        <f t="shared" si="3"/>
        <v>0</v>
      </c>
      <c r="G54" s="21">
        <f t="shared" si="3"/>
        <v>999.82971164752132</v>
      </c>
      <c r="H54" s="21">
        <f t="shared" si="3"/>
        <v>0</v>
      </c>
      <c r="I54" s="21">
        <f t="shared" si="3"/>
        <v>0</v>
      </c>
      <c r="J54" s="21">
        <f t="shared" si="3"/>
        <v>0</v>
      </c>
      <c r="K54" s="21">
        <f t="shared" si="3"/>
        <v>0</v>
      </c>
      <c r="L54" s="21">
        <f t="shared" si="3"/>
        <v>0</v>
      </c>
      <c r="M54" s="21">
        <f t="shared" si="3"/>
        <v>31.210809623472333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0.17414601374139968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0.97652434813263456</v>
      </c>
      <c r="C58" s="23">
        <f t="shared" ref="C58:P58" ca="1" si="4">C54*C56</f>
        <v>0</v>
      </c>
      <c r="D58" s="23">
        <f t="shared" si="4"/>
        <v>0</v>
      </c>
      <c r="E58" s="23">
        <f t="shared" si="4"/>
        <v>0</v>
      </c>
      <c r="F58" s="23">
        <f t="shared" si="4"/>
        <v>0</v>
      </c>
      <c r="G58" s="23">
        <f t="shared" si="4"/>
        <v>266.95453300988822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388.16568047337279</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8853.6574108042932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N31</f>
        <v>13470.3</v>
      </c>
      <c r="C8" s="534">
        <f>B50</f>
        <v>0</v>
      </c>
      <c r="D8" s="961"/>
      <c r="E8" s="961">
        <f>E50</f>
        <v>0</v>
      </c>
      <c r="F8" s="962"/>
      <c r="G8" s="535"/>
      <c r="H8" s="961">
        <f>I50</f>
        <v>0</v>
      </c>
      <c r="I8" s="961">
        <f>G50+F50</f>
        <v>0</v>
      </c>
      <c r="J8" s="961">
        <f>H50+D50+C50</f>
        <v>15847.411764705885</v>
      </c>
      <c r="K8" s="961"/>
      <c r="L8" s="961"/>
      <c r="M8" s="961"/>
      <c r="N8" s="536"/>
      <c r="O8" s="537">
        <f>C8*$C$12+D8*$D$12+E8*$E$12+F8*$F$12+G8*$G$12+H8*$H$12+I8*$I$12+J8*$J$12</f>
        <v>0</v>
      </c>
      <c r="P8" s="1205"/>
      <c r="Q8" s="1206"/>
      <c r="S8" s="925"/>
      <c r="T8" s="1180"/>
      <c r="U8" s="1180"/>
    </row>
    <row r="9" spans="1:21" s="523" customFormat="1" ht="17.45" customHeight="1" thickBot="1">
      <c r="A9" s="538" t="s">
        <v>237</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22712.123091277666</v>
      </c>
      <c r="C10" s="547">
        <f t="shared" ref="C10:L10" si="0">SUM(C8:C9)</f>
        <v>0</v>
      </c>
      <c r="D10" s="547">
        <f t="shared" si="0"/>
        <v>0</v>
      </c>
      <c r="E10" s="547">
        <f t="shared" si="0"/>
        <v>0</v>
      </c>
      <c r="F10" s="547">
        <f t="shared" si="0"/>
        <v>0</v>
      </c>
      <c r="G10" s="547">
        <f t="shared" si="0"/>
        <v>0</v>
      </c>
      <c r="H10" s="547">
        <f t="shared" si="0"/>
        <v>0</v>
      </c>
      <c r="I10" s="547">
        <f t="shared" si="0"/>
        <v>0</v>
      </c>
      <c r="J10" s="547">
        <f t="shared" si="0"/>
        <v>15847.411764705885</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O31</f>
        <v>19243.285714285714</v>
      </c>
      <c r="C17" s="559">
        <f>B51</f>
        <v>0</v>
      </c>
      <c r="D17" s="560"/>
      <c r="E17" s="560">
        <f>E51</f>
        <v>0</v>
      </c>
      <c r="F17" s="967"/>
      <c r="G17" s="561"/>
      <c r="H17" s="559">
        <f>I51</f>
        <v>0</v>
      </c>
      <c r="I17" s="560">
        <f>G51+F51</f>
        <v>0</v>
      </c>
      <c r="J17" s="560">
        <f>H51+D51+C51</f>
        <v>22639.15966386555</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19243.285714285714</v>
      </c>
      <c r="C20" s="546">
        <f>SUM(C17:C19)</f>
        <v>0</v>
      </c>
      <c r="D20" s="546">
        <f t="shared" ref="D20:L20" si="1">SUM(D17:D19)</f>
        <v>0</v>
      </c>
      <c r="E20" s="546">
        <f t="shared" si="1"/>
        <v>0</v>
      </c>
      <c r="F20" s="546">
        <f t="shared" si="1"/>
        <v>0</v>
      </c>
      <c r="G20" s="546">
        <f t="shared" si="1"/>
        <v>0</v>
      </c>
      <c r="H20" s="546">
        <f t="shared" si="1"/>
        <v>0</v>
      </c>
      <c r="I20" s="546">
        <f t="shared" si="1"/>
        <v>0</v>
      </c>
      <c r="J20" s="546">
        <f t="shared" si="1"/>
        <v>22639.15966386555</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72003</v>
      </c>
      <c r="C28" s="724">
        <v>3950</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25.5" hidden="1">
      <c r="A29" s="569"/>
      <c r="B29" s="724">
        <v>72003</v>
      </c>
      <c r="C29" s="724">
        <v>3950</v>
      </c>
      <c r="D29" s="617"/>
      <c r="E29" s="616"/>
      <c r="F29" s="616"/>
      <c r="G29" s="616" t="s">
        <v>887</v>
      </c>
      <c r="H29" s="616" t="s">
        <v>888</v>
      </c>
      <c r="I29" s="616"/>
      <c r="J29" s="723"/>
      <c r="K29" s="723"/>
      <c r="L29" s="616" t="s">
        <v>889</v>
      </c>
      <c r="M29" s="616">
        <v>9.6999999999999993</v>
      </c>
      <c r="N29" s="616">
        <v>43.649999999999991</v>
      </c>
      <c r="O29" s="616">
        <v>62.357142857142847</v>
      </c>
      <c r="P29" s="616">
        <v>0</v>
      </c>
      <c r="Q29" s="616">
        <v>124.71428571428569</v>
      </c>
      <c r="R29" s="616">
        <v>0</v>
      </c>
      <c r="S29" s="616">
        <v>0</v>
      </c>
      <c r="T29" s="616">
        <v>0</v>
      </c>
      <c r="U29" s="616">
        <v>0</v>
      </c>
      <c r="V29" s="616">
        <v>0</v>
      </c>
      <c r="W29" s="616">
        <v>0</v>
      </c>
      <c r="X29" s="616"/>
      <c r="Y29" s="616">
        <v>10</v>
      </c>
      <c r="Z29" s="616" t="s">
        <v>105</v>
      </c>
      <c r="AA29" s="618" t="s">
        <v>105</v>
      </c>
    </row>
    <row r="30" spans="1:27" s="570" customFormat="1" ht="63.75" hidden="1">
      <c r="A30" s="569"/>
      <c r="B30" s="724">
        <v>72003</v>
      </c>
      <c r="C30" s="724">
        <v>3950</v>
      </c>
      <c r="D30" s="617"/>
      <c r="E30" s="616"/>
      <c r="F30" s="616"/>
      <c r="G30" s="616" t="s">
        <v>887</v>
      </c>
      <c r="H30" s="616" t="s">
        <v>888</v>
      </c>
      <c r="I30" s="616"/>
      <c r="J30" s="723"/>
      <c r="K30" s="723"/>
      <c r="L30" s="616" t="s">
        <v>889</v>
      </c>
      <c r="M30" s="616">
        <v>2974</v>
      </c>
      <c r="N30" s="616">
        <v>13383</v>
      </c>
      <c r="O30" s="616">
        <v>19118.571428571428</v>
      </c>
      <c r="P30" s="616">
        <v>0</v>
      </c>
      <c r="Q30" s="616">
        <v>38237.142857142862</v>
      </c>
      <c r="R30" s="616">
        <v>0</v>
      </c>
      <c r="S30" s="616">
        <v>0</v>
      </c>
      <c r="T30" s="616">
        <v>0</v>
      </c>
      <c r="U30" s="616">
        <v>0</v>
      </c>
      <c r="V30" s="616">
        <v>0</v>
      </c>
      <c r="W30" s="616">
        <v>0</v>
      </c>
      <c r="X30" s="616"/>
      <c r="Y30" s="616">
        <v>1600</v>
      </c>
      <c r="Z30" s="616" t="s">
        <v>49</v>
      </c>
      <c r="AA30" s="618" t="s">
        <v>149</v>
      </c>
    </row>
    <row r="31" spans="1:27" s="554" customFormat="1" hidden="1">
      <c r="A31" s="572" t="s">
        <v>269</v>
      </c>
      <c r="B31" s="573"/>
      <c r="C31" s="573"/>
      <c r="D31" s="573"/>
      <c r="E31" s="573"/>
      <c r="F31" s="573"/>
      <c r="G31" s="573"/>
      <c r="H31" s="573"/>
      <c r="I31" s="573"/>
      <c r="J31" s="573"/>
      <c r="K31" s="573"/>
      <c r="L31" s="574"/>
      <c r="M31" s="574">
        <f>SUM(M28:M30)</f>
        <v>2993.4</v>
      </c>
      <c r="N31" s="574">
        <f>SUM(N28:N30)</f>
        <v>13470.3</v>
      </c>
      <c r="O31" s="574">
        <f>SUM(O28:O30)</f>
        <v>19243.285714285714</v>
      </c>
      <c r="P31" s="574">
        <f>SUM(P28:P30)</f>
        <v>0</v>
      </c>
      <c r="Q31" s="574">
        <f>SUM(Q28:Q30)</f>
        <v>38486.571428571435</v>
      </c>
      <c r="R31" s="574">
        <f>SUM(R28:R30)</f>
        <v>0</v>
      </c>
      <c r="S31" s="574">
        <f>SUM(S28:S30)</f>
        <v>0</v>
      </c>
      <c r="T31" s="574">
        <f>SUM(T28:T30)</f>
        <v>0</v>
      </c>
      <c r="U31" s="574">
        <f>SUM(U28:U30)</f>
        <v>0</v>
      </c>
      <c r="V31" s="574">
        <f>SUM(V28:V30)</f>
        <v>0</v>
      </c>
      <c r="W31" s="574">
        <f>SUM(W28:W30)</f>
        <v>0</v>
      </c>
      <c r="X31" s="574"/>
      <c r="Y31" s="575"/>
      <c r="Z31" s="575"/>
      <c r="AA31" s="576"/>
    </row>
    <row r="32" spans="1:27" s="554" customFormat="1">
      <c r="A32" s="572" t="s">
        <v>276</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277</v>
      </c>
      <c r="B33" s="573"/>
      <c r="C33" s="573"/>
      <c r="D33" s="573"/>
      <c r="E33" s="573"/>
      <c r="F33" s="573"/>
      <c r="G33" s="573"/>
      <c r="H33" s="573"/>
      <c r="I33" s="573"/>
      <c r="J33" s="573"/>
      <c r="K33" s="573"/>
      <c r="L33" s="574"/>
      <c r="M33" s="574">
        <f ca="1">SUMIF($AA$28:AD30,"tertiair",M28:M30)</f>
        <v>2974</v>
      </c>
      <c r="N33" s="574">
        <f ca="1">SUMIF($AA$28:AE30,"tertiair",N28:N30)</f>
        <v>13383</v>
      </c>
      <c r="O33" s="574">
        <f ca="1">SUMIF($AA$28:AF30,"tertiair",O28:O30)</f>
        <v>19118.571428571428</v>
      </c>
      <c r="P33" s="574">
        <f ca="1">SUMIF($AA$28:AG30,"tertiair",P28:P30)</f>
        <v>0</v>
      </c>
      <c r="Q33" s="574">
        <f ca="1">SUMIF($AA$28:AH30,"tertiair",Q28:Q30)</f>
        <v>38237.142857142862</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278</v>
      </c>
      <c r="B34" s="578"/>
      <c r="C34" s="578"/>
      <c r="D34" s="578"/>
      <c r="E34" s="578"/>
      <c r="F34" s="578"/>
      <c r="G34" s="578"/>
      <c r="H34" s="578"/>
      <c r="I34" s="578"/>
      <c r="J34" s="578"/>
      <c r="K34" s="578"/>
      <c r="L34" s="579"/>
      <c r="M34" s="579">
        <f>SUMIF($AA$28:$AA$30,"landbouw",M28:M30)</f>
        <v>19.399999999999999</v>
      </c>
      <c r="N34" s="579">
        <f>SUMIF($AA$28:$AA$30,"landbouw",N28:N30)</f>
        <v>87.299999999999983</v>
      </c>
      <c r="O34" s="579">
        <f>SUMIF($AA$28:$AA$30,"landbouw",O28:O30)</f>
        <v>124.71428571428569</v>
      </c>
      <c r="P34" s="579">
        <f>SUMIF($AA$28:$AA$30,"landbouw",P28:P30)</f>
        <v>0</v>
      </c>
      <c r="Q34" s="579">
        <f>SUMIF($AA$28:$AA$30,"landbouw",Q28:Q30)</f>
        <v>249.42857142857139</v>
      </c>
      <c r="R34" s="579">
        <f>SUMIF($AA$28:$AA$30,"landbouw",R28:R30)</f>
        <v>0</v>
      </c>
      <c r="S34" s="579">
        <f>SUMIF($AA$28:$AA$30,"landbouw",S28:S30)</f>
        <v>0</v>
      </c>
      <c r="T34" s="579">
        <f>SUMIF($AA$28:$AA$30,"landbouw",T28:T30)</f>
        <v>0</v>
      </c>
      <c r="U34" s="579">
        <f>SUMIF($AA$28:$AA$30,"landbouw",U28:U30)</f>
        <v>0</v>
      </c>
      <c r="V34" s="579">
        <f>SUMIF($AA$28:$AA$30,"landbouw",V28:V30)</f>
        <v>0</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270</v>
      </c>
      <c r="B36" s="613" t="s">
        <v>89</v>
      </c>
      <c r="C36" s="613" t="s">
        <v>90</v>
      </c>
      <c r="D36" s="613"/>
      <c r="E36" s="613"/>
      <c r="F36" s="613"/>
      <c r="G36" s="613" t="s">
        <v>91</v>
      </c>
      <c r="H36" s="613" t="s">
        <v>92</v>
      </c>
      <c r="I36" s="613"/>
      <c r="J36" s="613"/>
      <c r="K36" s="613"/>
      <c r="L36" s="613" t="s">
        <v>93</v>
      </c>
      <c r="M36" s="614" t="s">
        <v>287</v>
      </c>
      <c r="N36" s="614" t="s">
        <v>94</v>
      </c>
      <c r="O36" s="614" t="s">
        <v>95</v>
      </c>
      <c r="P36" s="614" t="s">
        <v>522</v>
      </c>
      <c r="Q36" s="614" t="s">
        <v>96</v>
      </c>
      <c r="R36" s="614" t="s">
        <v>97</v>
      </c>
      <c r="S36" s="614" t="s">
        <v>98</v>
      </c>
      <c r="T36" s="614" t="s">
        <v>99</v>
      </c>
      <c r="U36" s="614" t="s">
        <v>100</v>
      </c>
      <c r="V36" s="614" t="s">
        <v>101</v>
      </c>
      <c r="W36" s="613" t="s">
        <v>102</v>
      </c>
      <c r="X36" s="613" t="s">
        <v>886</v>
      </c>
      <c r="Y36" s="613" t="s">
        <v>288</v>
      </c>
      <c r="Z36" s="613" t="s">
        <v>103</v>
      </c>
      <c r="AA36" s="615" t="s">
        <v>289</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269</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276</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277</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278</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271</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272</v>
      </c>
      <c r="C46" s="596" t="s">
        <v>273</v>
      </c>
      <c r="D46" s="596"/>
      <c r="E46" s="596"/>
      <c r="F46" s="596"/>
      <c r="G46" s="596"/>
      <c r="H46" s="596"/>
      <c r="I46" s="597"/>
      <c r="J46" s="596"/>
      <c r="K46" s="596"/>
      <c r="L46" s="596"/>
      <c r="M46" s="596"/>
      <c r="N46" s="596"/>
      <c r="O46" s="596"/>
      <c r="P46" s="591"/>
    </row>
    <row r="47" spans="1:28">
      <c r="A47" s="593" t="s">
        <v>269</v>
      </c>
      <c r="B47" s="598">
        <f>IF(ISERROR(O31/(O31+N31)),0,O31/(O31+N31))</f>
        <v>0.58823529411764708</v>
      </c>
      <c r="C47" s="599">
        <f>IF(ISERROR(N31/(O31+N31)),0,N31/(N31+O31))</f>
        <v>0.41176470588235292</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522</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274</v>
      </c>
      <c r="B50" s="608">
        <f t="shared" ref="B50:I50" si="2">$C$47*P31</f>
        <v>0</v>
      </c>
      <c r="C50" s="608">
        <f t="shared" si="2"/>
        <v>15847.411764705885</v>
      </c>
      <c r="D50" s="608">
        <f t="shared" si="2"/>
        <v>0</v>
      </c>
      <c r="E50" s="608">
        <f t="shared" si="2"/>
        <v>0</v>
      </c>
      <c r="F50" s="608">
        <f t="shared" si="2"/>
        <v>0</v>
      </c>
      <c r="G50" s="608">
        <f t="shared" si="2"/>
        <v>0</v>
      </c>
      <c r="H50" s="608">
        <f t="shared" si="2"/>
        <v>0</v>
      </c>
      <c r="I50" s="609">
        <f t="shared" si="2"/>
        <v>0</v>
      </c>
      <c r="J50" s="566"/>
      <c r="K50" s="566"/>
      <c r="L50" s="604"/>
      <c r="M50" s="604"/>
      <c r="N50" s="604"/>
      <c r="O50" s="591"/>
      <c r="P50" s="591"/>
    </row>
    <row r="51" spans="1:16" ht="15.75" thickBot="1">
      <c r="A51" s="610" t="s">
        <v>275</v>
      </c>
      <c r="B51" s="611">
        <f t="shared" ref="B51:I51" si="3">$B$47*P31</f>
        <v>0</v>
      </c>
      <c r="C51" s="611">
        <f t="shared" si="3"/>
        <v>22639.15966386555</v>
      </c>
      <c r="D51" s="611">
        <f t="shared" si="3"/>
        <v>0</v>
      </c>
      <c r="E51" s="611">
        <f t="shared" si="3"/>
        <v>0</v>
      </c>
      <c r="F51" s="611">
        <f t="shared" si="3"/>
        <v>0</v>
      </c>
      <c r="G51" s="611">
        <f t="shared" si="3"/>
        <v>0</v>
      </c>
      <c r="H51" s="611">
        <f t="shared" si="3"/>
        <v>0</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27273.352999999999</v>
      </c>
      <c r="D10" s="930">
        <f ca="1">tertiair!C16</f>
        <v>19118.571428571428</v>
      </c>
      <c r="E10" s="930">
        <f ca="1">tertiair!D16</f>
        <v>35169.090044000004</v>
      </c>
      <c r="F10" s="930">
        <f>tertiair!E16</f>
        <v>150.13590759699923</v>
      </c>
      <c r="G10" s="930">
        <f ca="1">tertiair!F16</f>
        <v>2530.2068472880351</v>
      </c>
      <c r="H10" s="930">
        <f>tertiair!G16</f>
        <v>0</v>
      </c>
      <c r="I10" s="930">
        <f>tertiair!H16</f>
        <v>0</v>
      </c>
      <c r="J10" s="930">
        <f>tertiair!I16</f>
        <v>0</v>
      </c>
      <c r="K10" s="930">
        <f>tertiair!J16</f>
        <v>1.5932614713377986E-2</v>
      </c>
      <c r="L10" s="930">
        <f>tertiair!K16</f>
        <v>0</v>
      </c>
      <c r="M10" s="930">
        <f ca="1">tertiair!L16</f>
        <v>0</v>
      </c>
      <c r="N10" s="930">
        <f>tertiair!M16</f>
        <v>0</v>
      </c>
      <c r="O10" s="930">
        <f ca="1">tertiair!N16</f>
        <v>0</v>
      </c>
      <c r="P10" s="930">
        <f>tertiair!O16</f>
        <v>9.3800000000000008</v>
      </c>
      <c r="Q10" s="931">
        <f>tertiair!P16</f>
        <v>0</v>
      </c>
      <c r="R10" s="628">
        <f ca="1">SUM(C10:Q10)</f>
        <v>84250.753160071181</v>
      </c>
      <c r="S10" s="67"/>
    </row>
    <row r="11" spans="1:19" s="437" customFormat="1">
      <c r="A11" s="736" t="s">
        <v>214</v>
      </c>
      <c r="B11" s="741"/>
      <c r="C11" s="930">
        <f>huishoudens!B8</f>
        <v>23838.08416987853</v>
      </c>
      <c r="D11" s="930">
        <f>huishoudens!C8</f>
        <v>0</v>
      </c>
      <c r="E11" s="930">
        <f>huishoudens!D8</f>
        <v>31276.927572000004</v>
      </c>
      <c r="F11" s="930">
        <f>huishoudens!E8</f>
        <v>1523.440334911684</v>
      </c>
      <c r="G11" s="930">
        <f>huishoudens!F8</f>
        <v>41419.327251650306</v>
      </c>
      <c r="H11" s="930">
        <f>huishoudens!G8</f>
        <v>0</v>
      </c>
      <c r="I11" s="930">
        <f>huishoudens!H8</f>
        <v>0</v>
      </c>
      <c r="J11" s="930">
        <f>huishoudens!I8</f>
        <v>0</v>
      </c>
      <c r="K11" s="930">
        <f>huishoudens!J8</f>
        <v>763.84637460494275</v>
      </c>
      <c r="L11" s="930">
        <f>huishoudens!K8</f>
        <v>0</v>
      </c>
      <c r="M11" s="930">
        <f>huishoudens!L8</f>
        <v>0</v>
      </c>
      <c r="N11" s="930">
        <f>huishoudens!M8</f>
        <v>0</v>
      </c>
      <c r="O11" s="930">
        <f>huishoudens!N8</f>
        <v>7139.9894689690491</v>
      </c>
      <c r="P11" s="930">
        <f>huishoudens!O8</f>
        <v>329.86333333333334</v>
      </c>
      <c r="Q11" s="931">
        <f>huishoudens!P8</f>
        <v>781.73333333333335</v>
      </c>
      <c r="R11" s="628">
        <f>SUM(C11:Q11)</f>
        <v>107073.21183868118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52247.687000000005</v>
      </c>
      <c r="D13" s="930">
        <f>industrie!C18</f>
        <v>0</v>
      </c>
      <c r="E13" s="930">
        <f>industrie!D18</f>
        <v>40374.274974</v>
      </c>
      <c r="F13" s="930">
        <f>industrie!E18</f>
        <v>2343.5315895503863</v>
      </c>
      <c r="G13" s="930">
        <f>industrie!F18</f>
        <v>14972.36861848278</v>
      </c>
      <c r="H13" s="930">
        <f>industrie!G18</f>
        <v>0</v>
      </c>
      <c r="I13" s="930">
        <f>industrie!H18</f>
        <v>0</v>
      </c>
      <c r="J13" s="930">
        <f>industrie!I18</f>
        <v>0</v>
      </c>
      <c r="K13" s="930">
        <f>industrie!J18</f>
        <v>1.3785582496478943</v>
      </c>
      <c r="L13" s="930">
        <f>industrie!K18</f>
        <v>0</v>
      </c>
      <c r="M13" s="930">
        <f>industrie!L18</f>
        <v>0</v>
      </c>
      <c r="N13" s="930">
        <f>industrie!M18</f>
        <v>0</v>
      </c>
      <c r="O13" s="930">
        <f>industrie!N18</f>
        <v>17580.411992615209</v>
      </c>
      <c r="P13" s="930">
        <f>industrie!O18</f>
        <v>0</v>
      </c>
      <c r="Q13" s="931">
        <f>industrie!P18</f>
        <v>0</v>
      </c>
      <c r="R13" s="628">
        <f>SUM(C13:Q13)</f>
        <v>127519.65273289803</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103359.12416987853</v>
      </c>
      <c r="D16" s="660">
        <f t="shared" ref="D16:R16" ca="1" si="0">SUM(D9:D15)</f>
        <v>19118.571428571428</v>
      </c>
      <c r="E16" s="660">
        <f t="shared" ca="1" si="0"/>
        <v>106820.29259000001</v>
      </c>
      <c r="F16" s="660">
        <f t="shared" si="0"/>
        <v>4017.1078320590696</v>
      </c>
      <c r="G16" s="660">
        <f t="shared" ca="1" si="0"/>
        <v>58921.902717421122</v>
      </c>
      <c r="H16" s="660">
        <f t="shared" si="0"/>
        <v>0</v>
      </c>
      <c r="I16" s="660">
        <f t="shared" si="0"/>
        <v>0</v>
      </c>
      <c r="J16" s="660">
        <f t="shared" si="0"/>
        <v>0</v>
      </c>
      <c r="K16" s="660">
        <f t="shared" si="0"/>
        <v>765.24086546930403</v>
      </c>
      <c r="L16" s="660">
        <f t="shared" si="0"/>
        <v>0</v>
      </c>
      <c r="M16" s="660">
        <f t="shared" ca="1" si="0"/>
        <v>0</v>
      </c>
      <c r="N16" s="660">
        <f t="shared" si="0"/>
        <v>0</v>
      </c>
      <c r="O16" s="660">
        <f t="shared" ca="1" si="0"/>
        <v>24720.401461584257</v>
      </c>
      <c r="P16" s="660">
        <f t="shared" si="0"/>
        <v>339.24333333333334</v>
      </c>
      <c r="Q16" s="660">
        <f t="shared" si="0"/>
        <v>781.73333333333335</v>
      </c>
      <c r="R16" s="660">
        <f t="shared" ca="1" si="0"/>
        <v>318843.61773165036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5.6075033080156329</v>
      </c>
      <c r="D19" s="930">
        <f>transport!C54</f>
        <v>0</v>
      </c>
      <c r="E19" s="930">
        <f>transport!D54</f>
        <v>0</v>
      </c>
      <c r="F19" s="930">
        <f>transport!E54</f>
        <v>0</v>
      </c>
      <c r="G19" s="930">
        <f>transport!F54</f>
        <v>0</v>
      </c>
      <c r="H19" s="930">
        <f>transport!G54</f>
        <v>999.82971164752132</v>
      </c>
      <c r="I19" s="930">
        <f>transport!H54</f>
        <v>0</v>
      </c>
      <c r="J19" s="930">
        <f>transport!I54</f>
        <v>0</v>
      </c>
      <c r="K19" s="930">
        <f>transport!J54</f>
        <v>0</v>
      </c>
      <c r="L19" s="930">
        <f>transport!K54</f>
        <v>0</v>
      </c>
      <c r="M19" s="930">
        <f>transport!L54</f>
        <v>0</v>
      </c>
      <c r="N19" s="930">
        <f>transport!M54</f>
        <v>31.210809623472333</v>
      </c>
      <c r="O19" s="930">
        <f>transport!N54</f>
        <v>0</v>
      </c>
      <c r="P19" s="930">
        <f>transport!O54</f>
        <v>0</v>
      </c>
      <c r="Q19" s="931">
        <f>transport!P54</f>
        <v>0</v>
      </c>
      <c r="R19" s="628">
        <f>SUM(C19:Q19)</f>
        <v>1036.6480245790094</v>
      </c>
      <c r="S19" s="67"/>
    </row>
    <row r="20" spans="1:19" s="437" customFormat="1">
      <c r="A20" s="736" t="s">
        <v>296</v>
      </c>
      <c r="B20" s="741"/>
      <c r="C20" s="930">
        <f>transport!B14</f>
        <v>16.200794363731955</v>
      </c>
      <c r="D20" s="930">
        <f>transport!C14</f>
        <v>0</v>
      </c>
      <c r="E20" s="930">
        <f>transport!D14</f>
        <v>28.556809011108037</v>
      </c>
      <c r="F20" s="930">
        <f>transport!E14</f>
        <v>127.70535885656592</v>
      </c>
      <c r="G20" s="930">
        <f>transport!F14</f>
        <v>0</v>
      </c>
      <c r="H20" s="930">
        <f>transport!G14</f>
        <v>48619.486576477866</v>
      </c>
      <c r="I20" s="930">
        <f>transport!H14</f>
        <v>9807.9137054488965</v>
      </c>
      <c r="J20" s="930">
        <f>transport!I14</f>
        <v>0</v>
      </c>
      <c r="K20" s="930">
        <f>transport!J14</f>
        <v>0</v>
      </c>
      <c r="L20" s="930">
        <f>transport!K14</f>
        <v>0</v>
      </c>
      <c r="M20" s="930">
        <f>transport!L14</f>
        <v>0</v>
      </c>
      <c r="N20" s="930">
        <f>transport!M14</f>
        <v>1823.5101380985159</v>
      </c>
      <c r="O20" s="930">
        <f>transport!N14</f>
        <v>0</v>
      </c>
      <c r="P20" s="930">
        <f>transport!O14</f>
        <v>0</v>
      </c>
      <c r="Q20" s="931">
        <f>transport!P14</f>
        <v>0</v>
      </c>
      <c r="R20" s="628">
        <f>SUM(C20:Q20)</f>
        <v>60423.373382256679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21.808297671747589</v>
      </c>
      <c r="D22" s="739">
        <f t="shared" ref="D22:R22" si="1">SUM(D18:D21)</f>
        <v>0</v>
      </c>
      <c r="E22" s="739">
        <f t="shared" si="1"/>
        <v>28.556809011108037</v>
      </c>
      <c r="F22" s="739">
        <f t="shared" si="1"/>
        <v>127.70535885656592</v>
      </c>
      <c r="G22" s="739">
        <f t="shared" si="1"/>
        <v>0</v>
      </c>
      <c r="H22" s="739">
        <f t="shared" si="1"/>
        <v>49619.316288125388</v>
      </c>
      <c r="I22" s="739">
        <f t="shared" si="1"/>
        <v>9807.9137054488965</v>
      </c>
      <c r="J22" s="739">
        <f t="shared" si="1"/>
        <v>0</v>
      </c>
      <c r="K22" s="739">
        <f t="shared" si="1"/>
        <v>0</v>
      </c>
      <c r="L22" s="739">
        <f t="shared" si="1"/>
        <v>0</v>
      </c>
      <c r="M22" s="739">
        <f t="shared" si="1"/>
        <v>0</v>
      </c>
      <c r="N22" s="739">
        <f t="shared" si="1"/>
        <v>1854.7209477219883</v>
      </c>
      <c r="O22" s="739">
        <f t="shared" si="1"/>
        <v>0</v>
      </c>
      <c r="P22" s="739">
        <f t="shared" si="1"/>
        <v>0</v>
      </c>
      <c r="Q22" s="739">
        <f t="shared" si="1"/>
        <v>0</v>
      </c>
      <c r="R22" s="739">
        <f t="shared" si="1"/>
        <v>61460.021406835687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3266.8690000000001</v>
      </c>
      <c r="D24" s="930">
        <f>+landbouw!C8</f>
        <v>124.71428571428569</v>
      </c>
      <c r="E24" s="930">
        <f>+landbouw!D8</f>
        <v>36.112472000000004</v>
      </c>
      <c r="F24" s="930">
        <f>+landbouw!E8</f>
        <v>64.719484421329184</v>
      </c>
      <c r="G24" s="930">
        <f>+landbouw!F8</f>
        <v>11913.349849640979</v>
      </c>
      <c r="H24" s="930">
        <f>+landbouw!G8</f>
        <v>0</v>
      </c>
      <c r="I24" s="930">
        <f>+landbouw!H8</f>
        <v>0</v>
      </c>
      <c r="J24" s="930">
        <f>+landbouw!I8</f>
        <v>0</v>
      </c>
      <c r="K24" s="930">
        <f>+landbouw!J8</f>
        <v>775.68631977497193</v>
      </c>
      <c r="L24" s="930">
        <f>+landbouw!K8</f>
        <v>0</v>
      </c>
      <c r="M24" s="930">
        <f>+landbouw!L8</f>
        <v>0</v>
      </c>
      <c r="N24" s="930">
        <f>+landbouw!M8</f>
        <v>0</v>
      </c>
      <c r="O24" s="930">
        <f>+landbouw!N8</f>
        <v>0</v>
      </c>
      <c r="P24" s="930">
        <f>+landbouw!O8</f>
        <v>0</v>
      </c>
      <c r="Q24" s="931">
        <f>+landbouw!P8</f>
        <v>0</v>
      </c>
      <c r="R24" s="628">
        <f>SUM(C24:Q24)</f>
        <v>16181.451411551565</v>
      </c>
      <c r="S24" s="67"/>
    </row>
    <row r="25" spans="1:19" s="437" customFormat="1" ht="15" thickBot="1">
      <c r="A25" s="758" t="s">
        <v>788</v>
      </c>
      <c r="B25" s="933"/>
      <c r="C25" s="934">
        <f>IF(Onbekend_ele_kWh="---",0,Onbekend_ele_kWh)/1000+IF(REST_rest_ele_kWh="---",0,REST_rest_ele_kWh)/1000</f>
        <v>480.31299999999999</v>
      </c>
      <c r="D25" s="934"/>
      <c r="E25" s="934">
        <f>IF(onbekend_gas_kWh="---",0,onbekend_gas_kWh)/1000+IF(REST_rest_gas_kWh="---",0,REST_rest_gas_kWh)/1000</f>
        <v>384.24200000000002</v>
      </c>
      <c r="F25" s="934"/>
      <c r="G25" s="934"/>
      <c r="H25" s="934"/>
      <c r="I25" s="934"/>
      <c r="J25" s="934"/>
      <c r="K25" s="934"/>
      <c r="L25" s="934"/>
      <c r="M25" s="934"/>
      <c r="N25" s="934"/>
      <c r="O25" s="934"/>
      <c r="P25" s="934"/>
      <c r="Q25" s="935"/>
      <c r="R25" s="628">
        <f>SUM(C25:Q25)</f>
        <v>864.55500000000006</v>
      </c>
      <c r="S25" s="67"/>
    </row>
    <row r="26" spans="1:19" s="437" customFormat="1" ht="15.75" thickBot="1">
      <c r="A26" s="633" t="s">
        <v>789</v>
      </c>
      <c r="B26" s="744"/>
      <c r="C26" s="739">
        <f>SUM(C24:C25)</f>
        <v>3747.1820000000002</v>
      </c>
      <c r="D26" s="739">
        <f t="shared" ref="D26:R26" si="2">SUM(D24:D25)</f>
        <v>124.71428571428569</v>
      </c>
      <c r="E26" s="739">
        <f t="shared" si="2"/>
        <v>420.35447200000004</v>
      </c>
      <c r="F26" s="739">
        <f t="shared" si="2"/>
        <v>64.719484421329184</v>
      </c>
      <c r="G26" s="739">
        <f t="shared" si="2"/>
        <v>11913.349849640979</v>
      </c>
      <c r="H26" s="739">
        <f t="shared" si="2"/>
        <v>0</v>
      </c>
      <c r="I26" s="739">
        <f t="shared" si="2"/>
        <v>0</v>
      </c>
      <c r="J26" s="739">
        <f t="shared" si="2"/>
        <v>0</v>
      </c>
      <c r="K26" s="739">
        <f t="shared" si="2"/>
        <v>775.68631977497193</v>
      </c>
      <c r="L26" s="739">
        <f t="shared" si="2"/>
        <v>0</v>
      </c>
      <c r="M26" s="739">
        <f t="shared" si="2"/>
        <v>0</v>
      </c>
      <c r="N26" s="739">
        <f t="shared" si="2"/>
        <v>0</v>
      </c>
      <c r="O26" s="739">
        <f t="shared" si="2"/>
        <v>0</v>
      </c>
      <c r="P26" s="739">
        <f t="shared" si="2"/>
        <v>0</v>
      </c>
      <c r="Q26" s="739">
        <f t="shared" si="2"/>
        <v>0</v>
      </c>
      <c r="R26" s="739">
        <f t="shared" si="2"/>
        <v>17046.006411551563</v>
      </c>
      <c r="S26" s="67"/>
    </row>
    <row r="27" spans="1:19" s="437" customFormat="1" ht="17.25" thickTop="1" thickBot="1">
      <c r="A27" s="634" t="s">
        <v>109</v>
      </c>
      <c r="B27" s="732"/>
      <c r="C27" s="635">
        <f ca="1">C22+C16+C26</f>
        <v>107128.11446755027</v>
      </c>
      <c r="D27" s="635">
        <f t="shared" ref="D27:R27" ca="1" si="3">D22+D16+D26</f>
        <v>19243.285714285714</v>
      </c>
      <c r="E27" s="635">
        <f t="shared" ca="1" si="3"/>
        <v>107269.20387101112</v>
      </c>
      <c r="F27" s="635">
        <f t="shared" si="3"/>
        <v>4209.5326753369645</v>
      </c>
      <c r="G27" s="635">
        <f t="shared" ca="1" si="3"/>
        <v>70835.252567062096</v>
      </c>
      <c r="H27" s="635">
        <f t="shared" si="3"/>
        <v>49619.316288125388</v>
      </c>
      <c r="I27" s="635">
        <f t="shared" si="3"/>
        <v>9807.9137054488965</v>
      </c>
      <c r="J27" s="635">
        <f t="shared" si="3"/>
        <v>0</v>
      </c>
      <c r="K27" s="635">
        <f t="shared" si="3"/>
        <v>1540.927185244276</v>
      </c>
      <c r="L27" s="635">
        <f t="shared" si="3"/>
        <v>0</v>
      </c>
      <c r="M27" s="635">
        <f t="shared" ca="1" si="3"/>
        <v>0</v>
      </c>
      <c r="N27" s="635">
        <f t="shared" si="3"/>
        <v>1854.7209477219883</v>
      </c>
      <c r="O27" s="635">
        <f t="shared" ca="1" si="3"/>
        <v>24720.401461584257</v>
      </c>
      <c r="P27" s="635">
        <f t="shared" si="3"/>
        <v>339.24333333333334</v>
      </c>
      <c r="Q27" s="635">
        <f t="shared" si="3"/>
        <v>781.73333333333335</v>
      </c>
      <c r="R27" s="635">
        <f t="shared" ca="1" si="3"/>
        <v>397349.64555003762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4749.5457063120439</v>
      </c>
      <c r="D40" s="930">
        <f ca="1">tertiair!C20</f>
        <v>0</v>
      </c>
      <c r="E40" s="930">
        <f ca="1">tertiair!D20</f>
        <v>7104.1561888880015</v>
      </c>
      <c r="F40" s="930">
        <f>tertiair!E20</f>
        <v>34.080851024518829</v>
      </c>
      <c r="G40" s="930">
        <f ca="1">tertiair!F20</f>
        <v>675.56522822590546</v>
      </c>
      <c r="H40" s="930">
        <f>tertiair!G20</f>
        <v>0</v>
      </c>
      <c r="I40" s="930">
        <f>tertiair!H20</f>
        <v>0</v>
      </c>
      <c r="J40" s="930">
        <f>tertiair!I20</f>
        <v>0</v>
      </c>
      <c r="K40" s="930">
        <f>tertiair!J20</f>
        <v>5.6401456085358069E-3</v>
      </c>
      <c r="L40" s="930">
        <f>tertiair!K20</f>
        <v>0</v>
      </c>
      <c r="M40" s="930">
        <f ca="1">tertiair!L20</f>
        <v>0</v>
      </c>
      <c r="N40" s="930">
        <f>tertiair!M20</f>
        <v>0</v>
      </c>
      <c r="O40" s="930">
        <f ca="1">tertiair!N20</f>
        <v>0</v>
      </c>
      <c r="P40" s="930">
        <f>tertiair!O20</f>
        <v>0</v>
      </c>
      <c r="Q40" s="702">
        <f>tertiair!P20</f>
        <v>0</v>
      </c>
      <c r="R40" s="777">
        <f t="shared" ca="1" si="4"/>
        <v>12563.353614596077</v>
      </c>
    </row>
    <row r="41" spans="1:18">
      <c r="A41" s="749" t="s">
        <v>214</v>
      </c>
      <c r="B41" s="756"/>
      <c r="C41" s="930">
        <f ca="1">huishoudens!B12</f>
        <v>4151.3073334163082</v>
      </c>
      <c r="D41" s="930">
        <f ca="1">huishoudens!C12</f>
        <v>0</v>
      </c>
      <c r="E41" s="930">
        <f>huishoudens!D12</f>
        <v>6317.9393695440012</v>
      </c>
      <c r="F41" s="930">
        <f>huishoudens!E12</f>
        <v>345.8209560249523</v>
      </c>
      <c r="G41" s="930">
        <f>huishoudens!F12</f>
        <v>11058.960376190633</v>
      </c>
      <c r="H41" s="930">
        <f>huishoudens!G12</f>
        <v>0</v>
      </c>
      <c r="I41" s="930">
        <f>huishoudens!H12</f>
        <v>0</v>
      </c>
      <c r="J41" s="930">
        <f>huishoudens!I12</f>
        <v>0</v>
      </c>
      <c r="K41" s="930">
        <f>huishoudens!J12</f>
        <v>270.40161661014974</v>
      </c>
      <c r="L41" s="930">
        <f>huishoudens!K12</f>
        <v>0</v>
      </c>
      <c r="M41" s="930">
        <f>huishoudens!L12</f>
        <v>0</v>
      </c>
      <c r="N41" s="930">
        <f>huishoudens!M12</f>
        <v>0</v>
      </c>
      <c r="O41" s="930">
        <f>huishoudens!N12</f>
        <v>0</v>
      </c>
      <c r="P41" s="930">
        <f>huishoudens!O12</f>
        <v>0</v>
      </c>
      <c r="Q41" s="702">
        <f>huishoudens!P12</f>
        <v>0</v>
      </c>
      <c r="R41" s="777">
        <f t="shared" ca="1" si="4"/>
        <v>22144.429651786046</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9098.7264182583513</v>
      </c>
      <c r="D43" s="930">
        <f ca="1">industrie!C22</f>
        <v>0</v>
      </c>
      <c r="E43" s="930">
        <f>industrie!D22</f>
        <v>8155.6035447480008</v>
      </c>
      <c r="F43" s="930">
        <f>industrie!E22</f>
        <v>531.98167082793771</v>
      </c>
      <c r="G43" s="930">
        <f>industrie!F22</f>
        <v>3997.6224211349027</v>
      </c>
      <c r="H43" s="930">
        <f>industrie!G22</f>
        <v>0</v>
      </c>
      <c r="I43" s="930">
        <f>industrie!H22</f>
        <v>0</v>
      </c>
      <c r="J43" s="930">
        <f>industrie!I22</f>
        <v>0</v>
      </c>
      <c r="K43" s="930">
        <f>industrie!J22</f>
        <v>0.48800962037535456</v>
      </c>
      <c r="L43" s="930">
        <f>industrie!K22</f>
        <v>0</v>
      </c>
      <c r="M43" s="930">
        <f>industrie!L22</f>
        <v>0</v>
      </c>
      <c r="N43" s="930">
        <f>industrie!M22</f>
        <v>0</v>
      </c>
      <c r="O43" s="930">
        <f>industrie!N22</f>
        <v>0</v>
      </c>
      <c r="P43" s="930">
        <f>industrie!O22</f>
        <v>0</v>
      </c>
      <c r="Q43" s="702">
        <f>industrie!P22</f>
        <v>0</v>
      </c>
      <c r="R43" s="776">
        <f t="shared" ca="1" si="4"/>
        <v>21784.422064589566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17999.579457986703</v>
      </c>
      <c r="D46" s="660">
        <f t="shared" ref="D46:Q46" ca="1" si="5">SUM(D39:D45)</f>
        <v>0</v>
      </c>
      <c r="E46" s="660">
        <f t="shared" ca="1" si="5"/>
        <v>21577.699103180006</v>
      </c>
      <c r="F46" s="660">
        <f t="shared" si="5"/>
        <v>911.88347787740884</v>
      </c>
      <c r="G46" s="660">
        <f t="shared" ca="1" si="5"/>
        <v>15732.14802555144</v>
      </c>
      <c r="H46" s="660">
        <f t="shared" si="5"/>
        <v>0</v>
      </c>
      <c r="I46" s="660">
        <f t="shared" si="5"/>
        <v>0</v>
      </c>
      <c r="J46" s="660">
        <f t="shared" si="5"/>
        <v>0</v>
      </c>
      <c r="K46" s="660">
        <f t="shared" si="5"/>
        <v>270.89526637613363</v>
      </c>
      <c r="L46" s="660">
        <f t="shared" si="5"/>
        <v>0</v>
      </c>
      <c r="M46" s="660">
        <f t="shared" ca="1" si="5"/>
        <v>0</v>
      </c>
      <c r="N46" s="660">
        <f t="shared" si="5"/>
        <v>0</v>
      </c>
      <c r="O46" s="660">
        <f t="shared" ca="1" si="5"/>
        <v>0</v>
      </c>
      <c r="P46" s="660">
        <f t="shared" si="5"/>
        <v>0</v>
      </c>
      <c r="Q46" s="660">
        <f t="shared" si="5"/>
        <v>0</v>
      </c>
      <c r="R46" s="660">
        <f ca="1">SUM(R39:R45)</f>
        <v>56492.205330971687</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0.97652434813263456</v>
      </c>
      <c r="D49" s="930">
        <f ca="1">transport!C58</f>
        <v>0</v>
      </c>
      <c r="E49" s="930">
        <f>transport!D58</f>
        <v>0</v>
      </c>
      <c r="F49" s="930">
        <f>transport!E58</f>
        <v>0</v>
      </c>
      <c r="G49" s="930">
        <f>transport!F58</f>
        <v>0</v>
      </c>
      <c r="H49" s="930">
        <f>transport!G58</f>
        <v>266.95453300988822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267.93105735802084</v>
      </c>
    </row>
    <row r="50" spans="1:18">
      <c r="A50" s="752" t="s">
        <v>296</v>
      </c>
      <c r="B50" s="762"/>
      <c r="C50" s="631">
        <f ca="1">transport!B18</f>
        <v>2.8213037578880553</v>
      </c>
      <c r="D50" s="631">
        <f>transport!C18</f>
        <v>0</v>
      </c>
      <c r="E50" s="631">
        <f>transport!D18</f>
        <v>5.7684754202438242</v>
      </c>
      <c r="F50" s="631">
        <f>transport!E18</f>
        <v>28.989116460440464</v>
      </c>
      <c r="G50" s="631">
        <f>transport!F18</f>
        <v>0</v>
      </c>
      <c r="H50" s="631">
        <f>transport!G18</f>
        <v>12981.402915919591</v>
      </c>
      <c r="I50" s="631">
        <f>transport!H18</f>
        <v>2442.1705126567754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15461.15232421494</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3.79782810602069</v>
      </c>
      <c r="D52" s="660">
        <f t="shared" ref="D52:Q52" ca="1" si="6">SUM(D48:D51)</f>
        <v>0</v>
      </c>
      <c r="E52" s="660">
        <f t="shared" si="6"/>
        <v>5.7684754202438242</v>
      </c>
      <c r="F52" s="660">
        <f t="shared" si="6"/>
        <v>28.989116460440464</v>
      </c>
      <c r="G52" s="660">
        <f t="shared" si="6"/>
        <v>0</v>
      </c>
      <c r="H52" s="660">
        <f t="shared" si="6"/>
        <v>13248.357448929479</v>
      </c>
      <c r="I52" s="660">
        <f t="shared" si="6"/>
        <v>2442.1705126567754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15729.08338157296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568.9122137653527</v>
      </c>
      <c r="D54" s="631">
        <f ca="1">+landbouw!C12</f>
        <v>0</v>
      </c>
      <c r="E54" s="631">
        <f>+landbouw!D12</f>
        <v>7.2947193440000015</v>
      </c>
      <c r="F54" s="631">
        <f>+landbouw!E12</f>
        <v>14.691322963641726</v>
      </c>
      <c r="G54" s="631">
        <f>+landbouw!F12</f>
        <v>3180.8644098541417</v>
      </c>
      <c r="H54" s="631">
        <f>+landbouw!G12</f>
        <v>0</v>
      </c>
      <c r="I54" s="631">
        <f>+landbouw!H12</f>
        <v>0</v>
      </c>
      <c r="J54" s="631">
        <f>+landbouw!I12</f>
        <v>0</v>
      </c>
      <c r="K54" s="631">
        <f>+landbouw!J12</f>
        <v>274.59295720034004</v>
      </c>
      <c r="L54" s="631">
        <f>+landbouw!K12</f>
        <v>0</v>
      </c>
      <c r="M54" s="631">
        <f>+landbouw!L12</f>
        <v>0</v>
      </c>
      <c r="N54" s="631">
        <f>+landbouw!M12</f>
        <v>0</v>
      </c>
      <c r="O54" s="631">
        <f>+landbouw!N12</f>
        <v>0</v>
      </c>
      <c r="P54" s="631">
        <f>+landbouw!O12</f>
        <v>0</v>
      </c>
      <c r="Q54" s="632">
        <f>+landbouw!P12</f>
        <v>0</v>
      </c>
      <c r="R54" s="659">
        <f ca="1">SUM(C54:Q54)</f>
        <v>4046.3556231274765</v>
      </c>
    </row>
    <row r="55" spans="1:18" ht="15" thickBot="1">
      <c r="A55" s="752" t="s">
        <v>788</v>
      </c>
      <c r="B55" s="762"/>
      <c r="C55" s="631">
        <f ca="1">C25*'EF ele_warmte'!B12</f>
        <v>83.644594298172905</v>
      </c>
      <c r="D55" s="631"/>
      <c r="E55" s="631">
        <f>E25*EF_CO2_aardgas</f>
        <v>77.616884000000013</v>
      </c>
      <c r="F55" s="631"/>
      <c r="G55" s="631"/>
      <c r="H55" s="631"/>
      <c r="I55" s="631"/>
      <c r="J55" s="631"/>
      <c r="K55" s="631"/>
      <c r="L55" s="631"/>
      <c r="M55" s="631"/>
      <c r="N55" s="631"/>
      <c r="O55" s="631"/>
      <c r="P55" s="631"/>
      <c r="Q55" s="632"/>
      <c r="R55" s="659">
        <f ca="1">SUM(C55:Q55)</f>
        <v>161.2614782981729</v>
      </c>
    </row>
    <row r="56" spans="1:18" ht="15.75" thickBot="1">
      <c r="A56" s="750" t="s">
        <v>789</v>
      </c>
      <c r="B56" s="763"/>
      <c r="C56" s="660">
        <f ca="1">SUM(C54:C55)</f>
        <v>652.55680806352564</v>
      </c>
      <c r="D56" s="660">
        <f t="shared" ref="D56:Q56" ca="1" si="7">SUM(D54:D55)</f>
        <v>0</v>
      </c>
      <c r="E56" s="660">
        <f t="shared" si="7"/>
        <v>84.911603344000014</v>
      </c>
      <c r="F56" s="660">
        <f t="shared" si="7"/>
        <v>14.691322963641726</v>
      </c>
      <c r="G56" s="660">
        <f t="shared" si="7"/>
        <v>3180.8644098541417</v>
      </c>
      <c r="H56" s="660">
        <f t="shared" si="7"/>
        <v>0</v>
      </c>
      <c r="I56" s="660">
        <f t="shared" si="7"/>
        <v>0</v>
      </c>
      <c r="J56" s="660">
        <f t="shared" si="7"/>
        <v>0</v>
      </c>
      <c r="K56" s="660">
        <f t="shared" si="7"/>
        <v>274.59295720034004</v>
      </c>
      <c r="L56" s="660">
        <f t="shared" si="7"/>
        <v>0</v>
      </c>
      <c r="M56" s="660">
        <f t="shared" si="7"/>
        <v>0</v>
      </c>
      <c r="N56" s="660">
        <f t="shared" si="7"/>
        <v>0</v>
      </c>
      <c r="O56" s="660">
        <f t="shared" si="7"/>
        <v>0</v>
      </c>
      <c r="P56" s="660">
        <f t="shared" si="7"/>
        <v>0</v>
      </c>
      <c r="Q56" s="661">
        <f t="shared" si="7"/>
        <v>0</v>
      </c>
      <c r="R56" s="662">
        <f ca="1">SUM(R54:R55)</f>
        <v>4207.6171014256497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18655.934094156248</v>
      </c>
      <c r="D61" s="668">
        <f t="shared" ref="D61:Q61" ca="1" si="8">D46+D52+D56</f>
        <v>0</v>
      </c>
      <c r="E61" s="668">
        <f t="shared" ca="1" si="8"/>
        <v>21668.379181944252</v>
      </c>
      <c r="F61" s="668">
        <f t="shared" si="8"/>
        <v>955.56391730149096</v>
      </c>
      <c r="G61" s="668">
        <f t="shared" ca="1" si="8"/>
        <v>18913.012435405581</v>
      </c>
      <c r="H61" s="668">
        <f t="shared" si="8"/>
        <v>13248.357448929479</v>
      </c>
      <c r="I61" s="668">
        <f t="shared" si="8"/>
        <v>2442.1705126567754</v>
      </c>
      <c r="J61" s="668">
        <f t="shared" si="8"/>
        <v>0</v>
      </c>
      <c r="K61" s="668">
        <f t="shared" si="8"/>
        <v>545.48822357647373</v>
      </c>
      <c r="L61" s="668">
        <f t="shared" si="8"/>
        <v>0</v>
      </c>
      <c r="M61" s="668">
        <f t="shared" ca="1" si="8"/>
        <v>0</v>
      </c>
      <c r="N61" s="668">
        <f t="shared" si="8"/>
        <v>0</v>
      </c>
      <c r="O61" s="668">
        <f t="shared" ca="1" si="8"/>
        <v>0</v>
      </c>
      <c r="P61" s="668">
        <f t="shared" si="8"/>
        <v>0</v>
      </c>
      <c r="Q61" s="668">
        <f t="shared" si="8"/>
        <v>0</v>
      </c>
      <c r="R61" s="668">
        <f ca="1">R46+R52+R56</f>
        <v>76428.905813970297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0.17414601374139968</v>
      </c>
      <c r="D63" s="709">
        <f t="shared" ca="1" si="9"/>
        <v>0</v>
      </c>
      <c r="E63" s="941">
        <f t="shared" ca="1" si="9"/>
        <v>0.20200000000000004</v>
      </c>
      <c r="F63" s="709">
        <f t="shared" si="9"/>
        <v>0.22700000000000001</v>
      </c>
      <c r="G63" s="709">
        <f t="shared" ca="1" si="9"/>
        <v>0.26700000000000002</v>
      </c>
      <c r="H63" s="709">
        <f t="shared" si="9"/>
        <v>0.26700000000000002</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388.16568047337279</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8853.6574108042932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13470.3</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15847.411764705885</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22712.123091277666</v>
      </c>
      <c r="C78" s="683">
        <f>SUM(C72:C77)</f>
        <v>0</v>
      </c>
      <c r="D78" s="684">
        <f t="shared" ref="D78:H78" si="10">SUM(D76:D77)</f>
        <v>0</v>
      </c>
      <c r="E78" s="684">
        <f t="shared" si="10"/>
        <v>0</v>
      </c>
      <c r="F78" s="684">
        <f t="shared" si="10"/>
        <v>0</v>
      </c>
      <c r="G78" s="684">
        <f t="shared" si="10"/>
        <v>0</v>
      </c>
      <c r="H78" s="684">
        <f t="shared" si="10"/>
        <v>0</v>
      </c>
      <c r="I78" s="684">
        <f>SUM(I76:I77)</f>
        <v>0</v>
      </c>
      <c r="J78" s="684">
        <f>SUM(J76:J77)</f>
        <v>15847.411764705885</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19243.285714285714</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22639.15966386555</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19243.285714285714</v>
      </c>
      <c r="C90" s="683">
        <f>SUM(C87:C89)</f>
        <v>0</v>
      </c>
      <c r="D90" s="683">
        <f t="shared" ref="D90:H90" si="12">SUM(D87:D89)</f>
        <v>0</v>
      </c>
      <c r="E90" s="683">
        <f t="shared" si="12"/>
        <v>0</v>
      </c>
      <c r="F90" s="683">
        <f t="shared" si="12"/>
        <v>0</v>
      </c>
      <c r="G90" s="683">
        <f t="shared" si="12"/>
        <v>0</v>
      </c>
      <c r="H90" s="683">
        <f t="shared" si="12"/>
        <v>0</v>
      </c>
      <c r="I90" s="683">
        <f>SUM(I87:I89)</f>
        <v>0</v>
      </c>
      <c r="J90" s="683">
        <f>SUM(J87:J89)</f>
        <v>22639.15966386555</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23838.08416987853</v>
      </c>
      <c r="C4" s="441">
        <f>huishoudens!C8</f>
        <v>0</v>
      </c>
      <c r="D4" s="441">
        <f>huishoudens!D8</f>
        <v>31276.927572000004</v>
      </c>
      <c r="E4" s="441">
        <f>huishoudens!E8</f>
        <v>1523.440334911684</v>
      </c>
      <c r="F4" s="441">
        <f>huishoudens!F8</f>
        <v>41419.327251650306</v>
      </c>
      <c r="G4" s="441">
        <f>huishoudens!G8</f>
        <v>0</v>
      </c>
      <c r="H4" s="441">
        <f>huishoudens!H8</f>
        <v>0</v>
      </c>
      <c r="I4" s="441">
        <f>huishoudens!I8</f>
        <v>0</v>
      </c>
      <c r="J4" s="441">
        <f>huishoudens!J8</f>
        <v>763.84637460494275</v>
      </c>
      <c r="K4" s="441">
        <f>huishoudens!K8</f>
        <v>0</v>
      </c>
      <c r="L4" s="441">
        <f>huishoudens!L8</f>
        <v>0</v>
      </c>
      <c r="M4" s="441">
        <f>huishoudens!M8</f>
        <v>0</v>
      </c>
      <c r="N4" s="441">
        <f>huishoudens!N8</f>
        <v>7139.9894689690491</v>
      </c>
      <c r="O4" s="441">
        <f>huishoudens!O8</f>
        <v>329.86333333333334</v>
      </c>
      <c r="P4" s="442">
        <f>huishoudens!P8</f>
        <v>781.73333333333335</v>
      </c>
      <c r="Q4" s="443">
        <f>SUM(B4:P4)</f>
        <v>107073.21183868118</v>
      </c>
    </row>
    <row r="5" spans="1:17">
      <c r="A5" s="440" t="s">
        <v>149</v>
      </c>
      <c r="B5" s="441">
        <f ca="1">tertiair!B16</f>
        <v>26344.192999999999</v>
      </c>
      <c r="C5" s="441">
        <f ca="1">tertiair!C16</f>
        <v>19118.571428571428</v>
      </c>
      <c r="D5" s="441">
        <f ca="1">tertiair!D16</f>
        <v>35169.090044000004</v>
      </c>
      <c r="E5" s="441">
        <f>tertiair!E16</f>
        <v>150.13590759699923</v>
      </c>
      <c r="F5" s="441">
        <f ca="1">tertiair!F16</f>
        <v>2530.2068472880351</v>
      </c>
      <c r="G5" s="441">
        <f>tertiair!G16</f>
        <v>0</v>
      </c>
      <c r="H5" s="441">
        <f>tertiair!H16</f>
        <v>0</v>
      </c>
      <c r="I5" s="441">
        <f>tertiair!I16</f>
        <v>0</v>
      </c>
      <c r="J5" s="441">
        <f>tertiair!J16</f>
        <v>1.5932614713377986E-2</v>
      </c>
      <c r="K5" s="441">
        <f>tertiair!K16</f>
        <v>0</v>
      </c>
      <c r="L5" s="441">
        <f ca="1">tertiair!L16</f>
        <v>0</v>
      </c>
      <c r="M5" s="441">
        <f>tertiair!M16</f>
        <v>0</v>
      </c>
      <c r="N5" s="441">
        <f ca="1">tertiair!N16</f>
        <v>0</v>
      </c>
      <c r="O5" s="441">
        <f>tertiair!O16</f>
        <v>9.3800000000000008</v>
      </c>
      <c r="P5" s="442">
        <f>tertiair!P16</f>
        <v>0</v>
      </c>
      <c r="Q5" s="440">
        <f t="shared" ref="Q5:Q14" ca="1" si="0">SUM(B5:P5)</f>
        <v>83321.593160071177</v>
      </c>
    </row>
    <row r="6" spans="1:17">
      <c r="A6" s="440" t="s">
        <v>187</v>
      </c>
      <c r="B6" s="441">
        <f>'openbare verlichting'!B8</f>
        <v>929.16</v>
      </c>
      <c r="C6" s="441"/>
      <c r="D6" s="441"/>
      <c r="E6" s="441"/>
      <c r="F6" s="441"/>
      <c r="G6" s="441"/>
      <c r="H6" s="441"/>
      <c r="I6" s="441"/>
      <c r="J6" s="441"/>
      <c r="K6" s="441"/>
      <c r="L6" s="441"/>
      <c r="M6" s="441"/>
      <c r="N6" s="441"/>
      <c r="O6" s="441"/>
      <c r="P6" s="442"/>
      <c r="Q6" s="440">
        <f t="shared" si="0"/>
        <v>929.16</v>
      </c>
    </row>
    <row r="7" spans="1:17">
      <c r="A7" s="440" t="s">
        <v>105</v>
      </c>
      <c r="B7" s="441">
        <f>landbouw!B8</f>
        <v>3266.8690000000001</v>
      </c>
      <c r="C7" s="441">
        <f>landbouw!C8</f>
        <v>124.71428571428569</v>
      </c>
      <c r="D7" s="441">
        <f>landbouw!D8</f>
        <v>36.112472000000004</v>
      </c>
      <c r="E7" s="441">
        <f>landbouw!E8</f>
        <v>64.719484421329184</v>
      </c>
      <c r="F7" s="441">
        <f>landbouw!F8</f>
        <v>11913.349849640979</v>
      </c>
      <c r="G7" s="441">
        <f>landbouw!G8</f>
        <v>0</v>
      </c>
      <c r="H7" s="441">
        <f>landbouw!H8</f>
        <v>0</v>
      </c>
      <c r="I7" s="441">
        <f>landbouw!I8</f>
        <v>0</v>
      </c>
      <c r="J7" s="441">
        <f>landbouw!J8</f>
        <v>775.68631977497193</v>
      </c>
      <c r="K7" s="441">
        <f>landbouw!K8</f>
        <v>0</v>
      </c>
      <c r="L7" s="441">
        <f>landbouw!L8</f>
        <v>0</v>
      </c>
      <c r="M7" s="441">
        <f>landbouw!M8</f>
        <v>0</v>
      </c>
      <c r="N7" s="441">
        <f>landbouw!N8</f>
        <v>0</v>
      </c>
      <c r="O7" s="441">
        <f>landbouw!O8</f>
        <v>0</v>
      </c>
      <c r="P7" s="442">
        <f>landbouw!P8</f>
        <v>0</v>
      </c>
      <c r="Q7" s="440">
        <f t="shared" si="0"/>
        <v>16181.451411551565</v>
      </c>
    </row>
    <row r="8" spans="1:17">
      <c r="A8" s="440" t="s">
        <v>600</v>
      </c>
      <c r="B8" s="441">
        <f>industrie!B18</f>
        <v>52247.687000000005</v>
      </c>
      <c r="C8" s="441">
        <f>industrie!C18</f>
        <v>0</v>
      </c>
      <c r="D8" s="441">
        <f>industrie!D18</f>
        <v>40374.274974</v>
      </c>
      <c r="E8" s="441">
        <f>industrie!E18</f>
        <v>2343.5315895503863</v>
      </c>
      <c r="F8" s="441">
        <f>industrie!F18</f>
        <v>14972.36861848278</v>
      </c>
      <c r="G8" s="441">
        <f>industrie!G18</f>
        <v>0</v>
      </c>
      <c r="H8" s="441">
        <f>industrie!H18</f>
        <v>0</v>
      </c>
      <c r="I8" s="441">
        <f>industrie!I18</f>
        <v>0</v>
      </c>
      <c r="J8" s="441">
        <f>industrie!J18</f>
        <v>1.3785582496478943</v>
      </c>
      <c r="K8" s="441">
        <f>industrie!K18</f>
        <v>0</v>
      </c>
      <c r="L8" s="441">
        <f>industrie!L18</f>
        <v>0</v>
      </c>
      <c r="M8" s="441">
        <f>industrie!M18</f>
        <v>0</v>
      </c>
      <c r="N8" s="441">
        <f>industrie!N18</f>
        <v>17580.411992615209</v>
      </c>
      <c r="O8" s="441">
        <f>industrie!O18</f>
        <v>0</v>
      </c>
      <c r="P8" s="442">
        <f>industrie!P18</f>
        <v>0</v>
      </c>
      <c r="Q8" s="440">
        <f t="shared" si="0"/>
        <v>127519.65273289803</v>
      </c>
    </row>
    <row r="9" spans="1:17" s="446" customFormat="1">
      <c r="A9" s="444" t="s">
        <v>549</v>
      </c>
      <c r="B9" s="445">
        <f>transport!B14</f>
        <v>16.200794363731955</v>
      </c>
      <c r="C9" s="445">
        <f>transport!C14</f>
        <v>0</v>
      </c>
      <c r="D9" s="445">
        <f>transport!D14</f>
        <v>28.556809011108037</v>
      </c>
      <c r="E9" s="445">
        <f>transport!E14</f>
        <v>127.70535885656592</v>
      </c>
      <c r="F9" s="445">
        <f>transport!F14</f>
        <v>0</v>
      </c>
      <c r="G9" s="445">
        <f>transport!G14</f>
        <v>48619.486576477866</v>
      </c>
      <c r="H9" s="445">
        <f>transport!H14</f>
        <v>9807.9137054488965</v>
      </c>
      <c r="I9" s="445">
        <f>transport!I14</f>
        <v>0</v>
      </c>
      <c r="J9" s="445">
        <f>transport!J14</f>
        <v>0</v>
      </c>
      <c r="K9" s="445">
        <f>transport!K14</f>
        <v>0</v>
      </c>
      <c r="L9" s="445">
        <f>transport!L14</f>
        <v>0</v>
      </c>
      <c r="M9" s="445">
        <f>transport!M14</f>
        <v>1823.5101380985159</v>
      </c>
      <c r="N9" s="445">
        <f>transport!N14</f>
        <v>0</v>
      </c>
      <c r="O9" s="445">
        <f>transport!O14</f>
        <v>0</v>
      </c>
      <c r="P9" s="445">
        <f>transport!P14</f>
        <v>0</v>
      </c>
      <c r="Q9" s="444">
        <f>SUM(B9:P9)</f>
        <v>60423.373382256679</v>
      </c>
    </row>
    <row r="10" spans="1:17">
      <c r="A10" s="440" t="s">
        <v>539</v>
      </c>
      <c r="B10" s="441">
        <f>transport!B54</f>
        <v>5.6075033080156329</v>
      </c>
      <c r="C10" s="441">
        <f>transport!C54</f>
        <v>0</v>
      </c>
      <c r="D10" s="441">
        <f>transport!D54</f>
        <v>0</v>
      </c>
      <c r="E10" s="441">
        <f>transport!E54</f>
        <v>0</v>
      </c>
      <c r="F10" s="441">
        <f>transport!F54</f>
        <v>0</v>
      </c>
      <c r="G10" s="441">
        <f>transport!G54</f>
        <v>999.82971164752132</v>
      </c>
      <c r="H10" s="441">
        <f>transport!H54</f>
        <v>0</v>
      </c>
      <c r="I10" s="441">
        <f>transport!I54</f>
        <v>0</v>
      </c>
      <c r="J10" s="441">
        <f>transport!J54</f>
        <v>0</v>
      </c>
      <c r="K10" s="441">
        <f>transport!K54</f>
        <v>0</v>
      </c>
      <c r="L10" s="441">
        <f>transport!L54</f>
        <v>0</v>
      </c>
      <c r="M10" s="441">
        <f>transport!M54</f>
        <v>31.210809623472333</v>
      </c>
      <c r="N10" s="441">
        <f>transport!N54</f>
        <v>0</v>
      </c>
      <c r="O10" s="441">
        <f>transport!O54</f>
        <v>0</v>
      </c>
      <c r="P10" s="442">
        <f>transport!P54</f>
        <v>0</v>
      </c>
      <c r="Q10" s="440">
        <f t="shared" si="0"/>
        <v>1036.6480245790094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480.31299999999999</v>
      </c>
      <c r="C14" s="448"/>
      <c r="D14" s="448">
        <f>'SEAP template'!E25</f>
        <v>384.24200000000002</v>
      </c>
      <c r="E14" s="448"/>
      <c r="F14" s="448"/>
      <c r="G14" s="448"/>
      <c r="H14" s="448"/>
      <c r="I14" s="448"/>
      <c r="J14" s="448"/>
      <c r="K14" s="448"/>
      <c r="L14" s="448"/>
      <c r="M14" s="448"/>
      <c r="N14" s="448"/>
      <c r="O14" s="448"/>
      <c r="P14" s="449"/>
      <c r="Q14" s="440">
        <f t="shared" si="0"/>
        <v>864.55500000000006</v>
      </c>
    </row>
    <row r="15" spans="1:17" s="450" customFormat="1">
      <c r="A15" s="956" t="s">
        <v>543</v>
      </c>
      <c r="B15" s="896">
        <f ca="1">SUM(B4:B14)</f>
        <v>107128.11446755027</v>
      </c>
      <c r="C15" s="896">
        <f t="shared" ref="C15:Q15" ca="1" si="1">SUM(C4:C14)</f>
        <v>19243.285714285714</v>
      </c>
      <c r="D15" s="896">
        <f t="shared" ca="1" si="1"/>
        <v>107269.20387101111</v>
      </c>
      <c r="E15" s="896">
        <f t="shared" si="1"/>
        <v>4209.5326753369645</v>
      </c>
      <c r="F15" s="896">
        <f t="shared" ca="1" si="1"/>
        <v>70835.252567062096</v>
      </c>
      <c r="G15" s="896">
        <f t="shared" si="1"/>
        <v>49619.316288125388</v>
      </c>
      <c r="H15" s="896">
        <f t="shared" si="1"/>
        <v>9807.9137054488965</v>
      </c>
      <c r="I15" s="896">
        <f t="shared" si="1"/>
        <v>0</v>
      </c>
      <c r="J15" s="896">
        <f t="shared" si="1"/>
        <v>1540.9271852442762</v>
      </c>
      <c r="K15" s="896">
        <f t="shared" si="1"/>
        <v>0</v>
      </c>
      <c r="L15" s="896">
        <f t="shared" ca="1" si="1"/>
        <v>0</v>
      </c>
      <c r="M15" s="896">
        <f t="shared" si="1"/>
        <v>1854.7209477219883</v>
      </c>
      <c r="N15" s="896">
        <f t="shared" ca="1" si="1"/>
        <v>24720.401461584257</v>
      </c>
      <c r="O15" s="896">
        <f t="shared" si="1"/>
        <v>339.24333333333334</v>
      </c>
      <c r="P15" s="896">
        <f t="shared" si="1"/>
        <v>781.73333333333335</v>
      </c>
      <c r="Q15" s="896">
        <f t="shared" ca="1" si="1"/>
        <v>397349.64555003762</v>
      </c>
    </row>
    <row r="17" spans="1:17">
      <c r="A17" s="451" t="s">
        <v>544</v>
      </c>
      <c r="B17" s="714">
        <f ca="1">huishoudens!B10</f>
        <v>0.17414601374139968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4151.3073334163082</v>
      </c>
      <c r="C22" s="441">
        <f t="shared" ref="C22:C32" ca="1" si="3">C4*$C$17</f>
        <v>0</v>
      </c>
      <c r="D22" s="441">
        <f t="shared" ref="D22:D32" si="4">D4*$D$17</f>
        <v>6317.9393695440012</v>
      </c>
      <c r="E22" s="441">
        <f t="shared" ref="E22:E32" si="5">E4*$E$17</f>
        <v>345.8209560249523</v>
      </c>
      <c r="F22" s="441">
        <f t="shared" ref="F22:F32" si="6">F4*$F$17</f>
        <v>11058.960376190633</v>
      </c>
      <c r="G22" s="441">
        <f t="shared" ref="G22:G32" si="7">G4*$G$17</f>
        <v>0</v>
      </c>
      <c r="H22" s="441">
        <f t="shared" ref="H22:H32" si="8">H4*$H$17</f>
        <v>0</v>
      </c>
      <c r="I22" s="441">
        <f t="shared" ref="I22:I32" si="9">I4*$I$17</f>
        <v>0</v>
      </c>
      <c r="J22" s="441">
        <f t="shared" ref="J22:J32" si="10">J4*$J$17</f>
        <v>270.40161661014974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22144.429651786046</v>
      </c>
    </row>
    <row r="23" spans="1:17">
      <c r="A23" s="440" t="s">
        <v>149</v>
      </c>
      <c r="B23" s="441">
        <f t="shared" ca="1" si="2"/>
        <v>4587.7361961840852</v>
      </c>
      <c r="C23" s="441">
        <f t="shared" ca="1" si="3"/>
        <v>0</v>
      </c>
      <c r="D23" s="441">
        <f t="shared" ca="1" si="4"/>
        <v>7104.1561888880015</v>
      </c>
      <c r="E23" s="441">
        <f t="shared" si="5"/>
        <v>34.080851024518829</v>
      </c>
      <c r="F23" s="441">
        <f t="shared" ca="1" si="6"/>
        <v>675.56522822590546</v>
      </c>
      <c r="G23" s="441">
        <f t="shared" si="7"/>
        <v>0</v>
      </c>
      <c r="H23" s="441">
        <f t="shared" si="8"/>
        <v>0</v>
      </c>
      <c r="I23" s="441">
        <f t="shared" si="9"/>
        <v>0</v>
      </c>
      <c r="J23" s="441">
        <f t="shared" si="10"/>
        <v>5.6401456085358069E-3</v>
      </c>
      <c r="K23" s="441">
        <f t="shared" si="11"/>
        <v>0</v>
      </c>
      <c r="L23" s="441">
        <f t="shared" ca="1" si="12"/>
        <v>0</v>
      </c>
      <c r="M23" s="441">
        <f t="shared" si="13"/>
        <v>0</v>
      </c>
      <c r="N23" s="441">
        <f t="shared" ca="1" si="14"/>
        <v>0</v>
      </c>
      <c r="O23" s="441">
        <f t="shared" si="15"/>
        <v>0</v>
      </c>
      <c r="P23" s="442">
        <f t="shared" si="16"/>
        <v>0</v>
      </c>
      <c r="Q23" s="440">
        <f t="shared" ref="Q23:Q32" ca="1" si="17">SUM(B23:P23)</f>
        <v>12401.544104468117</v>
      </c>
    </row>
    <row r="24" spans="1:17">
      <c r="A24" s="440" t="s">
        <v>187</v>
      </c>
      <c r="B24" s="441">
        <f t="shared" ca="1" si="2"/>
        <v>161.80951012795893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161.80951012795893</v>
      </c>
    </row>
    <row r="25" spans="1:17">
      <c r="A25" s="440" t="s">
        <v>105</v>
      </c>
      <c r="B25" s="441">
        <f t="shared" ca="1" si="2"/>
        <v>568.9122137653527</v>
      </c>
      <c r="C25" s="441">
        <f t="shared" ca="1" si="3"/>
        <v>0</v>
      </c>
      <c r="D25" s="441">
        <f t="shared" si="4"/>
        <v>7.2947193440000015</v>
      </c>
      <c r="E25" s="441">
        <f t="shared" si="5"/>
        <v>14.691322963641726</v>
      </c>
      <c r="F25" s="441">
        <f t="shared" si="6"/>
        <v>3180.8644098541417</v>
      </c>
      <c r="G25" s="441">
        <f t="shared" si="7"/>
        <v>0</v>
      </c>
      <c r="H25" s="441">
        <f t="shared" si="8"/>
        <v>0</v>
      </c>
      <c r="I25" s="441">
        <f t="shared" si="9"/>
        <v>0</v>
      </c>
      <c r="J25" s="441">
        <f t="shared" si="10"/>
        <v>274.59295720034004</v>
      </c>
      <c r="K25" s="441">
        <f t="shared" si="11"/>
        <v>0</v>
      </c>
      <c r="L25" s="441">
        <f t="shared" si="12"/>
        <v>0</v>
      </c>
      <c r="M25" s="441">
        <f t="shared" si="13"/>
        <v>0</v>
      </c>
      <c r="N25" s="441">
        <f t="shared" si="14"/>
        <v>0</v>
      </c>
      <c r="O25" s="441">
        <f t="shared" si="15"/>
        <v>0</v>
      </c>
      <c r="P25" s="442">
        <f t="shared" si="16"/>
        <v>0</v>
      </c>
      <c r="Q25" s="440">
        <f t="shared" ca="1" si="17"/>
        <v>4046.3556231274765</v>
      </c>
    </row>
    <row r="26" spans="1:17">
      <c r="A26" s="440" t="s">
        <v>600</v>
      </c>
      <c r="B26" s="441">
        <f t="shared" ca="1" si="2"/>
        <v>9098.7264182583513</v>
      </c>
      <c r="C26" s="441">
        <f t="shared" ca="1" si="3"/>
        <v>0</v>
      </c>
      <c r="D26" s="441">
        <f t="shared" si="4"/>
        <v>8155.6035447480008</v>
      </c>
      <c r="E26" s="441">
        <f t="shared" si="5"/>
        <v>531.98167082793771</v>
      </c>
      <c r="F26" s="441">
        <f t="shared" si="6"/>
        <v>3997.6224211349027</v>
      </c>
      <c r="G26" s="441">
        <f t="shared" si="7"/>
        <v>0</v>
      </c>
      <c r="H26" s="441">
        <f t="shared" si="8"/>
        <v>0</v>
      </c>
      <c r="I26" s="441">
        <f t="shared" si="9"/>
        <v>0</v>
      </c>
      <c r="J26" s="441">
        <f t="shared" si="10"/>
        <v>0.48800962037535456</v>
      </c>
      <c r="K26" s="441">
        <f t="shared" si="11"/>
        <v>0</v>
      </c>
      <c r="L26" s="441">
        <f t="shared" si="12"/>
        <v>0</v>
      </c>
      <c r="M26" s="441">
        <f t="shared" si="13"/>
        <v>0</v>
      </c>
      <c r="N26" s="441">
        <f t="shared" si="14"/>
        <v>0</v>
      </c>
      <c r="O26" s="441">
        <f t="shared" si="15"/>
        <v>0</v>
      </c>
      <c r="P26" s="442">
        <f t="shared" si="16"/>
        <v>0</v>
      </c>
      <c r="Q26" s="440">
        <f t="shared" ca="1" si="17"/>
        <v>21784.422064589566</v>
      </c>
    </row>
    <row r="27" spans="1:17" s="446" customFormat="1">
      <c r="A27" s="444" t="s">
        <v>549</v>
      </c>
      <c r="B27" s="708">
        <f t="shared" ca="1" si="2"/>
        <v>2.8213037578880553</v>
      </c>
      <c r="C27" s="445">
        <f t="shared" ca="1" si="3"/>
        <v>0</v>
      </c>
      <c r="D27" s="445">
        <f t="shared" si="4"/>
        <v>5.7684754202438242</v>
      </c>
      <c r="E27" s="445">
        <f t="shared" si="5"/>
        <v>28.989116460440464</v>
      </c>
      <c r="F27" s="445">
        <f t="shared" si="6"/>
        <v>0</v>
      </c>
      <c r="G27" s="445">
        <f t="shared" si="7"/>
        <v>12981.402915919591</v>
      </c>
      <c r="H27" s="445">
        <f t="shared" si="8"/>
        <v>2442.1705126567754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15461.15232421494</v>
      </c>
    </row>
    <row r="28" spans="1:17">
      <c r="A28" s="440" t="s">
        <v>539</v>
      </c>
      <c r="B28" s="441">
        <f t="shared" ca="1" si="2"/>
        <v>0.97652434813263456</v>
      </c>
      <c r="C28" s="441">
        <f t="shared" ca="1" si="3"/>
        <v>0</v>
      </c>
      <c r="D28" s="441">
        <f t="shared" si="4"/>
        <v>0</v>
      </c>
      <c r="E28" s="441">
        <f t="shared" si="5"/>
        <v>0</v>
      </c>
      <c r="F28" s="441">
        <f t="shared" si="6"/>
        <v>0</v>
      </c>
      <c r="G28" s="441">
        <f t="shared" si="7"/>
        <v>266.95453300988822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267.93105735802084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83.644594298172905</v>
      </c>
      <c r="C32" s="441">
        <f t="shared" ca="1" si="3"/>
        <v>0</v>
      </c>
      <c r="D32" s="441">
        <f t="shared" si="4"/>
        <v>77.616884000000013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161.2614782981729</v>
      </c>
    </row>
    <row r="33" spans="1:17" s="450" customFormat="1">
      <c r="A33" s="956" t="s">
        <v>543</v>
      </c>
      <c r="B33" s="896">
        <f ca="1">SUM(B22:B32)</f>
        <v>18655.934094156251</v>
      </c>
      <c r="C33" s="896">
        <f t="shared" ref="C33:Q33" ca="1" si="18">SUM(C22:C32)</f>
        <v>0</v>
      </c>
      <c r="D33" s="896">
        <f t="shared" ca="1" si="18"/>
        <v>21668.379181944249</v>
      </c>
      <c r="E33" s="896">
        <f t="shared" si="18"/>
        <v>955.56391730149096</v>
      </c>
      <c r="F33" s="896">
        <f t="shared" ca="1" si="18"/>
        <v>18913.012435405584</v>
      </c>
      <c r="G33" s="896">
        <f t="shared" si="18"/>
        <v>13248.357448929479</v>
      </c>
      <c r="H33" s="896">
        <f t="shared" si="18"/>
        <v>2442.1705126567754</v>
      </c>
      <c r="I33" s="896">
        <f t="shared" si="18"/>
        <v>0</v>
      </c>
      <c r="J33" s="896">
        <f t="shared" si="18"/>
        <v>545.48822357647373</v>
      </c>
      <c r="K33" s="896">
        <f t="shared" si="18"/>
        <v>0</v>
      </c>
      <c r="L33" s="896">
        <f t="shared" ca="1" si="18"/>
        <v>0</v>
      </c>
      <c r="M33" s="896">
        <f t="shared" si="18"/>
        <v>0</v>
      </c>
      <c r="N33" s="896">
        <f t="shared" ca="1" si="18"/>
        <v>0</v>
      </c>
      <c r="O33" s="896">
        <f t="shared" si="18"/>
        <v>0</v>
      </c>
      <c r="P33" s="896">
        <f t="shared" si="18"/>
        <v>0</v>
      </c>
      <c r="Q33" s="896">
        <f t="shared" ca="1" si="18"/>
        <v>76428.905813970297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388.16568047337279</v>
      </c>
      <c r="C5" s="973"/>
      <c r="D5" s="973"/>
      <c r="E5" s="973"/>
      <c r="F5" s="973"/>
      <c r="G5" s="973"/>
      <c r="H5" s="973"/>
      <c r="I5" s="973"/>
      <c r="J5" s="973"/>
      <c r="K5" s="973"/>
      <c r="L5" s="973"/>
      <c r="M5" s="973"/>
      <c r="N5" s="973"/>
      <c r="O5" s="973"/>
      <c r="P5" s="974">
        <f>'SEAP template'!Q73</f>
        <v>0</v>
      </c>
    </row>
    <row r="6" spans="1:16">
      <c r="A6" s="975" t="s">
        <v>240</v>
      </c>
      <c r="B6" s="973">
        <f>'SEAP template'!B74</f>
        <v>8853.6574108042932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13470.3</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15847.411764705885</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22712.123091277666</v>
      </c>
      <c r="C10" s="977">
        <f>SUM(C4:C9)</f>
        <v>0</v>
      </c>
      <c r="D10" s="977">
        <f t="shared" ref="D10:H10" si="0">SUM(D8:D9)</f>
        <v>0</v>
      </c>
      <c r="E10" s="977">
        <f t="shared" si="0"/>
        <v>0</v>
      </c>
      <c r="F10" s="977">
        <f t="shared" si="0"/>
        <v>0</v>
      </c>
      <c r="G10" s="977">
        <f t="shared" si="0"/>
        <v>0</v>
      </c>
      <c r="H10" s="977">
        <f t="shared" si="0"/>
        <v>0</v>
      </c>
      <c r="I10" s="977">
        <f>SUM(I8:I9)</f>
        <v>0</v>
      </c>
      <c r="J10" s="977">
        <f>SUM(J8:J9)</f>
        <v>15847.411764705885</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0.17414601374139968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19243.285714285714</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22639.15966386555</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19243.285714285714</v>
      </c>
      <c r="C20" s="977">
        <f>SUM(C17:C19)</f>
        <v>0</v>
      </c>
      <c r="D20" s="977">
        <f t="shared" ref="D20:H20" si="2">SUM(D17:D19)</f>
        <v>0</v>
      </c>
      <c r="E20" s="977">
        <f t="shared" si="2"/>
        <v>0</v>
      </c>
      <c r="F20" s="977">
        <f t="shared" si="2"/>
        <v>0</v>
      </c>
      <c r="G20" s="977">
        <f t="shared" si="2"/>
        <v>0</v>
      </c>
      <c r="H20" s="977">
        <f t="shared" si="2"/>
        <v>0</v>
      </c>
      <c r="I20" s="977">
        <f>SUM(I17:I19)</f>
        <v>0</v>
      </c>
      <c r="J20" s="977">
        <f>SUM(J17:J19)</f>
        <v>22639.15966386555</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0.17414601374139968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2022-07-26T11:19:34Z</dcterms:modified>
</cp:coreProperties>
</file>