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044F6E78-08F0-415E-AA2A-1C563A13275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<sst xmlns="http://schemas.openxmlformats.org/spreadsheetml/2006/main" count="2411" uniqueCount="890">
  <si>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</si>
  <si>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</si>
  <si>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</si>
  <si>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</si>
  <si>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</si>
  <si>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</si>
  <si>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</si>
  <si>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</si>
  <si>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</si>
  <si>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</si>
  <si>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</si>
  <si>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</si>
  <si>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</si>
  <si>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</si>
  <si>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</si>
  <si>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</si>
  <si>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</si>
  <si>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</si>
  <si>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</si>
  <si>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</si>
  <si>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</si>
  <si>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</si>
  <si>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</si>
  <si>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</si>
  <si>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</si>
  <si>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</si>
  <si>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</si>
  <si>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</si>
  <si>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</si>
  <si>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</si>
  <si>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</si>
  <si>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</si>
  <si>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</si>
  <si>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</si>
  <si>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</si>
  <si>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</si>
  <si>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</si>
  <si>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</si>
  <si>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</si>
  <si>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</si>
  <si>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</si>
  <si>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</si>
  <si>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</si>
  <si>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</si>
  <si>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</si>
  <si>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</si>
  <si>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</si>
  <si>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</si>
  <si>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</si>
  <si>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</si>
  <si>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</si>
  <si>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</si>
  <si>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</si>
  <si>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</si>
  <si>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</si>
  <si>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</si>
  <si>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</si>
  <si>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</si>
  <si>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</si>
  <si>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</si>
  <si>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</si>
  <si>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</si>
  <si>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</si>
  <si>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</si>
  <si>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</si>
  <si>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</si>
  <si>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</si>
  <si>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</si>
  <si>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</si>
  <si>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</si>
  <si>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</si>
  <si>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</si>
  <si>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</si>
  <si>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</si>
  <si>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</si>
  <si>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</si>
  <si>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</si>
  <si>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</si>
  <si>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</si>
  <si>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</si>
  <si>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</si>
  <si>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</si>
  <si>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</si>
  <si>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</si>
  <si>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</si>
  <si>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</si>
  <si>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</si>
  <si>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</si>
  <si>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</si>
  <si>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</si>
  <si>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</si>
  <si>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</si>
  <si>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</si>
  <si>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</si>
  <si>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</si>
  <si>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</si>
  <si>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</si>
  <si>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</si>
  <si>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</si>
  <si>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</si>
  <si>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</si>
  <si>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</si>
  <si>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</si>
  <si>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</si>
  <si>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</si>
  <si>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</si>
  <si>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</si>
  <si>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</si>
  <si>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</si>
  <si>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</si>
  <si>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</si>
  <si>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</si>
  <si>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</si>
  <si>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</si>
  <si>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</si>
  <si>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</si>
  <si>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</si>
  <si>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</si>
  <si>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</si>
  <si>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</si>
  <si>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</si>
  <si>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</si>
  <si>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</si>
  <si>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</si>
  <si>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</si>
  <si>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</si>
  <si>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</si>
  <si>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</si>
  <si>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</si>
  <si>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</si>
  <si>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</si>
  <si>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</si>
  <si>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</si>
  <si>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</si>
  <si>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</si>
  <si>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</si>
  <si>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</si>
  <si>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</si>
  <si>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</si>
  <si>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</si>
  <si>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</si>
  <si>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</si>
  <si>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</si>
  <si>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</si>
  <si>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</si>
  <si>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</si>
  <si>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</si>
  <si>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</si>
  <si>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</si>
  <si>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</si>
  <si>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</si>
  <si>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</si>
  <si>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</si>
  <si>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</si>
  <si>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</si>
  <si>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</si>
  <si>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</si>
  <si>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</si>
  <si>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</si>
  <si>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</si>
  <si>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</si>
  <si>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</si>
  <si>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</si>
  <si>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</si>
  <si>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</si>
  <si>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</si>
  <si>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</si>
  <si>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</si>
  <si>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</si>
  <si>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</si>
  <si>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</si>
  <si>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</si>
  <si>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</si>
  <si>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</si>
  <si>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</si>
  <si>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</si>
  <si>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</si>
  <si>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</si>
  <si>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</si>
  <si>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</si>
  <si>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</si>
  <si>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</si>
  <si>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</si>
  <si>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</si>
  <si>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</si>
  <si>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</si>
  <si>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</si>
  <si>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</si>
  <si>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</si>
  <si>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</si>
  <si>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</si>
  <si>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</si>
  <si>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</si>
  <si>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</si>
  <si>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</si>
  <si>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</si>
  <si>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</si>
  <si>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</si>
  <si>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</si>
  <si>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</si>
  <si>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</si>
  <si>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</si>
  <si>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</si>
  <si>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</si>
  <si>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</si>
  <si>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</si>
  <si>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</si>
  <si>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</si>
  <si>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</si>
  <si>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</si>
  <si>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</si>
  <si>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</si>
  <si>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</si>
  <si>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</si>
  <si>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</si>
  <si>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</si>
  <si>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</si>
  <si>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</si>
  <si>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</si>
  <si>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</si>
  <si>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</si>
  <si>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</si>
  <si>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</si>
  <si>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</si>
  <si>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</si>
  <si>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</si>
  <si>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</si>
  <si>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</si>
  <si>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</si>
  <si>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</si>
  <si>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</si>
  <si>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</si>
  <si>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</si>
  <si>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</si>
  <si>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</si>
  <si>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</si>
  <si>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</si>
  <si>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</si>
  <si>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</si>
  <si>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</si>
  <si>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</si>
  <si>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</si>
  <si>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</si>
  <si>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</si>
  <si>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</si>
  <si>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</si>
  <si>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</si>
  <si>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</si>
  <si>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</si>
  <si>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</si>
  <si>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</si>
  <si>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</si>
  <si>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</si>
  <si>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</si>
  <si>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</si>
  <si>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</si>
  <si>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</si>
  <si>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</si>
  <si>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</si>
  <si>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</si>
  <si>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</si>
  <si>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</si>
  <si>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</si>
  <si>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</si>
  <si>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</si>
  <si>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</si>
  <si>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</si>
  <si>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</si>
  <si>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</si>
  <si>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</si>
  <si>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</si>
  <si>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</si>
  <si>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</si>
  <si>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</si>
  <si>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</si>
  <si>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</si>
  <si>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</si>
  <si>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</si>
  <si>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</si>
  <si>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</si>
  <si>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</si>
  <si>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</si>
  <si>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</si>
  <si>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</si>
  <si>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</si>
  <si>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</si>
  <si>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</si>
  <si>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</si>
  <si>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</si>
  <si>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</si>
  <si>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</si>
  <si>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</si>
  <si>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</si>
  <si>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</si>
  <si>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</si>
  <si>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</si>
  <si>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</si>
  <si>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</si>
  <si>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</si>
  <si>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</si>
  <si>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</si>
  <si>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</si>
  <si>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</si>
  <si>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</si>
  <si>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</si>
  <si>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</si>
  <si>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</si>
  <si>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</si>
  <si>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</si>
  <si>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</si>
  <si>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</si>
  <si>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</si>
  <si>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</si>
  <si>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</si>
  <si>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</si>
  <si>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</si>
  <si>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</si>
  <si>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</si>
  <si>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</si>
  <si>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</si>
  <si>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</si>
  <si>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</si>
  <si>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</si>
  <si>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</si>
  <si>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</si>
  <si>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</si>
  <si>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</si>
  <si>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</si>
  <si>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</si>
  <si>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</si>
  <si>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</si>
  <si>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</si>
  <si>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</si>
  <si>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</si>
  <si>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</si>
  <si>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</si>
  <si>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</si>
  <si>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</si>
  <si>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</si>
  <si>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</si>
  <si>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</si>
  <si>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</si>
  <si>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</si>
  <si>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</si>
  <si>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</si>
  <si>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</si>
  <si>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</si>
  <si>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</si>
  <si>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</si>
  <si>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</si>
  <si>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</si>
  <si>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</si>
  <si>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</si>
  <si>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</si>
  <si>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</si>
  <si>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</si>
  <si>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</si>
  <si>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</si>
  <si>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</si>
  <si>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</si>
  <si>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</si>
  <si>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</si>
  <si>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</si>
  <si>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</si>
  <si>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</si>
  <si>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</si>
  <si>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</si>
  <si>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</si>
  <si>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</si>
  <si>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</si>
  <si>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</si>
  <si>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</si>
  <si>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</si>
  <si>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</si>
  <si>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</si>
  <si>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</si>
  <si>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</si>
  <si>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</si>
  <si>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</si>
  <si>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</si>
  <si>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</si>
  <si>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</si>
  <si>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</si>
  <si>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</si>
  <si>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</si>
  <si>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</si>
  <si>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</si>
  <si>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</si>
  <si>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</si>
  <si>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</si>
  <si>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</si>
  <si>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</si>
  <si>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</si>
  <si>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</si>
  <si>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</si>
  <si>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</si>
  <si>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</si>
  <si>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</si>
  <si>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</si>
  <si>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</si>
  <si>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</si>
  <si>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</si>
  <si>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</si>
  <si>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</si>
  <si>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</si>
  <si>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</si>
  <si>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</si>
  <si>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</si>
  <si>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</si>
  <si>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</si>
  <si>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</si>
  <si>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</si>
  <si>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</si>
  <si>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</si>
  <si>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</si>
  <si>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</si>
  <si>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</si>
  <si>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</si>
  <si>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</si>
  <si>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</si>
  <si>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</si>
  <si>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</si>
  <si>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</si>
  <si>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</si>
  <si>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</si>
  <si>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</si>
  <si>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</si>
  <si>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</si>
  <si>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</si>
  <si>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</si>
  <si>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</si>
  <si>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</si>
  <si>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</si>
  <si>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</si>
  <si>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</si>
  <si>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</si>
  <si>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</si>
  <si>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</si>
  <si>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</si>
  <si>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</si>
  <si>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</si>
  <si>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</si>
  <si>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</si>
  <si>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</si>
  <si>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</si>
  <si>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</si>
  <si>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</si>
  <si>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</si>
  <si>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</si>
  <si>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</si>
  <si>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</si>
  <si>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</si>
  <si>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</si>
  <si>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</si>
  <si>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</si>
  <si>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</si>
  <si>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</si>
  <si>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</si>
  <si>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</si>
  <si>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</si>
  <si>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</si>
  <si>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</si>
  <si>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</si>
  <si>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</si>
  <si>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</si>
  <si>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</si>
  <si>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</si>
  <si>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</si>
  <si>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</si>
  <si>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</si>
  <si>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</si>
  <si>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</si>
  <si>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</si>
  <si>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</si>
  <si>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</si>
  <si>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</si>
  <si>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</si>
  <si>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</si>
  <si>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</si>
  <si>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</si>
  <si>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</si>
  <si>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</si>
  <si>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</si>
  <si>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</si>
  <si>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</si>
  <si>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</si>
  <si>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</si>
  <si>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</si>
  <si>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</si>
  <si>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</si>
  <si>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</si>
  <si>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</si>
  <si>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</si>
  <si>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</si>
  <si>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</si>
  <si>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</si>
  <si>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</si>
  <si>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</si>
  <si>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</si>
  <si>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</si>
  <si>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</si>
  <si>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</si>
  <si>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</si>
  <si>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</si>
  <si>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</si>
  <si>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</si>
  <si>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</si>
  <si>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</si>
  <si>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</si>
  <si>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</si>
  <si>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</si>
  <si>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</si>
  <si>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</si>
  <si>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</si>
  <si>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</si>
  <si>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</si>
  <si>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</si>
  <si>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</si>
  <si>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</si>
  <si>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</si>
  <si>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</si>
  <si>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</si>
  <si>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</si>
  <si>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</si>
  <si>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</si>
  <si>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</si>
  <si>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</si>
  <si>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</si>
  <si>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</si>
  <si>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</si>
  <si>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</si>
  <si>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</si>
  <si>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</si>
  <si>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</si>
  <si>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</si>
  <si>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</si>
  <si>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</si>
  <si>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</si>
  <si>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</si>
  <si>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</si>
  <si>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</si>
  <si>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</si>
  <si>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</si>
  <si>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</si>
  <si>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</si>
  <si>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</si>
  <si>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</si>
  <si>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</si>
  <si>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</si>
  <si>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</si>
  <si>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</si>
  <si>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</si>
  <si>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</si>
  <si>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</si>
  <si>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</si>
  <si>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</si>
  <si>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</si>
  <si>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</si>
  <si>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</si>
  <si>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</si>
  <si>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</si>
  <si>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</si>
  <si>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</si>
  <si>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</si>
  <si>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</si>
  <si>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</si>
  <si>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</si>
  <si>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</si>
  <si>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</si>
  <si>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</si>
  <si>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</si>
  <si>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</si>
  <si>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</si>
  <si>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</si>
  <si>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</si>
  <si>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</si>
  <si>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</si>
  <si>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</si>
  <si>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</si>
  <si>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</si>
  <si>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</si>
  <si>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</si>
  <si>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</si>
  <si>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</si>
  <si>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</si>
  <si>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</si>
  <si>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</si>
  <si>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</si>
  <si>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</si>
  <si>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</si>
  <si>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</si>
  <si>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</si>
  <si>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</si>
  <si>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</si>
  <si>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</si>
  <si>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</si>
  <si>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</si>
  <si>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</si>
  <si>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</si>
  <si>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</si>
  <si>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</si>
  <si>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</si>
  <si>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</si>
  <si>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</si>
  <si>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</si>
  <si>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</si>
  <si>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</si>
  <si>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</si>
  <si>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</si>
  <si>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</si>
  <si>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</si>
  <si>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</si>
  <si>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</si>
  <si>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</si>
  <si>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</si>
  <si>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</si>
  <si>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</si>
  <si>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</si>
  <si>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</si>
  <si>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</si>
  <si>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</si>
  <si>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</si>
  <si>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</si>
  <si>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</si>
  <si>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</si>
  <si>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</si>
  <si>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</si>
  <si>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</si>
  <si>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</si>
  <si>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</si>
  <si>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</si>
  <si>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</si>
  <si>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</si>
  <si>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</si>
  <si>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</si>
  <si>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</si>
  <si>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</si>
  <si>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</si>
  <si>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</si>
  <si>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</si>
  <si>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</si>
  <si>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</si>
  <si>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</si>
  <si>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</si>
  <si>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</si>
  <si>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</si>
  <si>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</si>
  <si>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</si>
  <si>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</si>
  <si>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</si>
  <si>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</si>
  <si>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</si>
  <si>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</si>
  <si>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</si>
  <si>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</si>
  <si>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</si>
  <si>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</si>
  <si>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</si>
  <si>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</si>
  <si>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</si>
  <si>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</si>
  <si>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</si>
  <si>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</si>
  <si>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</si>
  <si>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</si>
  <si>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</si>
  <si>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</si>
  <si>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</si>
  <si>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</si>
  <si>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</si>
  <si>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</si>
  <si>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</si>
  <si>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</si>
  <si>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</si>
  <si>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</si>
  <si>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</si>
  <si>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</si>
  <si>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</si>
  <si>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</si>
  <si>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</si>
  <si>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</si>
  <si>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</si>
  <si>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</si>
  <si>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</si>
  <si>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</si>
  <si>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</si>
  <si>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</si>
  <si>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</si>
  <si>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</si>
  <si>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</si>
  <si>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</si>
  <si>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</si>
  <si>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</si>
  <si>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</si>
  <si>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</si>
  <si>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</si>
  <si>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</si>
  <si>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</si>
  <si>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</si>
  <si>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</si>
  <si>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</si>
  <si>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</si>
  <si>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</si>
  <si>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</si>
  <si>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</si>
  <si>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</si>
  <si>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</si>
  <si>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</si>
  <si>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</si>
  <si>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</si>
  <si>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</si>
  <si>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</si>
  <si>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</si>
  <si>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</si>
  <si>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</si>
  <si>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</si>
  <si>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</si>
  <si>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</si>
  <si>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</si>
  <si>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</si>
  <si>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</si>
  <si>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</si>
  <si>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</si>
  <si>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</si>
  <si>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</si>
  <si>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</si>
  <si>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</si>
  <si>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</si>
  <si>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</si>
  <si>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</si>
  <si>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</si>
  <si>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</si>
  <si>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</si>
  <si>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</si>
  <si>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</si>
  <si>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</si>
  <si>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</si>
  <si>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</si>
  <si>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</si>
  <si>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</si>
  <si>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</si>
  <si>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</si>
  <si>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</si>
  <si>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</si>
  <si>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</si>
  <si>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</si>
  <si>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</si>
  <si>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</si>
  <si>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</si>
  <si>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</si>
  <si>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</si>
  <si>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</si>
  <si>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</si>
  <si>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</si>
  <si>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</si>
  <si>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</si>
  <si>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</si>
  <si>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</si>
  <si>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</si>
  <si>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</si>
  <si>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</si>
  <si>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</si>
  <si>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</si>
  <si>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</si>
  <si>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</si>
  <si>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</si>
  <si>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</si>
  <si>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</si>
  <si>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</si>
  <si>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</si>
  <si>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</si>
  <si>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</si>
  <si>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</si>
  <si>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</si>
  <si>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</si>
  <si>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</si>
  <si>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</si>
  <si>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</si>
  <si>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</si>
  <si>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</si>
  <si>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</si>
  <si>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</si>
  <si>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</si>
  <si>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</si>
  <si>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</si>
  <si>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</si>
  <si>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</si>
  <si>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</si>
  <si>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</si>
  <si>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</si>
  <si>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</si>
  <si>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</si>
  <si>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</si>
  <si>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</si>
  <si>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</si>
  <si>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</si>
  <si>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</si>
  <si>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</si>
  <si>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</si>
  <si>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</si>
  <si>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</si>
  <si>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</si>
  <si>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</si>
  <si>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</si>
  <si>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</si>
  <si>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</si>
  <si>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</si>
  <si>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</si>
  <si>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</si>
  <si>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</si>
  <si>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</si>
  <si>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</si>
  <si>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</si>
  <si>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</si>
  <si>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</si>
  <si>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</si>
  <si>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</si>
  <si>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</si>
  <si>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</si>
  <si>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</si>
  <si>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</si>
  <si>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</si>
  <si>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</si>
  <si>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</si>
  <si>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</si>
  <si>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</si>
  <si>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</si>
  <si>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</si>
  <si>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</si>
  <si>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</si>
  <si>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</si>
  <si>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</si>
  <si>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</si>
  <si>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</si>
  <si>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</si>
  <si>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</si>
  <si>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</si>
  <si>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</si>
  <si>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</si>
  <si>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</si>
  <si>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</si>
  <si>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</si>
  <si>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</si>
  <si>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</si>
  <si>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</si>
  <si>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</si>
  <si>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</si>
  <si>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</si>
  <si>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</si>
  <si>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</si>
  <si>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</si>
  <si>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</si>
  <si>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</si>
  <si>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</si>
  <si>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</si>
  <si>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</si>
  <si>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</si>
  <si>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</si>
  <si>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</si>
  <si>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</si>
  <si>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</si>
  <si>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</si>
  <si>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</si>
  <si>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</si>
  <si>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</si>
  <si>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</si>
  <si>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</si>
  <si>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</si>
  <si>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</si>
  <si>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</si>
  <si>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</si>
  <si>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</si>
  <si>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</si>
  <si>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</si>
  <si>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</si>
  <si>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</si>
  <si>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</si>
  <si>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</si>
  <si>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</si>
  <si>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</si>
  <si>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</si>
  <si>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</si>
  <si>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71024</t>
  </si>
  <si>
    <t>HERK-DE-STAD</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</si>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</sst>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A8F2ED20-A158-4EA1-A302-A5DF2B7428F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107076.98645288264</c:v>
                </c:pt>
                <c:pt idx="1">
                  <c:v>27245.948065638906</c:v>
                </c:pt>
                <c:pt idx="2">
                  <c:v>917.476</c:v>
                </c:pt>
                <c:pt idx="3">
                  <c:v>24684.058688228579</c:v>
                </c:pt>
                <c:pt idx="4">
                  <c:v>9977.0130084702359</c:v>
                </c:pt>
                <c:pt idx="5">
                  <c:v>98092.630800751867</c:v>
                </c:pt>
                <c:pt idx="6">
                  <c:v>1115.014223555344</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107076.98645288264</c:v>
                </c:pt>
                <c:pt idx="1">
                  <c:v>27245.948065638906</c:v>
                </c:pt>
                <c:pt idx="2">
                  <c:v>917.476</c:v>
                </c:pt>
                <c:pt idx="3">
                  <c:v>24684.058688228579</c:v>
                </c:pt>
                <c:pt idx="4">
                  <c:v>9977.0130084702359</c:v>
                </c:pt>
                <c:pt idx="5">
                  <c:v>98092.630800751867</c:v>
                </c:pt>
                <c:pt idx="6">
                  <c:v>1115.014223555344</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22043.613360559928</c:v>
                </c:pt>
                <c:pt idx="2">
                  <c:v>5060.2668261239978</c:v>
                </c:pt>
                <c:pt idx="3">
                  <c:v>151.41309255318717</c:v>
                </c:pt>
                <c:pt idx="4">
                  <c:v>4436.9984887637656</c:v>
                </c:pt>
                <c:pt idx="5">
                  <c:v>1806.8263602702275</c:v>
                </c:pt>
                <c:pt idx="6">
                  <c:v>25105.745534367321</c:v>
                </c:pt>
                <c:pt idx="7">
                  <c:v>288.13054117079798</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22043.613360559928</c:v>
                </c:pt>
                <c:pt idx="2">
                  <c:v>5060.2668261239978</c:v>
                </c:pt>
                <c:pt idx="3">
                  <c:v>151.41309255318717</c:v>
                </c:pt>
                <c:pt idx="4">
                  <c:v>4436.9984887637656</c:v>
                </c:pt>
                <c:pt idx="5">
                  <c:v>1806.8263602702275</c:v>
                </c:pt>
                <c:pt idx="6">
                  <c:v>25105.745534367321</c:v>
                </c:pt>
                <c:pt idx="7">
                  <c:v>288.13054117079798</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71024</v>
      </c>
      <c r="B6" s="380"/>
      <c r="C6" s="381"/>
    </row>
    <row r="7" spans="1:7" s="378" customFormat="1" ht="15.75" customHeight="1">
      <c r="A7" s="382" t="str">
        <f>txtMunicipality</f>
        <v>HERK-DE-STAD</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0.16503221070980295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0.16503221070980295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5116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2311.4299999999998</v>
      </c>
      <c r="C14" s="322"/>
      <c r="D14" s="322"/>
      <c r="E14" s="322"/>
      <c r="F14" s="322"/>
    </row>
    <row r="15" spans="1:6">
      <c r="A15" s="1248" t="s">
        <v>177</v>
      </c>
      <c r="B15" s="1249">
        <v>564</v>
      </c>
      <c r="C15" s="322"/>
      <c r="D15" s="322"/>
      <c r="E15" s="322"/>
      <c r="F15" s="322"/>
    </row>
    <row r="16" spans="1:6">
      <c r="A16" s="1248" t="s">
        <v>6</v>
      </c>
      <c r="B16" s="1249">
        <v>254</v>
      </c>
      <c r="C16" s="322"/>
      <c r="D16" s="322"/>
      <c r="E16" s="322"/>
      <c r="F16" s="322"/>
    </row>
    <row r="17" spans="1:6">
      <c r="A17" s="1248" t="s">
        <v>7</v>
      </c>
      <c r="B17" s="1249">
        <v>592</v>
      </c>
      <c r="C17" s="322"/>
      <c r="D17" s="322"/>
      <c r="E17" s="322"/>
      <c r="F17" s="322"/>
    </row>
    <row r="18" spans="1:6">
      <c r="A18" s="1248" t="s">
        <v>8</v>
      </c>
      <c r="B18" s="1249">
        <v>562</v>
      </c>
      <c r="C18" s="322"/>
      <c r="D18" s="322"/>
      <c r="E18" s="322"/>
      <c r="F18" s="322"/>
    </row>
    <row r="19" spans="1:6">
      <c r="A19" s="1248" t="s">
        <v>9</v>
      </c>
      <c r="B19" s="1249">
        <v>438</v>
      </c>
      <c r="C19" s="322"/>
      <c r="D19" s="322"/>
      <c r="E19" s="322"/>
      <c r="F19" s="322"/>
    </row>
    <row r="20" spans="1:6">
      <c r="A20" s="1248" t="s">
        <v>10</v>
      </c>
      <c r="B20" s="1249">
        <v>381</v>
      </c>
      <c r="C20" s="322"/>
      <c r="D20" s="322"/>
      <c r="E20" s="322"/>
      <c r="F20" s="322"/>
    </row>
    <row r="21" spans="1:6">
      <c r="A21" s="1248" t="s">
        <v>11</v>
      </c>
      <c r="B21" s="1249">
        <v>10</v>
      </c>
      <c r="C21" s="322"/>
      <c r="D21" s="322"/>
      <c r="E21" s="322"/>
      <c r="F21" s="322"/>
    </row>
    <row r="22" spans="1:6">
      <c r="A22" s="1248" t="s">
        <v>12</v>
      </c>
      <c r="B22" s="1249">
        <v>3586</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8</v>
      </c>
      <c r="C25" s="322"/>
      <c r="D25" s="322"/>
      <c r="E25" s="322"/>
      <c r="F25" s="322"/>
    </row>
    <row r="26" spans="1:6">
      <c r="A26" s="1248" t="s">
        <v>16</v>
      </c>
      <c r="B26" s="1249">
        <v>444</v>
      </c>
      <c r="C26" s="322"/>
      <c r="D26" s="322"/>
      <c r="E26" s="322"/>
      <c r="F26" s="322"/>
    </row>
    <row r="27" spans="1:6">
      <c r="A27" s="1248" t="s">
        <v>17</v>
      </c>
      <c r="B27" s="1249">
        <v>0</v>
      </c>
      <c r="C27" s="322"/>
      <c r="D27" s="322"/>
      <c r="E27" s="322"/>
      <c r="F27" s="322"/>
    </row>
    <row r="28" spans="1:6">
      <c r="A28" s="1248" t="s">
        <v>18</v>
      </c>
      <c r="B28" s="1250">
        <v>78103</v>
      </c>
      <c r="C28" s="322"/>
      <c r="D28" s="322"/>
      <c r="E28" s="322"/>
      <c r="F28" s="322"/>
    </row>
    <row r="29" spans="1:6">
      <c r="A29" s="1248" t="s">
        <v>884</v>
      </c>
      <c r="B29" s="1250">
        <v>72</v>
      </c>
      <c r="C29" s="322"/>
      <c r="D29" s="322"/>
      <c r="E29" s="322"/>
      <c r="F29" s="322"/>
    </row>
    <row r="30" spans="1:6">
      <c r="A30" s="1243" t="s">
        <v>885</v>
      </c>
      <c r="B30" s="1251">
        <v>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3</v>
      </c>
      <c r="F36" s="1249">
        <v>14864</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2252</v>
      </c>
      <c r="D39" s="1249">
        <v>35310330</v>
      </c>
      <c r="E39" s="1249">
        <v>5070</v>
      </c>
      <c r="F39" s="1249">
        <v>18670323</v>
      </c>
    </row>
    <row r="40" spans="1:6">
      <c r="A40" s="1248" t="s">
        <v>29</v>
      </c>
      <c r="B40" s="1248" t="s">
        <v>28</v>
      </c>
      <c r="C40" s="1249">
        <v>0</v>
      </c>
      <c r="D40" s="1249">
        <v>0</v>
      </c>
      <c r="E40" s="1249">
        <v>0</v>
      </c>
      <c r="F40" s="1249">
        <v>0</v>
      </c>
    </row>
    <row r="41" spans="1:6">
      <c r="A41" s="1248" t="s">
        <v>31</v>
      </c>
      <c r="B41" s="1248" t="s">
        <v>32</v>
      </c>
      <c r="C41" s="1249">
        <v>34</v>
      </c>
      <c r="D41" s="1249">
        <v>793148</v>
      </c>
      <c r="E41" s="1249">
        <v>109</v>
      </c>
      <c r="F41" s="1249">
        <v>1387655</v>
      </c>
    </row>
    <row r="42" spans="1:6">
      <c r="A42" s="1248" t="s">
        <v>31</v>
      </c>
      <c r="B42" s="1248" t="s">
        <v>33</v>
      </c>
      <c r="C42" s="1249">
        <v>3</v>
      </c>
      <c r="D42" s="1249">
        <v>117987</v>
      </c>
      <c r="E42" s="1249">
        <v>0</v>
      </c>
      <c r="F42" s="1249">
        <v>0</v>
      </c>
    </row>
    <row r="43" spans="1:6">
      <c r="A43" s="1248" t="s">
        <v>31</v>
      </c>
      <c r="B43" s="1248" t="s">
        <v>34</v>
      </c>
      <c r="C43" s="1249">
        <v>0</v>
      </c>
      <c r="D43" s="1249">
        <v>0</v>
      </c>
      <c r="E43" s="1249">
        <v>0</v>
      </c>
      <c r="F43" s="1249">
        <v>0</v>
      </c>
    </row>
    <row r="44" spans="1:6">
      <c r="A44" s="1248" t="s">
        <v>31</v>
      </c>
      <c r="B44" s="1248" t="s">
        <v>35</v>
      </c>
      <c r="C44" s="1249">
        <v>9</v>
      </c>
      <c r="D44" s="1249">
        <v>316900</v>
      </c>
      <c r="E44" s="1249">
        <v>23</v>
      </c>
      <c r="F44" s="1249">
        <v>992985</v>
      </c>
    </row>
    <row r="45" spans="1:6">
      <c r="A45" s="1248" t="s">
        <v>31</v>
      </c>
      <c r="B45" s="1248" t="s">
        <v>36</v>
      </c>
      <c r="C45" s="1249">
        <v>0</v>
      </c>
      <c r="D45" s="1249">
        <v>0</v>
      </c>
      <c r="E45" s="1249">
        <v>7</v>
      </c>
      <c r="F45" s="1249">
        <v>710088</v>
      </c>
    </row>
    <row r="46" spans="1:6">
      <c r="A46" s="1248" t="s">
        <v>31</v>
      </c>
      <c r="B46" s="1248" t="s">
        <v>37</v>
      </c>
      <c r="C46" s="1249">
        <v>0</v>
      </c>
      <c r="D46" s="1249">
        <v>0</v>
      </c>
      <c r="E46" s="1249">
        <v>0</v>
      </c>
      <c r="F46" s="1249">
        <v>0</v>
      </c>
    </row>
    <row r="47" spans="1:6">
      <c r="A47" s="1248" t="s">
        <v>31</v>
      </c>
      <c r="B47" s="1248" t="s">
        <v>38</v>
      </c>
      <c r="C47" s="1249">
        <v>3</v>
      </c>
      <c r="D47" s="1249">
        <v>103825</v>
      </c>
      <c r="E47" s="1249">
        <v>6</v>
      </c>
      <c r="F47" s="1249">
        <v>60505</v>
      </c>
    </row>
    <row r="48" spans="1:6">
      <c r="A48" s="1248" t="s">
        <v>31</v>
      </c>
      <c r="B48" s="1248" t="s">
        <v>28</v>
      </c>
      <c r="C48" s="1249">
        <v>0</v>
      </c>
      <c r="D48" s="1249">
        <v>35911</v>
      </c>
      <c r="E48" s="1249">
        <v>3</v>
      </c>
      <c r="F48" s="1249">
        <v>42694</v>
      </c>
    </row>
    <row r="49" spans="1:6">
      <c r="A49" s="1248" t="s">
        <v>31</v>
      </c>
      <c r="B49" s="1248" t="s">
        <v>39</v>
      </c>
      <c r="C49" s="1249">
        <v>0</v>
      </c>
      <c r="D49" s="1249">
        <v>0</v>
      </c>
      <c r="E49" s="1249">
        <v>0</v>
      </c>
      <c r="F49" s="1249">
        <v>0</v>
      </c>
    </row>
    <row r="50" spans="1:6">
      <c r="A50" s="1248" t="s">
        <v>31</v>
      </c>
      <c r="B50" s="1248" t="s">
        <v>40</v>
      </c>
      <c r="C50" s="1249">
        <v>4</v>
      </c>
      <c r="D50" s="1249">
        <v>222132</v>
      </c>
      <c r="E50" s="1249">
        <v>8</v>
      </c>
      <c r="F50" s="1249">
        <v>1847220</v>
      </c>
    </row>
    <row r="51" spans="1:6">
      <c r="A51" s="1248" t="s">
        <v>41</v>
      </c>
      <c r="B51" s="1248" t="s">
        <v>42</v>
      </c>
      <c r="C51" s="1249">
        <v>12</v>
      </c>
      <c r="D51" s="1249">
        <v>3022858</v>
      </c>
      <c r="E51" s="1249">
        <v>91</v>
      </c>
      <c r="F51" s="1249">
        <v>3166592</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88</v>
      </c>
      <c r="F54" s="1249">
        <v>917476</v>
      </c>
    </row>
    <row r="55" spans="1:6">
      <c r="A55" s="1248" t="s">
        <v>45</v>
      </c>
      <c r="B55" s="1248" t="s">
        <v>28</v>
      </c>
      <c r="C55" s="1249">
        <v>0</v>
      </c>
      <c r="D55" s="1249">
        <v>0</v>
      </c>
      <c r="E55" s="1249">
        <v>0</v>
      </c>
      <c r="F55" s="1249">
        <v>0</v>
      </c>
    </row>
    <row r="56" spans="1:6">
      <c r="A56" s="1248" t="s">
        <v>47</v>
      </c>
      <c r="B56" s="1248" t="s">
        <v>28</v>
      </c>
      <c r="C56" s="1249">
        <v>33</v>
      </c>
      <c r="D56" s="1249">
        <v>1053588</v>
      </c>
      <c r="E56" s="1249">
        <v>103</v>
      </c>
      <c r="F56" s="1249">
        <v>396217</v>
      </c>
    </row>
    <row r="57" spans="1:6">
      <c r="A57" s="1248" t="s">
        <v>48</v>
      </c>
      <c r="B57" s="1248" t="s">
        <v>49</v>
      </c>
      <c r="C57" s="1249">
        <v>13</v>
      </c>
      <c r="D57" s="1249">
        <v>252292</v>
      </c>
      <c r="E57" s="1249">
        <v>54</v>
      </c>
      <c r="F57" s="1249">
        <v>1089736</v>
      </c>
    </row>
    <row r="58" spans="1:6">
      <c r="A58" s="1248" t="s">
        <v>48</v>
      </c>
      <c r="B58" s="1248" t="s">
        <v>50</v>
      </c>
      <c r="C58" s="1249">
        <v>17</v>
      </c>
      <c r="D58" s="1249">
        <v>2222139</v>
      </c>
      <c r="E58" s="1249">
        <v>28</v>
      </c>
      <c r="F58" s="1249">
        <v>1175508</v>
      </c>
    </row>
    <row r="59" spans="1:6">
      <c r="A59" s="1248" t="s">
        <v>48</v>
      </c>
      <c r="B59" s="1248" t="s">
        <v>51</v>
      </c>
      <c r="C59" s="1249">
        <v>56</v>
      </c>
      <c r="D59" s="1249">
        <v>2047944</v>
      </c>
      <c r="E59" s="1249">
        <v>158</v>
      </c>
      <c r="F59" s="1249">
        <v>5915266</v>
      </c>
    </row>
    <row r="60" spans="1:6">
      <c r="A60" s="1248" t="s">
        <v>48</v>
      </c>
      <c r="B60" s="1248" t="s">
        <v>52</v>
      </c>
      <c r="C60" s="1249">
        <v>25</v>
      </c>
      <c r="D60" s="1249">
        <v>1208911</v>
      </c>
      <c r="E60" s="1249">
        <v>43</v>
      </c>
      <c r="F60" s="1249">
        <v>886575</v>
      </c>
    </row>
    <row r="61" spans="1:6">
      <c r="A61" s="1248" t="s">
        <v>48</v>
      </c>
      <c r="B61" s="1248" t="s">
        <v>53</v>
      </c>
      <c r="C61" s="1249">
        <v>76</v>
      </c>
      <c r="D61" s="1249">
        <v>2338247</v>
      </c>
      <c r="E61" s="1249">
        <v>233</v>
      </c>
      <c r="F61" s="1249">
        <v>4052150</v>
      </c>
    </row>
    <row r="62" spans="1:6">
      <c r="A62" s="1248" t="s">
        <v>48</v>
      </c>
      <c r="B62" s="1248" t="s">
        <v>54</v>
      </c>
      <c r="C62" s="1249">
        <v>12</v>
      </c>
      <c r="D62" s="1249">
        <v>2832611</v>
      </c>
      <c r="E62" s="1249">
        <v>20</v>
      </c>
      <c r="F62" s="1249">
        <v>853281</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47130</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3</v>
      </c>
      <c r="F68" s="1251">
        <v>18874</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77622306</v>
      </c>
      <c r="E73" s="439"/>
      <c r="F73" s="322"/>
    </row>
    <row r="74" spans="1:6">
      <c r="A74" s="1248" t="s">
        <v>63</v>
      </c>
      <c r="B74" s="1248" t="s">
        <v>626</v>
      </c>
      <c r="C74" s="1261" t="s">
        <v>628</v>
      </c>
      <c r="D74" s="1249">
        <v>8469161.6944982782</v>
      </c>
      <c r="E74" s="439"/>
      <c r="F74" s="322"/>
    </row>
    <row r="75" spans="1:6">
      <c r="A75" s="1248" t="s">
        <v>64</v>
      </c>
      <c r="B75" s="1248" t="s">
        <v>625</v>
      </c>
      <c r="C75" s="1261" t="s">
        <v>629</v>
      </c>
      <c r="D75" s="1249">
        <v>26420787</v>
      </c>
      <c r="E75" s="439"/>
      <c r="F75" s="322"/>
    </row>
    <row r="76" spans="1:6">
      <c r="A76" s="1248" t="s">
        <v>64</v>
      </c>
      <c r="B76" s="1248" t="s">
        <v>626</v>
      </c>
      <c r="C76" s="1261" t="s">
        <v>630</v>
      </c>
      <c r="D76" s="1249">
        <v>895462.69449827727</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301572.61100344546</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4097.0993616100841</v>
      </c>
      <c r="C91" s="322"/>
      <c r="D91" s="322"/>
      <c r="E91" s="322"/>
      <c r="F91" s="322"/>
    </row>
    <row r="92" spans="1:6">
      <c r="A92" s="1243" t="s">
        <v>68</v>
      </c>
      <c r="B92" s="1244">
        <v>3126.701509656657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593</v>
      </c>
      <c r="C97" s="322"/>
      <c r="D97" s="322"/>
      <c r="E97" s="322"/>
      <c r="F97" s="322"/>
    </row>
    <row r="98" spans="1:6">
      <c r="A98" s="1248" t="s">
        <v>71</v>
      </c>
      <c r="B98" s="1249">
        <v>3</v>
      </c>
      <c r="C98" s="322"/>
      <c r="D98" s="322"/>
      <c r="E98" s="322"/>
      <c r="F98" s="322"/>
    </row>
    <row r="99" spans="1:6">
      <c r="A99" s="1248" t="s">
        <v>72</v>
      </c>
      <c r="B99" s="1249">
        <v>14</v>
      </c>
      <c r="C99" s="322"/>
      <c r="D99" s="322"/>
      <c r="E99" s="322"/>
      <c r="F99" s="322"/>
    </row>
    <row r="100" spans="1:6">
      <c r="A100" s="1248" t="s">
        <v>73</v>
      </c>
      <c r="B100" s="1249">
        <v>235</v>
      </c>
      <c r="C100" s="322"/>
      <c r="D100" s="322"/>
      <c r="E100" s="322"/>
      <c r="F100" s="322"/>
    </row>
    <row r="101" spans="1:6">
      <c r="A101" s="1248" t="s">
        <v>74</v>
      </c>
      <c r="B101" s="1249">
        <v>54</v>
      </c>
      <c r="C101" s="322"/>
      <c r="D101" s="322"/>
      <c r="E101" s="322"/>
      <c r="F101" s="322"/>
    </row>
    <row r="102" spans="1:6">
      <c r="A102" s="1248" t="s">
        <v>75</v>
      </c>
      <c r="B102" s="1249">
        <v>46</v>
      </c>
      <c r="C102" s="322"/>
      <c r="D102" s="322"/>
      <c r="E102" s="322"/>
      <c r="F102" s="322"/>
    </row>
    <row r="103" spans="1:6">
      <c r="A103" s="1248" t="s">
        <v>76</v>
      </c>
      <c r="B103" s="1249">
        <v>114</v>
      </c>
      <c r="C103" s="322"/>
      <c r="D103" s="322"/>
      <c r="E103" s="322"/>
      <c r="F103" s="322"/>
    </row>
    <row r="104" spans="1:6">
      <c r="A104" s="1248" t="s">
        <v>77</v>
      </c>
      <c r="B104" s="1249">
        <v>3288</v>
      </c>
      <c r="C104" s="322"/>
      <c r="D104" s="322"/>
      <c r="E104" s="322"/>
      <c r="F104" s="322"/>
    </row>
    <row r="105" spans="1:6">
      <c r="A105" s="1243" t="s">
        <v>78</v>
      </c>
      <c r="B105" s="1251">
        <v>3</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17</v>
      </c>
      <c r="C123" s="1249">
        <v>15</v>
      </c>
      <c r="D123" s="322"/>
      <c r="E123" s="322"/>
      <c r="F123" s="322"/>
    </row>
    <row r="124" spans="1:6">
      <c r="A124" s="1248" t="s">
        <v>88</v>
      </c>
      <c r="B124" s="1249">
        <v>0</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145</v>
      </c>
      <c r="C129" s="322"/>
      <c r="D129" s="322"/>
      <c r="E129" s="322"/>
      <c r="F129" s="322"/>
    </row>
    <row r="130" spans="1:6">
      <c r="A130" s="1248" t="s">
        <v>284</v>
      </c>
      <c r="B130" s="1249">
        <v>3</v>
      </c>
      <c r="C130" s="322"/>
      <c r="D130" s="322"/>
      <c r="E130" s="322"/>
      <c r="F130" s="322"/>
    </row>
    <row r="131" spans="1:6">
      <c r="A131" s="1248" t="s">
        <v>285</v>
      </c>
      <c r="B131" s="1249">
        <v>2</v>
      </c>
      <c r="C131" s="322"/>
      <c r="D131" s="322"/>
      <c r="E131" s="322"/>
      <c r="F131" s="322"/>
    </row>
    <row r="132" spans="1:6">
      <c r="A132" s="1243" t="s">
        <v>286</v>
      </c>
      <c r="B132" s="1244">
        <v>23</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46293.770495661971</v>
      </c>
      <c r="C3" s="43" t="s">
        <v>163</v>
      </c>
      <c r="D3" s="43"/>
      <c r="E3" s="153"/>
      <c r="F3" s="43"/>
      <c r="G3" s="43"/>
      <c r="H3" s="43"/>
      <c r="I3" s="43"/>
      <c r="J3" s="43"/>
      <c r="K3" s="96"/>
    </row>
    <row r="4" spans="1:11">
      <c r="A4" s="348" t="s">
        <v>164</v>
      </c>
      <c r="B4" s="49">
        <f>IF(ISERROR('SEAP template'!B78+'SEAP template'!C78),0,'SEAP template'!B78+'SEAP template'!C78)</f>
        <v>11723.800871266742</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0.16503221070980295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6428.5714285714284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917.476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917.476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0.16503221070980295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151.41309255318717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18670.323</v>
      </c>
      <c r="C5" s="17">
        <f>IF(ISERROR('Eigen informatie GS &amp; warmtenet'!B57),0,'Eigen informatie GS &amp; warmtenet'!B57)</f>
        <v>0</v>
      </c>
      <c r="D5" s="30">
        <f>(SUM(HH_hh_gas_kWh,HH_rest_gas_kWh)/1000)*0.902</f>
        <v>31849.917660000003</v>
      </c>
      <c r="E5" s="17">
        <f>B32*B41</f>
        <v>1546.5870006746929</v>
      </c>
      <c r="F5" s="17">
        <f>B36*B45</f>
        <v>42048.639277892682</v>
      </c>
      <c r="G5" s="18"/>
      <c r="H5" s="17"/>
      <c r="I5" s="17"/>
      <c r="J5" s="17">
        <f>B35*B44+C35*C44</f>
        <v>775.45201239862229</v>
      </c>
      <c r="K5" s="17"/>
      <c r="L5" s="17"/>
      <c r="M5" s="17"/>
      <c r="N5" s="17">
        <f>B34*B43+C34*C43</f>
        <v>7076.1681403065613</v>
      </c>
      <c r="O5" s="17">
        <f>B52*B53*B54</f>
        <v>250.13333333333333</v>
      </c>
      <c r="P5" s="17">
        <f>B60*B61*B62/1000-B60*B61*B62/1000/B63</f>
        <v>762.66666666666674</v>
      </c>
    </row>
    <row r="6" spans="1:16">
      <c r="A6" s="16" t="s">
        <v>586</v>
      </c>
      <c r="B6" s="716">
        <f>kWh_PV_kleiner_dan_10kW</f>
        <v>4097.0993616100841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22767.422361610086</v>
      </c>
      <c r="C8" s="21">
        <f>C5</f>
        <v>0</v>
      </c>
      <c r="D8" s="21">
        <f>D5</f>
        <v>31849.917660000003</v>
      </c>
      <c r="E8" s="21">
        <f>E5</f>
        <v>1546.5870006746929</v>
      </c>
      <c r="F8" s="21">
        <f>F5</f>
        <v>42048.639277892682</v>
      </c>
      <c r="G8" s="21"/>
      <c r="H8" s="21"/>
      <c r="I8" s="21"/>
      <c r="J8" s="21">
        <f>J5</f>
        <v>775.45201239862229</v>
      </c>
      <c r="K8" s="21"/>
      <c r="L8" s="21">
        <f>L5</f>
        <v>0</v>
      </c>
      <c r="M8" s="21">
        <f>M5</f>
        <v>0</v>
      </c>
      <c r="N8" s="21">
        <f>N5</f>
        <v>7076.1681403065613</v>
      </c>
      <c r="O8" s="21">
        <f>O5</f>
        <v>250.13333333333333</v>
      </c>
      <c r="P8" s="21">
        <f>P5</f>
        <v>762.66666666666674</v>
      </c>
    </row>
    <row r="9" spans="1:16">
      <c r="B9" s="19"/>
      <c r="C9" s="19"/>
      <c r="D9" s="253"/>
      <c r="E9" s="19"/>
      <c r="F9" s="19"/>
      <c r="G9" s="19"/>
      <c r="H9" s="19"/>
      <c r="I9" s="19"/>
      <c r="J9" s="19"/>
      <c r="K9" s="19"/>
      <c r="L9" s="19"/>
      <c r="M9" s="19"/>
      <c r="N9" s="19"/>
      <c r="O9" s="19"/>
      <c r="P9" s="19"/>
    </row>
    <row r="10" spans="1:16">
      <c r="A10" s="24" t="s">
        <v>207</v>
      </c>
      <c r="B10" s="25">
        <f ca="1">'EF ele_warmte'!B12</f>
        <v>0.16503221070980295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3757.3580445003154</v>
      </c>
      <c r="C12" s="23">
        <f ca="1">C10*C8</f>
        <v>0</v>
      </c>
      <c r="D12" s="23">
        <f>D8*D10</f>
        <v>6433.6833673200008</v>
      </c>
      <c r="E12" s="23">
        <f>E10*E8</f>
        <v>351.07524915315531</v>
      </c>
      <c r="F12" s="23">
        <f>F10*F8</f>
        <v>11226.986687197346</v>
      </c>
      <c r="G12" s="23"/>
      <c r="H12" s="23"/>
      <c r="I12" s="23"/>
      <c r="J12" s="23">
        <f>J10*J8</f>
        <v>274.51001238911226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5116</v>
      </c>
      <c r="C26" s="36"/>
      <c r="D26" s="224"/>
    </row>
    <row r="27" spans="1:5" s="15" customFormat="1">
      <c r="A27" s="226" t="s">
        <v>655</v>
      </c>
      <c r="B27" s="37">
        <f>SUM(HH_hh_gas_aantal,HH_rest_gas_aantal)</f>
        <v>2252</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2139.4</v>
      </c>
      <c r="C31" s="34" t="s">
        <v>104</v>
      </c>
      <c r="D31" s="170"/>
    </row>
    <row r="32" spans="1:5">
      <c r="A32" s="167" t="s">
        <v>72</v>
      </c>
      <c r="B32" s="33">
        <f>IF((B21*($B$26-($B$27-0.05*$B$27)-$B$60))&lt;0,0,B21*($B$26-($B$27-0.05*$B$27)-$B$60))</f>
        <v>18.951133232489415</v>
      </c>
      <c r="C32" s="34" t="s">
        <v>104</v>
      </c>
      <c r="D32" s="170"/>
    </row>
    <row r="33" spans="1:6">
      <c r="A33" s="167" t="s">
        <v>73</v>
      </c>
      <c r="B33" s="33">
        <f>IF((B22*($B$26-($B$27-0.05*$B$27)-$B$60))&lt;0,0,B22*($B$26-($B$27-0.05*$B$27)-$B$60))</f>
        <v>659.94730321178088</v>
      </c>
      <c r="C33" s="34" t="s">
        <v>104</v>
      </c>
      <c r="D33" s="170"/>
    </row>
    <row r="34" spans="1:6">
      <c r="A34" s="167" t="s">
        <v>74</v>
      </c>
      <c r="B34" s="33">
        <f>IF((B24*($B$26-($B$27-0.05*$B$27)-$B$60))&lt;0,0,B24*($B$26-($B$27-0.05*$B$27)-$B$60))</f>
        <v>131.05201102244652</v>
      </c>
      <c r="C34" s="33">
        <f>B26*C24</f>
        <v>1047.0525334795723</v>
      </c>
      <c r="D34" s="229"/>
    </row>
    <row r="35" spans="1:6">
      <c r="A35" s="167" t="s">
        <v>76</v>
      </c>
      <c r="B35" s="33">
        <f>IF((B19*($B$26-($B$27-0.05*$B$27)-$B$60))&lt;0,0,B19*($B$26-($B$27-0.05*$B$27)-$B$60))</f>
        <v>63.999298655930765</v>
      </c>
      <c r="C35" s="33">
        <f>B35/2</f>
        <v>31.999649327965383</v>
      </c>
      <c r="D35" s="229"/>
    </row>
    <row r="36" spans="1:6">
      <c r="A36" s="167" t="s">
        <v>77</v>
      </c>
      <c r="B36" s="33">
        <f>IF((B18*($B$26-($B$27-0.05*$B$27)-$B$60))&lt;0,0,B18*($B$26-($B$27-0.05*$B$27)-$B$60))</f>
        <v>2062.650253877353</v>
      </c>
      <c r="C36" s="34" t="s">
        <v>104</v>
      </c>
      <c r="D36" s="170"/>
    </row>
    <row r="37" spans="1:6">
      <c r="A37" s="167" t="s">
        <v>78</v>
      </c>
      <c r="B37" s="33">
        <f>B60</f>
        <v>40</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160</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40</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13972.516</v>
      </c>
      <c r="C5" s="17">
        <f>IF(ISERROR('Eigen informatie GS &amp; warmtenet'!B58),0,'Eigen informatie GS &amp; warmtenet'!B58)</f>
        <v>0</v>
      </c>
      <c r="D5" s="30">
        <f>SUM(D6:D12)</f>
        <v>9833.7338880000007</v>
      </c>
      <c r="E5" s="17">
        <f>SUM(E6:E12)</f>
        <v>230.12726628482469</v>
      </c>
      <c r="F5" s="17">
        <f>SUM(F6:F12)</f>
        <v>2680.5011737252644</v>
      </c>
      <c r="G5" s="18"/>
      <c r="H5" s="17"/>
      <c r="I5" s="17"/>
      <c r="J5" s="17">
        <f>SUM(J6:J12)</f>
        <v>1.3201295489125362E-2</v>
      </c>
      <c r="K5" s="17"/>
      <c r="L5" s="17"/>
      <c r="M5" s="17"/>
      <c r="N5" s="17">
        <f>SUM(N6:N12)</f>
        <v>486.23320299999784</v>
      </c>
      <c r="O5" s="17">
        <f>B38*B39*B40</f>
        <v>4.6900000000000004</v>
      </c>
      <c r="P5" s="17">
        <f>B46*B47*B48/1000-B46*B47*B48/1000/B49</f>
        <v>38.133333333333333</v>
      </c>
      <c r="R5" s="32"/>
    </row>
    <row r="6" spans="1:18">
      <c r="A6" s="32" t="s">
        <v>53</v>
      </c>
      <c r="B6" s="37">
        <f>B26</f>
        <v>4052.15</v>
      </c>
      <c r="C6" s="33"/>
      <c r="D6" s="37">
        <f>IF(ISERROR(TER_kantoor_gas_kWh/1000),0,TER_kantoor_gas_kWh/1000)*0.902</f>
        <v>2109.098794</v>
      </c>
      <c r="E6" s="33">
        <f>$C$26*'E Balans VL '!I12/100/3.6*1000000</f>
        <v>2.306956204822254E-18</v>
      </c>
      <c r="F6" s="33">
        <f>$C$26*('E Balans VL '!L12+'E Balans VL '!N12)/100/3.6*1000000</f>
        <v>547.78391199104578</v>
      </c>
      <c r="G6" s="34"/>
      <c r="H6" s="33"/>
      <c r="I6" s="33"/>
      <c r="J6" s="33">
        <f>$C$26*('E Balans VL '!D12+'E Balans VL '!E12)/100/3.6*1000000</f>
        <v>0</v>
      </c>
      <c r="K6" s="33"/>
      <c r="L6" s="33"/>
      <c r="M6" s="33"/>
      <c r="N6" s="33">
        <f>$C$26*'E Balans VL '!Y12/100/3.6*1000000</f>
        <v>5.0927291890223785</v>
      </c>
      <c r="O6" s="33"/>
      <c r="P6" s="33"/>
      <c r="R6" s="32"/>
    </row>
    <row r="7" spans="1:18">
      <c r="A7" s="32" t="s">
        <v>52</v>
      </c>
      <c r="B7" s="37">
        <f t="shared" ref="B7:B12" si="0">B27</f>
        <v>886.57500000000005</v>
      </c>
      <c r="C7" s="33"/>
      <c r="D7" s="37">
        <f>IF(ISERROR(TER_horeca_gas_kWh/1000),0,TER_horeca_gas_kWh/1000)*0.902</f>
        <v>1090.4377220000001</v>
      </c>
      <c r="E7" s="33">
        <f>$C$27*'E Balans VL '!I9/100/3.6*1000000</f>
        <v>11.323366760170972</v>
      </c>
      <c r="F7" s="33">
        <f>$C$27*('E Balans VL '!L9+'E Balans VL '!N9)/100/3.6*1000000</f>
        <v>100.13466271731831</v>
      </c>
      <c r="G7" s="34"/>
      <c r="H7" s="33"/>
      <c r="I7" s="33"/>
      <c r="J7" s="33">
        <f>$C$27*('E Balans VL '!D9+'E Balans VL '!E9)/100/3.6*1000000</f>
        <v>0</v>
      </c>
      <c r="K7" s="33"/>
      <c r="L7" s="33"/>
      <c r="M7" s="33"/>
      <c r="N7" s="33">
        <f>$C$27*'E Balans VL '!Y9/100/3.6*1000000</f>
        <v>0.21127458579937439</v>
      </c>
      <c r="O7" s="33"/>
      <c r="P7" s="33"/>
      <c r="R7" s="32"/>
    </row>
    <row r="8" spans="1:18">
      <c r="A8" s="6" t="s">
        <v>51</v>
      </c>
      <c r="B8" s="37">
        <f t="shared" si="0"/>
        <v>5915.2659999999996</v>
      </c>
      <c r="C8" s="33"/>
      <c r="D8" s="37">
        <f>IF(ISERROR(TER_handel_gas_kWh/1000),0,TER_handel_gas_kWh/1000)*0.902</f>
        <v>1847.245488</v>
      </c>
      <c r="E8" s="33">
        <f>$C$28*'E Balans VL '!I13/100/3.6*1000000</f>
        <v>193.18298640933324</v>
      </c>
      <c r="F8" s="33">
        <f>$C$28*('E Balans VL '!L13+'E Balans VL '!N13)/100/3.6*1000000</f>
        <v>1024.1802454131241</v>
      </c>
      <c r="G8" s="34"/>
      <c r="H8" s="33"/>
      <c r="I8" s="33"/>
      <c r="J8" s="33">
        <f>$C$28*('E Balans VL '!D13+'E Balans VL '!E13)/100/3.6*1000000</f>
        <v>0</v>
      </c>
      <c r="K8" s="33"/>
      <c r="L8" s="33"/>
      <c r="M8" s="33"/>
      <c r="N8" s="33">
        <f>$C$28*'E Balans VL '!Y13/100/3.6*1000000</f>
        <v>6.9621039936166067</v>
      </c>
      <c r="O8" s="33"/>
      <c r="P8" s="33"/>
      <c r="R8" s="32"/>
    </row>
    <row r="9" spans="1:18">
      <c r="A9" s="32" t="s">
        <v>50</v>
      </c>
      <c r="B9" s="37">
        <f t="shared" si="0"/>
        <v>1175.508</v>
      </c>
      <c r="C9" s="33"/>
      <c r="D9" s="37">
        <f>IF(ISERROR(TER_gezond_gas_kWh/1000),0,TER_gezond_gas_kWh/1000)*0.902</f>
        <v>2004.3693780000001</v>
      </c>
      <c r="E9" s="33">
        <f>$C$29*'E Balans VL '!I10/100/3.6*1000000</f>
        <v>6.5643320401299679E-2</v>
      </c>
      <c r="F9" s="33">
        <f>$C$29*('E Balans VL '!L10+'E Balans VL '!N10)/100/3.6*1000000</f>
        <v>155.75043694467632</v>
      </c>
      <c r="G9" s="34"/>
      <c r="H9" s="33"/>
      <c r="I9" s="33"/>
      <c r="J9" s="33">
        <f>$C$29*('E Balans VL '!D10+'E Balans VL '!E10)/100/3.6*1000000</f>
        <v>0</v>
      </c>
      <c r="K9" s="33"/>
      <c r="L9" s="33"/>
      <c r="M9" s="33"/>
      <c r="N9" s="33">
        <f>$C$29*'E Balans VL '!Y10/100/3.6*1000000</f>
        <v>12.459594704291948</v>
      </c>
      <c r="O9" s="33"/>
      <c r="P9" s="33"/>
      <c r="R9" s="32"/>
    </row>
    <row r="10" spans="1:18">
      <c r="A10" s="32" t="s">
        <v>49</v>
      </c>
      <c r="B10" s="37">
        <f t="shared" si="0"/>
        <v>1089.7360000000001</v>
      </c>
      <c r="C10" s="33"/>
      <c r="D10" s="37">
        <f>IF(ISERROR(TER_ander_gas_kWh/1000),0,TER_ander_gas_kWh/1000)*0.902</f>
        <v>227.567384</v>
      </c>
      <c r="E10" s="33">
        <f>$C$30*'E Balans VL '!I14/100/3.6*1000000</f>
        <v>14.072224319273914</v>
      </c>
      <c r="F10" s="33">
        <f>$C$30*('E Balans VL '!L14+'E Balans VL '!N14)/100/3.6*1000000</f>
        <v>719.30348773199717</v>
      </c>
      <c r="G10" s="34"/>
      <c r="H10" s="33"/>
      <c r="I10" s="33"/>
      <c r="J10" s="33">
        <f>$C$30*('E Balans VL '!D14+'E Balans VL '!E14)/100/3.6*1000000</f>
        <v>1.3201295489125362E-2</v>
      </c>
      <c r="K10" s="33"/>
      <c r="L10" s="33"/>
      <c r="M10" s="33"/>
      <c r="N10" s="33">
        <f>$C$30*'E Balans VL '!Y14/100/3.6*1000000</f>
        <v>459.53723426525232</v>
      </c>
      <c r="O10" s="33"/>
      <c r="P10" s="33"/>
      <c r="R10" s="32"/>
    </row>
    <row r="11" spans="1:18">
      <c r="A11" s="32" t="s">
        <v>54</v>
      </c>
      <c r="B11" s="37">
        <f t="shared" si="0"/>
        <v>853.28099999999995</v>
      </c>
      <c r="C11" s="33"/>
      <c r="D11" s="37">
        <f>IF(ISERROR(TER_onderwijs_gas_kWh/1000),0,TER_onderwijs_gas_kWh/1000)*0.902</f>
        <v>2555.0151219999998</v>
      </c>
      <c r="E11" s="33">
        <f>$C$31*'E Balans VL '!I11/100/3.6*1000000</f>
        <v>11.483045475645252</v>
      </c>
      <c r="F11" s="33">
        <f>$C$31*('E Balans VL '!L11+'E Balans VL '!N11)/100/3.6*1000000</f>
        <v>133.3484289271027</v>
      </c>
      <c r="G11" s="34"/>
      <c r="H11" s="33"/>
      <c r="I11" s="33"/>
      <c r="J11" s="33">
        <f>$C$31*('E Balans VL '!D11+'E Balans VL '!E11)/100/3.6*1000000</f>
        <v>0</v>
      </c>
      <c r="K11" s="33"/>
      <c r="L11" s="33"/>
      <c r="M11" s="33"/>
      <c r="N11" s="33">
        <f>$C$31*'E Balans VL '!Y11/100/3.6*1000000</f>
        <v>1.970266262015254</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13972.516</v>
      </c>
      <c r="C16" s="21">
        <f t="shared" ca="1" si="1"/>
        <v>0</v>
      </c>
      <c r="D16" s="21">
        <f t="shared" ca="1" si="1"/>
        <v>9833.7338880000007</v>
      </c>
      <c r="E16" s="21">
        <f t="shared" si="1"/>
        <v>230.12726628482469</v>
      </c>
      <c r="F16" s="21">
        <f t="shared" ca="1" si="1"/>
        <v>2680.5011737252644</v>
      </c>
      <c r="G16" s="21">
        <f t="shared" si="1"/>
        <v>0</v>
      </c>
      <c r="H16" s="21">
        <f t="shared" si="1"/>
        <v>0</v>
      </c>
      <c r="I16" s="21">
        <f t="shared" si="1"/>
        <v>0</v>
      </c>
      <c r="J16" s="21">
        <f t="shared" si="1"/>
        <v>1.3201295489125362E-2</v>
      </c>
      <c r="K16" s="21">
        <f t="shared" si="1"/>
        <v>0</v>
      </c>
      <c r="L16" s="21">
        <f t="shared" ca="1" si="1"/>
        <v>0</v>
      </c>
      <c r="M16" s="21">
        <f t="shared" si="1"/>
        <v>0</v>
      </c>
      <c r="N16" s="21">
        <f t="shared" ca="1" si="1"/>
        <v>486.23320299999784</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0.16503221070980295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2305.915204658093</v>
      </c>
      <c r="C20" s="23">
        <f t="shared" ref="C20:P20" ca="1" si="2">C16*C18</f>
        <v>0</v>
      </c>
      <c r="D20" s="23">
        <f t="shared" ca="1" si="2"/>
        <v>1986.4142453760003</v>
      </c>
      <c r="E20" s="23">
        <f t="shared" si="2"/>
        <v>52.238889446655207</v>
      </c>
      <c r="F20" s="23">
        <f t="shared" ca="1" si="2"/>
        <v>715.69381338464564</v>
      </c>
      <c r="G20" s="23">
        <f t="shared" si="2"/>
        <v>0</v>
      </c>
      <c r="H20" s="23">
        <f t="shared" si="2"/>
        <v>0</v>
      </c>
      <c r="I20" s="23">
        <f t="shared" si="2"/>
        <v>0</v>
      </c>
      <c r="J20" s="23">
        <f t="shared" si="2"/>
        <v>4.6732586031503782E-3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4052.15</v>
      </c>
      <c r="C26" s="39">
        <f>IF(ISERROR(B26*3.6/1000000/'E Balans VL '!Z12*100),0,B26*3.6/1000000/'E Balans VL '!Z12*100)</f>
        <v>0.10872409305630719</v>
      </c>
      <c r="D26" s="232" t="s">
        <v>621</v>
      </c>
      <c r="F26" s="6"/>
    </row>
    <row r="27" spans="1:18">
      <c r="A27" s="227" t="s">
        <v>52</v>
      </c>
      <c r="B27" s="33">
        <f>IF(ISERROR(TER_horeca_ele_kWh/1000),0,TER_horeca_ele_kWh/1000)</f>
        <v>886.57500000000005</v>
      </c>
      <c r="C27" s="39">
        <f>IF(ISERROR(B27*3.6/1000000/'E Balans VL '!Z9*100),0,B27*3.6/1000000/'E Balans VL '!Z9*100)</f>
        <v>7.0432190859088625E-2</v>
      </c>
      <c r="D27" s="232" t="s">
        <v>621</v>
      </c>
      <c r="F27" s="6"/>
    </row>
    <row r="28" spans="1:18">
      <c r="A28" s="167" t="s">
        <v>51</v>
      </c>
      <c r="B28" s="33">
        <f>IF(ISERROR(TER_handel_ele_kWh/1000),0,TER_handel_ele_kWh/1000)</f>
        <v>5915.2659999999996</v>
      </c>
      <c r="C28" s="39">
        <f>IF(ISERROR(B28*3.6/1000000/'E Balans VL '!Z13*100),0,B28*3.6/1000000/'E Balans VL '!Z13*100)</f>
        <v>0.17302083096708359</v>
      </c>
      <c r="D28" s="232" t="s">
        <v>621</v>
      </c>
      <c r="F28" s="6"/>
    </row>
    <row r="29" spans="1:18">
      <c r="A29" s="227" t="s">
        <v>50</v>
      </c>
      <c r="B29" s="33">
        <f>IF(ISERROR(TER_gezond_ele_kWh/1000),0,TER_gezond_ele_kWh/1000)</f>
        <v>1175.508</v>
      </c>
      <c r="C29" s="39">
        <f>IF(ISERROR(B29*3.6/1000000/'E Balans VL '!Z10*100),0,B29*3.6/1000000/'E Balans VL '!Z10*100)</f>
        <v>0.12476360715073324</v>
      </c>
      <c r="D29" s="232" t="s">
        <v>621</v>
      </c>
      <c r="F29" s="6"/>
    </row>
    <row r="30" spans="1:18">
      <c r="A30" s="227" t="s">
        <v>49</v>
      </c>
      <c r="B30" s="33">
        <f>IF(ISERROR(TER_ander_ele_kWh/1000),0,TER_ander_ele_kWh/1000)</f>
        <v>1089.7360000000001</v>
      </c>
      <c r="C30" s="39">
        <f>IF(ISERROR(B30*3.6/1000000/'E Balans VL '!Z14*100),0,B30*3.6/1000000/'E Balans VL '!Z14*100)</f>
        <v>5.0687568004320921E-2</v>
      </c>
      <c r="D30" s="232" t="s">
        <v>621</v>
      </c>
      <c r="F30" s="6"/>
    </row>
    <row r="31" spans="1:18">
      <c r="A31" s="227" t="s">
        <v>54</v>
      </c>
      <c r="B31" s="33">
        <f>IF(ISERROR(TER_onderwijs_ele_kWh/1000),0,TER_onderwijs_ele_kWh/1000)</f>
        <v>853.28099999999995</v>
      </c>
      <c r="C31" s="39">
        <f>IF(ISERROR(B31*3.6/1000000/'E Balans VL '!Z11*100),0,B31*3.6/1000000/'E Balans VL '!Z11*100)</f>
        <v>0.21355854944497676</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5041.1469999999999</v>
      </c>
      <c r="C5" s="17">
        <f>IF(ISERROR('Eigen informatie GS &amp; warmtenet'!B59),0,'Eigen informatie GS &amp; warmtenet'!B59)</f>
        <v>0</v>
      </c>
      <c r="D5" s="30">
        <f>SUM(D6:D15)</f>
        <v>1434.0925060000002</v>
      </c>
      <c r="E5" s="17">
        <f>SUM(E6:E15)</f>
        <v>454.45183801923071</v>
      </c>
      <c r="F5" s="17">
        <f>SUM(F6:F15)</f>
        <v>2172.9520770130871</v>
      </c>
      <c r="G5" s="18"/>
      <c r="H5" s="17"/>
      <c r="I5" s="17"/>
      <c r="J5" s="17">
        <f>SUM(J6:J15)</f>
        <v>5.2239218708386215</v>
      </c>
      <c r="K5" s="17"/>
      <c r="L5" s="17"/>
      <c r="M5" s="17"/>
      <c r="N5" s="17">
        <f>SUM(N6:N15)</f>
        <v>869.14566556708087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992.98500000000001</v>
      </c>
      <c r="C8" s="33"/>
      <c r="D8" s="37">
        <f>IF( ISERROR(IND_metaal_Gas_kWH/1000),0,IND_metaal_Gas_kWH/1000)*0.902</f>
        <v>285.84379999999999</v>
      </c>
      <c r="E8" s="33">
        <f>C30*'E Balans VL '!I18/100/3.6*1000000</f>
        <v>35.730604283259034</v>
      </c>
      <c r="F8" s="33">
        <f>C30*'E Balans VL '!L18/100/3.6*1000000+C30*'E Balans VL '!N18/100/3.6*1000000</f>
        <v>433.60436038952218</v>
      </c>
      <c r="G8" s="34"/>
      <c r="H8" s="33"/>
      <c r="I8" s="33"/>
      <c r="J8" s="40">
        <f>C30*'E Balans VL '!D18/100/3.6*1000000+C30*'E Balans VL '!E18/100/3.6*1000000</f>
        <v>0</v>
      </c>
      <c r="K8" s="33"/>
      <c r="L8" s="33"/>
      <c r="M8" s="33"/>
      <c r="N8" s="33">
        <f>C30*'E Balans VL '!Y18/100/3.6*1000000</f>
        <v>49.767733395190447</v>
      </c>
      <c r="O8" s="33"/>
      <c r="P8" s="33"/>
      <c r="R8" s="32"/>
    </row>
    <row r="9" spans="1:18">
      <c r="A9" s="6" t="s">
        <v>32</v>
      </c>
      <c r="B9" s="37">
        <f t="shared" si="0"/>
        <v>1387.655</v>
      </c>
      <c r="C9" s="33"/>
      <c r="D9" s="37">
        <f>IF( ISERROR(IND_andere_gas_kWh/1000),0,IND_andere_gas_kWh/1000)*0.902</f>
        <v>715.41949600000009</v>
      </c>
      <c r="E9" s="33">
        <f>C31*'E Balans VL '!I19/100/3.6*1000000</f>
        <v>354.09815942623959</v>
      </c>
      <c r="F9" s="33">
        <f>C31*'E Balans VL '!L19/100/3.6*1000000+C31*'E Balans VL '!N19/100/3.6*1000000</f>
        <v>1194.6666547953564</v>
      </c>
      <c r="G9" s="34"/>
      <c r="H9" s="33"/>
      <c r="I9" s="33"/>
      <c r="J9" s="40">
        <f>C31*'E Balans VL '!D19/100/3.6*1000000+C31*'E Balans VL '!E19/100/3.6*1000000</f>
        <v>0</v>
      </c>
      <c r="K9" s="33"/>
      <c r="L9" s="33"/>
      <c r="M9" s="33"/>
      <c r="N9" s="33">
        <f>C31*'E Balans VL '!Y19/100/3.6*1000000</f>
        <v>109.46974155486747</v>
      </c>
      <c r="O9" s="33"/>
      <c r="P9" s="33"/>
      <c r="R9" s="32"/>
    </row>
    <row r="10" spans="1:18">
      <c r="A10" s="6" t="s">
        <v>40</v>
      </c>
      <c r="B10" s="37">
        <f t="shared" si="0"/>
        <v>1847.22</v>
      </c>
      <c r="C10" s="33"/>
      <c r="D10" s="37">
        <f>IF( ISERROR(IND_voed_gas_kWh/1000),0,IND_voed_gas_kWh/1000)*0.902</f>
        <v>200.36306400000001</v>
      </c>
      <c r="E10" s="33">
        <f>C32*'E Balans VL '!I20/100/3.6*1000000</f>
        <v>46.958868840917049</v>
      </c>
      <c r="F10" s="33">
        <f>C32*'E Balans VL '!L20/100/3.6*1000000+C32*'E Balans VL '!N20/100/3.6*1000000</f>
        <v>417.9981568364355</v>
      </c>
      <c r="G10" s="34"/>
      <c r="H10" s="33"/>
      <c r="I10" s="33"/>
      <c r="J10" s="40">
        <f>C32*'E Balans VL '!D20/100/3.6*1000000+C32*'E Balans VL '!E20/100/3.6*1000000</f>
        <v>0</v>
      </c>
      <c r="K10" s="33"/>
      <c r="L10" s="33"/>
      <c r="M10" s="33"/>
      <c r="N10" s="33">
        <f>C32*'E Balans VL '!Y20/100/3.6*1000000</f>
        <v>692.75757086757051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710.08799999999997</v>
      </c>
      <c r="C12" s="33"/>
      <c r="D12" s="37">
        <f>IF( ISERROR(IND_min_gas_kWh/1000),0,IND_min_gas_kWh/1000)*0.902</f>
        <v>0</v>
      </c>
      <c r="E12" s="33">
        <f>C34*'E Balans VL '!I22/100/3.6*1000000</f>
        <v>15.087590361679814</v>
      </c>
      <c r="F12" s="33">
        <f>C34*'E Balans VL '!L22/100/3.6*1000000+C34*'E Balans VL '!N22/100/3.6*1000000</f>
        <v>115.85690863996172</v>
      </c>
      <c r="G12" s="34"/>
      <c r="H12" s="33"/>
      <c r="I12" s="33"/>
      <c r="J12" s="40">
        <f>C34*'E Balans VL '!D22/100/3.6*1000000+C34*'E Balans VL '!E22/100/3.6*1000000</f>
        <v>0.82731878577568996</v>
      </c>
      <c r="K12" s="33"/>
      <c r="L12" s="33"/>
      <c r="M12" s="33"/>
      <c r="N12" s="33">
        <f>C34*'E Balans VL '!Y22/100/3.6*1000000</f>
        <v>0</v>
      </c>
      <c r="O12" s="33"/>
      <c r="P12" s="33"/>
      <c r="R12" s="32"/>
    </row>
    <row r="13" spans="1:18">
      <c r="A13" s="6" t="s">
        <v>38</v>
      </c>
      <c r="B13" s="37">
        <f t="shared" si="0"/>
        <v>60.505000000000003</v>
      </c>
      <c r="C13" s="33"/>
      <c r="D13" s="37">
        <f>IF( ISERROR(IND_papier_gas_kWh/1000),0,IND_papier_gas_kWh/1000)*0.902</f>
        <v>93.650150000000011</v>
      </c>
      <c r="E13" s="33">
        <f>C35*'E Balans VL '!I23/100/3.6*1000000</f>
        <v>0.25948834301950507</v>
      </c>
      <c r="F13" s="33">
        <f>C35*'E Balans VL '!L23/100/3.6*1000000+C35*'E Balans VL '!N23/100/3.6*1000000</f>
        <v>1.5206784455649265</v>
      </c>
      <c r="G13" s="34"/>
      <c r="H13" s="33"/>
      <c r="I13" s="33"/>
      <c r="J13" s="40">
        <f>C35*'E Balans VL '!D23/100/3.6*1000000+C35*'E Balans VL '!E23/100/3.6*1000000</f>
        <v>4.0504778937262271</v>
      </c>
      <c r="K13" s="33"/>
      <c r="L13" s="33"/>
      <c r="M13" s="33"/>
      <c r="N13" s="33">
        <f>C35*'E Balans VL '!Y23/100/3.6*1000000</f>
        <v>14.754970194763249</v>
      </c>
      <c r="O13" s="33"/>
      <c r="P13" s="33"/>
      <c r="R13" s="32"/>
    </row>
    <row r="14" spans="1:18">
      <c r="A14" s="6" t="s">
        <v>33</v>
      </c>
      <c r="B14" s="37">
        <f t="shared" si="0"/>
        <v>0</v>
      </c>
      <c r="C14" s="33"/>
      <c r="D14" s="37">
        <f>IF( ISERROR(IND_chemie_gas_kWh/1000),0,IND_chemie_gas_kWh/1000)*0.902</f>
        <v>106.424274</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42.694000000000003</v>
      </c>
      <c r="C15" s="33"/>
      <c r="D15" s="37">
        <f>IF( ISERROR(IND_rest_gas_kWh/1000),0,IND_rest_gas_kWh/1000)*0.902</f>
        <v>32.391722000000001</v>
      </c>
      <c r="E15" s="33">
        <f>C37*'E Balans VL '!I15/100/3.6*1000000</f>
        <v>2.3171267641157671</v>
      </c>
      <c r="F15" s="33">
        <f>C37*'E Balans VL '!L15/100/3.6*1000000+C37*'E Balans VL '!N15/100/3.6*1000000</f>
        <v>9.3053179062464721</v>
      </c>
      <c r="G15" s="34"/>
      <c r="H15" s="33"/>
      <c r="I15" s="33"/>
      <c r="J15" s="40">
        <f>C37*'E Balans VL '!D15/100/3.6*1000000+C37*'E Balans VL '!E15/100/3.6*1000000</f>
        <v>0.34612519133670427</v>
      </c>
      <c r="K15" s="33"/>
      <c r="L15" s="33"/>
      <c r="M15" s="33"/>
      <c r="N15" s="33">
        <f>C37*'E Balans VL '!Y15/100/3.6*1000000</f>
        <v>2.3956495546892462</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5041.1469999999999</v>
      </c>
      <c r="C18" s="21">
        <f>C5+C16</f>
        <v>0</v>
      </c>
      <c r="D18" s="21">
        <f>MAX((D5+D16),0)</f>
        <v>1434.0925060000002</v>
      </c>
      <c r="E18" s="21">
        <f>MAX((E5+E16),0)</f>
        <v>454.45183801923071</v>
      </c>
      <c r="F18" s="21">
        <f>MAX((F5+F16),0)</f>
        <v>2172.9520770130871</v>
      </c>
      <c r="G18" s="21"/>
      <c r="H18" s="21"/>
      <c r="I18" s="21"/>
      <c r="J18" s="21">
        <f>MAX((J5+J16),0)</f>
        <v>5.2239218708386215</v>
      </c>
      <c r="K18" s="21"/>
      <c r="L18" s="21">
        <f>MAX((L5+L16),0)</f>
        <v>0</v>
      </c>
      <c r="M18" s="21"/>
      <c r="N18" s="21">
        <f>MAX((N5+N16),0)</f>
        <v>869.14566556708087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0.16503221070980295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831.95163392309098</v>
      </c>
      <c r="C22" s="23">
        <f ca="1">C18*C20</f>
        <v>0</v>
      </c>
      <c r="D22" s="23">
        <f>D18*D20</f>
        <v>289.68668621200004</v>
      </c>
      <c r="E22" s="23">
        <f>E18*E20</f>
        <v>103.16056723036537</v>
      </c>
      <c r="F22" s="23">
        <f>F18*F20</f>
        <v>580.17820456249433</v>
      </c>
      <c r="G22" s="23"/>
      <c r="H22" s="23"/>
      <c r="I22" s="23"/>
      <c r="J22" s="23">
        <f>J18*J20</f>
        <v>1.8492683422768719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992.98500000000001</v>
      </c>
      <c r="C30" s="39">
        <f>IF(ISERROR(B30*3.6/1000000/'E Balans VL '!Z18*100),0,B30*3.6/1000000/'E Balans VL '!Z18*100)</f>
        <v>0.21039223246268413</v>
      </c>
      <c r="D30" s="232" t="s">
        <v>621</v>
      </c>
    </row>
    <row r="31" spans="1:18">
      <c r="A31" s="6" t="s">
        <v>32</v>
      </c>
      <c r="B31" s="37">
        <f>IF( ISERROR(IND_ander_ele_kWh/1000),0,IND_ander_ele_kWh/1000)</f>
        <v>1387.655</v>
      </c>
      <c r="C31" s="39">
        <f>IF(ISERROR(B31*3.6/1000000/'E Balans VL '!Z19*100),0,B31*3.6/1000000/'E Balans VL '!Z19*100)</f>
        <v>5.8409549849829566E-2</v>
      </c>
      <c r="D31" s="232" t="s">
        <v>621</v>
      </c>
    </row>
    <row r="32" spans="1:18">
      <c r="A32" s="167" t="s">
        <v>40</v>
      </c>
      <c r="B32" s="37">
        <f>IF( ISERROR(IND_voed_ele_kWh/1000),0,IND_voed_ele_kWh/1000)</f>
        <v>1847.22</v>
      </c>
      <c r="C32" s="39">
        <f>IF(ISERROR(B32*3.6/1000000/'E Balans VL '!Z20*100),0,B32*3.6/1000000/'E Balans VL '!Z20*100)</f>
        <v>0.30859900085687741</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710.08799999999997</v>
      </c>
      <c r="C34" s="39">
        <f>IF(ISERROR(B34*3.6/1000000/'E Balans VL '!Z22*100),0,B34*3.6/1000000/'E Balans VL '!Z22*100)</f>
        <v>9.0007483493273741E-2</v>
      </c>
      <c r="D34" s="232" t="s">
        <v>621</v>
      </c>
    </row>
    <row r="35" spans="1:5">
      <c r="A35" s="167" t="s">
        <v>38</v>
      </c>
      <c r="B35" s="37">
        <f>IF( ISERROR(IND_papier_ele_kWh/1000),0,IND_papier_ele_kWh/1000)</f>
        <v>60.505000000000003</v>
      </c>
      <c r="C35" s="39">
        <f>IF(ISERROR(B35*3.6/1000000/'E Balans VL '!Z22*100),0,B35*3.6/1000000/'E Balans VL '!Z22*100)</f>
        <v>7.6693350525012787E-3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42.694000000000003</v>
      </c>
      <c r="C37" s="39">
        <f>IF(ISERROR(B37*3.6/1000000/'E Balans VL '!Z15*100),0,B37*3.6/1000000/'E Balans VL '!Z15*100)</f>
        <v>3.4468519387451774E-4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3166.5920000000001</v>
      </c>
      <c r="C5" s="17">
        <f>'Eigen informatie GS &amp; warmtenet'!B60</f>
        <v>0</v>
      </c>
      <c r="D5" s="30">
        <f>IF(ISERROR(SUM(LB_lb_gas_kWh,LB_rest_gas_kWh)/1000),0,SUM(LB_lb_gas_kWh,LB_rest_gas_kWh)/1000)*0.902</f>
        <v>2726.6179160000002</v>
      </c>
      <c r="E5" s="17">
        <f>B17*'E Balans VL '!I25/3.6*1000000/100</f>
        <v>62.732910812372836</v>
      </c>
      <c r="F5" s="17">
        <f>B17*('E Balans VL '!L25/3.6*1000000+'E Balans VL '!N25/3.6*1000000)/100</f>
        <v>11547.667912938758</v>
      </c>
      <c r="G5" s="18"/>
      <c r="H5" s="17"/>
      <c r="I5" s="17"/>
      <c r="J5" s="17">
        <f>('E Balans VL '!D25+'E Balans VL '!E25)/3.6*1000000*landbouw!B17/100</f>
        <v>751.87651990602262</v>
      </c>
      <c r="K5" s="17"/>
      <c r="L5" s="17">
        <f>L6*(-1)</f>
        <v>0</v>
      </c>
      <c r="M5" s="17"/>
      <c r="N5" s="17">
        <f>N6*(-1)</f>
        <v>12857.142857142859</v>
      </c>
      <c r="O5" s="17"/>
      <c r="P5" s="17"/>
      <c r="R5" s="32"/>
    </row>
    <row r="6" spans="1:18">
      <c r="A6" s="16" t="s">
        <v>477</v>
      </c>
      <c r="B6" s="17" t="s">
        <v>204</v>
      </c>
      <c r="C6" s="17">
        <f>'lokale energieproductie'!O39+'lokale energieproductie'!O32</f>
        <v>6428.5714285714284</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-12857.142857142859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3166.5920000000001</v>
      </c>
      <c r="C8" s="21">
        <f>C5+C6</f>
        <v>6428.5714285714284</v>
      </c>
      <c r="D8" s="21">
        <f>MAX((D5+D6),0)</f>
        <v>2726.6179160000002</v>
      </c>
      <c r="E8" s="21">
        <f>MAX((E5+E6),0)</f>
        <v>62.732910812372836</v>
      </c>
      <c r="F8" s="21">
        <f>MAX((F5+F6),0)</f>
        <v>11547.667912938758</v>
      </c>
      <c r="G8" s="21"/>
      <c r="H8" s="21"/>
      <c r="I8" s="21"/>
      <c r="J8" s="21">
        <f>MAX((J5+J6),0)</f>
        <v>751.87651990602262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0.16503221070980295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522.58967817597636</v>
      </c>
      <c r="C12" s="23">
        <f ca="1">C8*C10</f>
        <v>0</v>
      </c>
      <c r="D12" s="23">
        <f>D8*D10</f>
        <v>550.77681903200005</v>
      </c>
      <c r="E12" s="23">
        <f>E8*E10</f>
        <v>14.240370754408634</v>
      </c>
      <c r="F12" s="23">
        <f>F8*F10</f>
        <v>3083.2273327546486</v>
      </c>
      <c r="G12" s="23"/>
      <c r="H12" s="23"/>
      <c r="I12" s="23"/>
      <c r="J12" s="23">
        <f>J8*J10</f>
        <v>266.164288046732</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0.44651044703508747</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139.76648517329306</v>
      </c>
      <c r="C26" s="242">
        <f>B26*'GWP N2O_CH4'!B5</f>
        <v>2935.0961886391542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34.999451353602389</v>
      </c>
      <c r="C27" s="242">
        <f>B27*'GWP N2O_CH4'!B5</f>
        <v>734.98847842565021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2.7051160288675473</v>
      </c>
      <c r="C28" s="242">
        <f>B28*'GWP N2O_CH4'!B4</f>
        <v>838.58596894893969</v>
      </c>
      <c r="D28" s="50"/>
    </row>
    <row r="29" spans="1:4">
      <c r="A29" s="41" t="s">
        <v>266</v>
      </c>
      <c r="B29" s="242">
        <f>B34*'ha_N2O bodem landbouw'!B4</f>
        <v>15.248690047937487</v>
      </c>
      <c r="C29" s="242">
        <f>B29*'GWP N2O_CH4'!B4</f>
        <v>4727.0939148606212</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3.4317838987077153E-3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9.4927418098396786E-5</v>
      </c>
      <c r="C5" s="427" t="s">
        <v>204</v>
      </c>
      <c r="D5" s="412">
        <f>SUM(D6:D11)</f>
        <v>1.6305719808494795E-4</v>
      </c>
      <c r="E5" s="412">
        <f>SUM(E6:E11)</f>
        <v>7.3176148756577295E-4</v>
      </c>
      <c r="F5" s="425" t="s">
        <v>204</v>
      </c>
      <c r="G5" s="412">
        <f>SUM(G6:G11)</f>
        <v>0.28535473675741813</v>
      </c>
      <c r="H5" s="412">
        <f>SUM(H6:H11)</f>
        <v>5.612954102865602E-2</v>
      </c>
      <c r="I5" s="427" t="s">
        <v>204</v>
      </c>
      <c r="J5" s="427" t="s">
        <v>204</v>
      </c>
      <c r="K5" s="427" t="s">
        <v>204</v>
      </c>
      <c r="L5" s="427" t="s">
        <v>204</v>
      </c>
      <c r="M5" s="412">
        <f>SUM(M6:M11)</f>
        <v>1.0659446992883431E-2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6.5512160774505883E-5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1.0322944063684594E-4</v>
      </c>
      <c r="E6" s="818">
        <f>vkm_GW_PW*SUMIFS(TableVerdeelsleutelVkm[LPG],TableVerdeelsleutelVkm[Voertuigtype],"Lichte voertuigen")*SUMIFS(TableECFTransport[EnergieConsumptieFactor (PJ per km)],TableECFTransport[Index],CONCATENATE($A6,"_LPG_LPG"))</f>
        <v>4.7121809198592438E-4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0.12722980191678673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3.5925944271969809E-2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5.0793671437027784E-3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2.3632963527657722E-6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8.1460142394823742E-2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1.6549321647005263E-6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2.5627461909493525E-3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2.6802084561123374E-5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5.9827757448102011E-5</v>
      </c>
      <c r="E8" s="415">
        <f>vkm_NGW_PW*SUMIFS(TableVerdeelsleutelVkm[LPG],TableVerdeelsleutelVkm[Voertuigtype],"Lichte voertuigen")*SUMIFS(TableECFTransport[EnergieConsumptieFactor (PJ per km)],TableECFTransport[Index],CONCATENATE($A8,"_LPG_LPG"))</f>
        <v>2.6054339557984857E-4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6.5590568150792672E-2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2.0201730619754558E-2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2.6689376002691579E-3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2.4987641000175263E-7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1.1074224295014989E-2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2.1120476694868078E-7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3.4839605796214333E-4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26.368727249554663</v>
      </c>
      <c r="C14" s="21"/>
      <c r="D14" s="21">
        <f t="shared" ref="D14:M14" si="0">((D5)*10^9/3600)+D12</f>
        <v>45.293666134707763</v>
      </c>
      <c r="E14" s="21">
        <f t="shared" si="0"/>
        <v>203.26707987938138</v>
      </c>
      <c r="F14" s="21"/>
      <c r="G14" s="21">
        <f t="shared" si="0"/>
        <v>79265.204654838381</v>
      </c>
      <c r="H14" s="21">
        <f t="shared" si="0"/>
        <v>15591.539174626672</v>
      </c>
      <c r="I14" s="21"/>
      <c r="J14" s="21"/>
      <c r="K14" s="21"/>
      <c r="L14" s="21"/>
      <c r="M14" s="21">
        <f t="shared" si="0"/>
        <v>2960.957498023175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0.16503221070980295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4.3516893515978277</v>
      </c>
      <c r="C18" s="23"/>
      <c r="D18" s="23">
        <f t="shared" ref="D18:M18" si="1">D14*D16</f>
        <v>9.1493205592109685</v>
      </c>
      <c r="E18" s="23">
        <f t="shared" si="1"/>
        <v>46.141627132619575</v>
      </c>
      <c r="F18" s="23"/>
      <c r="G18" s="23">
        <f t="shared" si="1"/>
        <v>21163.80964284185</v>
      </c>
      <c r="H18" s="23">
        <f t="shared" si="1"/>
        <v>3882.2932544820414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2.1713064488399389E-5</v>
      </c>
      <c r="C50" s="311">
        <f t="shared" ref="C50:P50" si="2">SUM(C51:C52)</f>
        <v>0</v>
      </c>
      <c r="D50" s="311">
        <f t="shared" si="2"/>
        <v>0</v>
      </c>
      <c r="E50" s="311">
        <f t="shared" si="2"/>
        <v>0</v>
      </c>
      <c r="F50" s="311">
        <f t="shared" si="2"/>
        <v>0</v>
      </c>
      <c r="G50" s="311">
        <f t="shared" si="2"/>
        <v>3.8714853677193546E-3</v>
      </c>
      <c r="H50" s="311">
        <f t="shared" si="2"/>
        <v>0</v>
      </c>
      <c r="I50" s="311">
        <f t="shared" si="2"/>
        <v>0</v>
      </c>
      <c r="J50" s="311">
        <f t="shared" si="2"/>
        <v>0</v>
      </c>
      <c r="K50" s="311">
        <f t="shared" si="2"/>
        <v>0</v>
      </c>
      <c r="L50" s="311">
        <f t="shared" si="2"/>
        <v>0</v>
      </c>
      <c r="M50" s="311">
        <f t="shared" si="2"/>
        <v>1.2085277259148463E-4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2.1713064488399389E-5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3.8714853677193546E-3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1.2085277259148463E-4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6.0314068023331631</v>
      </c>
      <c r="C54" s="21">
        <f t="shared" ref="C54:P54" si="3">(C50)*10^9/3600</f>
        <v>0</v>
      </c>
      <c r="D54" s="21">
        <f t="shared" si="3"/>
        <v>0</v>
      </c>
      <c r="E54" s="21">
        <f t="shared" si="3"/>
        <v>0</v>
      </c>
      <c r="F54" s="21">
        <f t="shared" si="3"/>
        <v>0</v>
      </c>
      <c r="G54" s="21">
        <f t="shared" si="3"/>
        <v>1075.4126021442651</v>
      </c>
      <c r="H54" s="21">
        <f t="shared" si="3"/>
        <v>0</v>
      </c>
      <c r="I54" s="21">
        <f t="shared" si="3"/>
        <v>0</v>
      </c>
      <c r="J54" s="21">
        <f t="shared" si="3"/>
        <v>0</v>
      </c>
      <c r="K54" s="21">
        <f t="shared" si="3"/>
        <v>0</v>
      </c>
      <c r="L54" s="21">
        <f t="shared" si="3"/>
        <v>0</v>
      </c>
      <c r="M54" s="21">
        <f t="shared" si="3"/>
        <v>33.570214608745729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0.16503221070980295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0.99537639827918545</v>
      </c>
      <c r="C58" s="23">
        <f t="shared" ref="C58:P58" ca="1" si="4">C54*C56</f>
        <v>0</v>
      </c>
      <c r="D58" s="23">
        <f t="shared" si="4"/>
        <v>0</v>
      </c>
      <c r="E58" s="23">
        <f t="shared" si="4"/>
        <v>0</v>
      </c>
      <c r="F58" s="23">
        <f t="shared" si="4"/>
        <v>0</v>
      </c>
      <c r="G58" s="23">
        <f t="shared" si="4"/>
        <v>287.13516477251881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7223.8008712667415</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4500</v>
      </c>
      <c r="C8" s="534">
        <f>B48</f>
        <v>0</v>
      </c>
      <c r="D8" s="961"/>
      <c r="E8" s="961">
        <f>E48</f>
        <v>0</v>
      </c>
      <c r="F8" s="962"/>
      <c r="G8" s="535"/>
      <c r="H8" s="961">
        <f>I48</f>
        <v>0</v>
      </c>
      <c r="I8" s="961">
        <f>G48+F48</f>
        <v>0</v>
      </c>
      <c r="J8" s="961">
        <f>H48+D48+C48</f>
        <v>5294.1176470588243</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11723.800871266742</v>
      </c>
      <c r="C10" s="547">
        <f t="shared" ref="C10:L10" si="0">SUM(C8:C9)</f>
        <v>0</v>
      </c>
      <c r="D10" s="547">
        <f t="shared" si="0"/>
        <v>0</v>
      </c>
      <c r="E10" s="547">
        <f t="shared" si="0"/>
        <v>0</v>
      </c>
      <c r="F10" s="547">
        <f t="shared" si="0"/>
        <v>0</v>
      </c>
      <c r="G10" s="547">
        <f t="shared" si="0"/>
        <v>0</v>
      </c>
      <c r="H10" s="547">
        <f t="shared" si="0"/>
        <v>0</v>
      </c>
      <c r="I10" s="547">
        <f t="shared" si="0"/>
        <v>0</v>
      </c>
      <c r="J10" s="547">
        <f t="shared" si="0"/>
        <v>5294.1176470588243</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6428.5714285714284</v>
      </c>
      <c r="C17" s="559">
        <f>B49</f>
        <v>0</v>
      </c>
      <c r="D17" s="560"/>
      <c r="E17" s="560">
        <f>E49</f>
        <v>0</v>
      </c>
      <c r="F17" s="967"/>
      <c r="G17" s="561"/>
      <c r="H17" s="559">
        <f>I49</f>
        <v>0</v>
      </c>
      <c r="I17" s="560">
        <f>G49+F49</f>
        <v>0</v>
      </c>
      <c r="J17" s="560">
        <f>H49+D49+C49</f>
        <v>7563.0252100840344</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6428.5714285714284</v>
      </c>
      <c r="C20" s="546">
        <f>SUM(C17:C19)</f>
        <v>0</v>
      </c>
      <c r="D20" s="546">
        <f t="shared" ref="D20:L20" si="1">SUM(D17:D19)</f>
        <v>0</v>
      </c>
      <c r="E20" s="546">
        <f t="shared" si="1"/>
        <v>0</v>
      </c>
      <c r="F20" s="546">
        <f t="shared" si="1"/>
        <v>0</v>
      </c>
      <c r="G20" s="546">
        <f t="shared" si="1"/>
        <v>0</v>
      </c>
      <c r="H20" s="546">
        <f t="shared" si="1"/>
        <v>0</v>
      </c>
      <c r="I20" s="546">
        <f t="shared" si="1"/>
        <v>0</v>
      </c>
      <c r="J20" s="546">
        <f t="shared" si="1"/>
        <v>7563.0252100840344</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71024</v>
      </c>
      <c r="C28" s="724">
        <v>3540</v>
      </c>
      <c r="D28" s="617"/>
      <c r="E28" s="616"/>
      <c r="F28" s="616"/>
      <c r="G28" s="616" t="s">
        <v>887</v>
      </c>
      <c r="H28" s="616" t="s">
        <v>888</v>
      </c>
      <c r="I28" s="616"/>
      <c r="J28" s="723"/>
      <c r="K28" s="723"/>
      <c r="L28" s="616" t="s">
        <v>889</v>
      </c>
      <c r="M28" s="616">
        <v>1000</v>
      </c>
      <c r="N28" s="616">
        <v>4500</v>
      </c>
      <c r="O28" s="616">
        <v>6428.5714285714284</v>
      </c>
      <c r="P28" s="616">
        <v>0</v>
      </c>
      <c r="Q28" s="616">
        <v>12857.142857142859</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1000</v>
      </c>
      <c r="N29" s="574">
        <f>SUM(N28:N28)</f>
        <v>4500</v>
      </c>
      <c r="O29" s="574">
        <f>SUM(O28:O28)</f>
        <v>6428.5714285714284</v>
      </c>
      <c r="P29" s="574">
        <f>SUM(P28:P28)</f>
        <v>0</v>
      </c>
      <c r="Q29" s="574">
        <f>SUM(Q28:Q28)</f>
        <v>12857.142857142859</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1000</v>
      </c>
      <c r="N32" s="579">
        <f>SUMIF($AA$28:$AA$28,"landbouw",N28:N28)</f>
        <v>4500</v>
      </c>
      <c r="O32" s="579">
        <f>SUMIF($AA$28:$AA$28,"landbouw",O28:O28)</f>
        <v>6428.5714285714284</v>
      </c>
      <c r="P32" s="579">
        <f>SUMIF($AA$28:$AA$28,"landbouw",P28:P28)</f>
        <v>0</v>
      </c>
      <c r="Q32" s="579">
        <f>SUMIF($AA$28:$AA$28,"landbouw",Q28:Q28)</f>
        <v>12857.142857142859</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0.41176470588235298</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5294.1176470588243</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7563.0252100840344</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14889.992</v>
      </c>
      <c r="D10" s="930">
        <f ca="1">tertiair!C16</f>
        <v>0</v>
      </c>
      <c r="E10" s="930">
        <f ca="1">tertiair!D16</f>
        <v>9833.7338880000007</v>
      </c>
      <c r="F10" s="930">
        <f>tertiair!E16</f>
        <v>230.12726628482469</v>
      </c>
      <c r="G10" s="930">
        <f ca="1">tertiair!F16</f>
        <v>2680.5011737252644</v>
      </c>
      <c r="H10" s="930">
        <f>tertiair!G16</f>
        <v>0</v>
      </c>
      <c r="I10" s="930">
        <f>tertiair!H16</f>
        <v>0</v>
      </c>
      <c r="J10" s="930">
        <f>tertiair!I16</f>
        <v>0</v>
      </c>
      <c r="K10" s="930">
        <f>tertiair!J16</f>
        <v>1.3201295489125362E-2</v>
      </c>
      <c r="L10" s="930">
        <f>tertiair!K16</f>
        <v>0</v>
      </c>
      <c r="M10" s="930">
        <f ca="1">tertiair!L16</f>
        <v>0</v>
      </c>
      <c r="N10" s="930">
        <f>tertiair!M16</f>
        <v>0</v>
      </c>
      <c r="O10" s="930">
        <f ca="1">tertiair!N16</f>
        <v>486.23320299999784</v>
      </c>
      <c r="P10" s="930">
        <f>tertiair!O16</f>
        <v>4.6900000000000004</v>
      </c>
      <c r="Q10" s="931">
        <f>tertiair!P16</f>
        <v>38.133333333333333</v>
      </c>
      <c r="R10" s="628">
        <f ca="1">SUM(C10:Q10)</f>
        <v>28163.424065638908</v>
      </c>
      <c r="S10" s="67"/>
    </row>
    <row r="11" spans="1:19" s="437" customFormat="1">
      <c r="A11" s="736" t="s">
        <v>214</v>
      </c>
      <c r="B11" s="741"/>
      <c r="C11" s="930">
        <f>huishoudens!B8</f>
        <v>22767.422361610086</v>
      </c>
      <c r="D11" s="930">
        <f>huishoudens!C8</f>
        <v>0</v>
      </c>
      <c r="E11" s="930">
        <f>huishoudens!D8</f>
        <v>31849.917660000003</v>
      </c>
      <c r="F11" s="930">
        <f>huishoudens!E8</f>
        <v>1546.5870006746929</v>
      </c>
      <c r="G11" s="930">
        <f>huishoudens!F8</f>
        <v>42048.639277892682</v>
      </c>
      <c r="H11" s="930">
        <f>huishoudens!G8</f>
        <v>0</v>
      </c>
      <c r="I11" s="930">
        <f>huishoudens!H8</f>
        <v>0</v>
      </c>
      <c r="J11" s="930">
        <f>huishoudens!I8</f>
        <v>0</v>
      </c>
      <c r="K11" s="930">
        <f>huishoudens!J8</f>
        <v>775.45201239862229</v>
      </c>
      <c r="L11" s="930">
        <f>huishoudens!K8</f>
        <v>0</v>
      </c>
      <c r="M11" s="930">
        <f>huishoudens!L8</f>
        <v>0</v>
      </c>
      <c r="N11" s="930">
        <f>huishoudens!M8</f>
        <v>0</v>
      </c>
      <c r="O11" s="930">
        <f>huishoudens!N8</f>
        <v>7076.1681403065613</v>
      </c>
      <c r="P11" s="930">
        <f>huishoudens!O8</f>
        <v>250.13333333333333</v>
      </c>
      <c r="Q11" s="931">
        <f>huishoudens!P8</f>
        <v>762.66666666666674</v>
      </c>
      <c r="R11" s="628">
        <f>SUM(C11:Q11)</f>
        <v>107076.98645288264</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5041.1469999999999</v>
      </c>
      <c r="D13" s="930">
        <f>industrie!C18</f>
        <v>0</v>
      </c>
      <c r="E13" s="930">
        <f>industrie!D18</f>
        <v>1434.0925060000002</v>
      </c>
      <c r="F13" s="930">
        <f>industrie!E18</f>
        <v>454.45183801923071</v>
      </c>
      <c r="G13" s="930">
        <f>industrie!F18</f>
        <v>2172.9520770130871</v>
      </c>
      <c r="H13" s="930">
        <f>industrie!G18</f>
        <v>0</v>
      </c>
      <c r="I13" s="930">
        <f>industrie!H18</f>
        <v>0</v>
      </c>
      <c r="J13" s="930">
        <f>industrie!I18</f>
        <v>0</v>
      </c>
      <c r="K13" s="930">
        <f>industrie!J18</f>
        <v>5.2239218708386215</v>
      </c>
      <c r="L13" s="930">
        <f>industrie!K18</f>
        <v>0</v>
      </c>
      <c r="M13" s="930">
        <f>industrie!L18</f>
        <v>0</v>
      </c>
      <c r="N13" s="930">
        <f>industrie!M18</f>
        <v>0</v>
      </c>
      <c r="O13" s="930">
        <f>industrie!N18</f>
        <v>869.14566556708087</v>
      </c>
      <c r="P13" s="930">
        <f>industrie!O18</f>
        <v>0</v>
      </c>
      <c r="Q13" s="931">
        <f>industrie!P18</f>
        <v>0</v>
      </c>
      <c r="R13" s="628">
        <f>SUM(C13:Q13)</f>
        <v>9977.0130084702359</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42698.561361610082</v>
      </c>
      <c r="D16" s="660">
        <f t="shared" ref="D16:R16" ca="1" si="0">SUM(D9:D15)</f>
        <v>0</v>
      </c>
      <c r="E16" s="660">
        <f t="shared" ca="1" si="0"/>
        <v>43117.744054000003</v>
      </c>
      <c r="F16" s="660">
        <f t="shared" si="0"/>
        <v>2231.1661049787481</v>
      </c>
      <c r="G16" s="660">
        <f t="shared" ca="1" si="0"/>
        <v>46902.09252863103</v>
      </c>
      <c r="H16" s="660">
        <f t="shared" si="0"/>
        <v>0</v>
      </c>
      <c r="I16" s="660">
        <f t="shared" si="0"/>
        <v>0</v>
      </c>
      <c r="J16" s="660">
        <f t="shared" si="0"/>
        <v>0</v>
      </c>
      <c r="K16" s="660">
        <f t="shared" si="0"/>
        <v>780.68913556494999</v>
      </c>
      <c r="L16" s="660">
        <f t="shared" si="0"/>
        <v>0</v>
      </c>
      <c r="M16" s="660">
        <f t="shared" ca="1" si="0"/>
        <v>0</v>
      </c>
      <c r="N16" s="660">
        <f t="shared" si="0"/>
        <v>0</v>
      </c>
      <c r="O16" s="660">
        <f t="shared" ca="1" si="0"/>
        <v>8431.5470088736402</v>
      </c>
      <c r="P16" s="660">
        <f t="shared" si="0"/>
        <v>254.82333333333332</v>
      </c>
      <c r="Q16" s="660">
        <f t="shared" si="0"/>
        <v>800.80000000000007</v>
      </c>
      <c r="R16" s="660">
        <f t="shared" ca="1" si="0"/>
        <v>145217.4235269918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6.0314068023331631</v>
      </c>
      <c r="D19" s="930">
        <f>transport!C54</f>
        <v>0</v>
      </c>
      <c r="E19" s="930">
        <f>transport!D54</f>
        <v>0</v>
      </c>
      <c r="F19" s="930">
        <f>transport!E54</f>
        <v>0</v>
      </c>
      <c r="G19" s="930">
        <f>transport!F54</f>
        <v>0</v>
      </c>
      <c r="H19" s="930">
        <f>transport!G54</f>
        <v>1075.4126021442651</v>
      </c>
      <c r="I19" s="930">
        <f>transport!H54</f>
        <v>0</v>
      </c>
      <c r="J19" s="930">
        <f>transport!I54</f>
        <v>0</v>
      </c>
      <c r="K19" s="930">
        <f>transport!J54</f>
        <v>0</v>
      </c>
      <c r="L19" s="930">
        <f>transport!K54</f>
        <v>0</v>
      </c>
      <c r="M19" s="930">
        <f>transport!L54</f>
        <v>0</v>
      </c>
      <c r="N19" s="930">
        <f>transport!M54</f>
        <v>33.570214608745729</v>
      </c>
      <c r="O19" s="930">
        <f>transport!N54</f>
        <v>0</v>
      </c>
      <c r="P19" s="930">
        <f>transport!O54</f>
        <v>0</v>
      </c>
      <c r="Q19" s="931">
        <f>transport!P54</f>
        <v>0</v>
      </c>
      <c r="R19" s="628">
        <f>SUM(C19:Q19)</f>
        <v>1115.014223555344</v>
      </c>
      <c r="S19" s="67"/>
    </row>
    <row r="20" spans="1:19" s="437" customFormat="1">
      <c r="A20" s="736" t="s">
        <v>296</v>
      </c>
      <c r="B20" s="741"/>
      <c r="C20" s="930">
        <f>transport!B14</f>
        <v>26.368727249554663</v>
      </c>
      <c r="D20" s="930">
        <f>transport!C14</f>
        <v>0</v>
      </c>
      <c r="E20" s="930">
        <f>transport!D14</f>
        <v>45.293666134707763</v>
      </c>
      <c r="F20" s="930">
        <f>transport!E14</f>
        <v>203.26707987938138</v>
      </c>
      <c r="G20" s="930">
        <f>transport!F14</f>
        <v>0</v>
      </c>
      <c r="H20" s="930">
        <f>transport!G14</f>
        <v>79265.204654838381</v>
      </c>
      <c r="I20" s="930">
        <f>transport!H14</f>
        <v>15591.539174626672</v>
      </c>
      <c r="J20" s="930">
        <f>transport!I14</f>
        <v>0</v>
      </c>
      <c r="K20" s="930">
        <f>transport!J14</f>
        <v>0</v>
      </c>
      <c r="L20" s="930">
        <f>transport!K14</f>
        <v>0</v>
      </c>
      <c r="M20" s="930">
        <f>transport!L14</f>
        <v>0</v>
      </c>
      <c r="N20" s="930">
        <f>transport!M14</f>
        <v>2960.957498023175</v>
      </c>
      <c r="O20" s="930">
        <f>transport!N14</f>
        <v>0</v>
      </c>
      <c r="P20" s="930">
        <f>transport!O14</f>
        <v>0</v>
      </c>
      <c r="Q20" s="931">
        <f>transport!P14</f>
        <v>0</v>
      </c>
      <c r="R20" s="628">
        <f>SUM(C20:Q20)</f>
        <v>98092.630800751867</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32.400134051887825</v>
      </c>
      <c r="D22" s="739">
        <f t="shared" ref="D22:R22" si="1">SUM(D18:D21)</f>
        <v>0</v>
      </c>
      <c r="E22" s="739">
        <f t="shared" si="1"/>
        <v>45.293666134707763</v>
      </c>
      <c r="F22" s="739">
        <f t="shared" si="1"/>
        <v>203.26707987938138</v>
      </c>
      <c r="G22" s="739">
        <f t="shared" si="1"/>
        <v>0</v>
      </c>
      <c r="H22" s="739">
        <f t="shared" si="1"/>
        <v>80340.617256982645</v>
      </c>
      <c r="I22" s="739">
        <f t="shared" si="1"/>
        <v>15591.539174626672</v>
      </c>
      <c r="J22" s="739">
        <f t="shared" si="1"/>
        <v>0</v>
      </c>
      <c r="K22" s="739">
        <f t="shared" si="1"/>
        <v>0</v>
      </c>
      <c r="L22" s="739">
        <f t="shared" si="1"/>
        <v>0</v>
      </c>
      <c r="M22" s="739">
        <f t="shared" si="1"/>
        <v>0</v>
      </c>
      <c r="N22" s="739">
        <f t="shared" si="1"/>
        <v>2994.5277126319206</v>
      </c>
      <c r="O22" s="739">
        <f t="shared" si="1"/>
        <v>0</v>
      </c>
      <c r="P22" s="739">
        <f t="shared" si="1"/>
        <v>0</v>
      </c>
      <c r="Q22" s="739">
        <f t="shared" si="1"/>
        <v>0</v>
      </c>
      <c r="R22" s="739">
        <f t="shared" si="1"/>
        <v>99207.645024307218</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3166.5920000000001</v>
      </c>
      <c r="D24" s="930">
        <f>+landbouw!C8</f>
        <v>6428.5714285714284</v>
      </c>
      <c r="E24" s="930">
        <f>+landbouw!D8</f>
        <v>2726.6179160000002</v>
      </c>
      <c r="F24" s="930">
        <f>+landbouw!E8</f>
        <v>62.732910812372836</v>
      </c>
      <c r="G24" s="930">
        <f>+landbouw!F8</f>
        <v>11547.667912938758</v>
      </c>
      <c r="H24" s="930">
        <f>+landbouw!G8</f>
        <v>0</v>
      </c>
      <c r="I24" s="930">
        <f>+landbouw!H8</f>
        <v>0</v>
      </c>
      <c r="J24" s="930">
        <f>+landbouw!I8</f>
        <v>0</v>
      </c>
      <c r="K24" s="930">
        <f>+landbouw!J8</f>
        <v>751.87651990602262</v>
      </c>
      <c r="L24" s="930">
        <f>+landbouw!K8</f>
        <v>0</v>
      </c>
      <c r="M24" s="930">
        <f>+landbouw!L8</f>
        <v>0</v>
      </c>
      <c r="N24" s="930">
        <f>+landbouw!M8</f>
        <v>0</v>
      </c>
      <c r="O24" s="930">
        <f>+landbouw!N8</f>
        <v>0</v>
      </c>
      <c r="P24" s="930">
        <f>+landbouw!O8</f>
        <v>0</v>
      </c>
      <c r="Q24" s="931">
        <f>+landbouw!P8</f>
        <v>0</v>
      </c>
      <c r="R24" s="628">
        <f>SUM(C24:Q24)</f>
        <v>24684.058688228579</v>
      </c>
      <c r="S24" s="67"/>
    </row>
    <row r="25" spans="1:19" s="437" customFormat="1" ht="15" thickBot="1">
      <c r="A25" s="758" t="s">
        <v>788</v>
      </c>
      <c r="B25" s="933"/>
      <c r="C25" s="934">
        <f>IF(Onbekend_ele_kWh="---",0,Onbekend_ele_kWh)/1000+IF(REST_rest_ele_kWh="---",0,REST_rest_ele_kWh)/1000</f>
        <v>396.21699999999998</v>
      </c>
      <c r="D25" s="934"/>
      <c r="E25" s="934">
        <f>IF(onbekend_gas_kWh="---",0,onbekend_gas_kWh)/1000+IF(REST_rest_gas_kWh="---",0,REST_rest_gas_kWh)/1000</f>
        <v>1053.588</v>
      </c>
      <c r="F25" s="934"/>
      <c r="G25" s="934"/>
      <c r="H25" s="934"/>
      <c r="I25" s="934"/>
      <c r="J25" s="934"/>
      <c r="K25" s="934"/>
      <c r="L25" s="934"/>
      <c r="M25" s="934"/>
      <c r="N25" s="934"/>
      <c r="O25" s="934"/>
      <c r="P25" s="934"/>
      <c r="Q25" s="935"/>
      <c r="R25" s="628">
        <f>SUM(C25:Q25)</f>
        <v>1449.8049999999998</v>
      </c>
      <c r="S25" s="67"/>
    </row>
    <row r="26" spans="1:19" s="437" customFormat="1" ht="15.75" thickBot="1">
      <c r="A26" s="633" t="s">
        <v>789</v>
      </c>
      <c r="B26" s="744"/>
      <c r="C26" s="739">
        <f>SUM(C24:C25)</f>
        <v>3562.8090000000002</v>
      </c>
      <c r="D26" s="739">
        <f t="shared" ref="D26:R26" si="2">SUM(D24:D25)</f>
        <v>6428.5714285714284</v>
      </c>
      <c r="E26" s="739">
        <f t="shared" si="2"/>
        <v>3780.2059159999999</v>
      </c>
      <c r="F26" s="739">
        <f t="shared" si="2"/>
        <v>62.732910812372836</v>
      </c>
      <c r="G26" s="739">
        <f t="shared" si="2"/>
        <v>11547.667912938758</v>
      </c>
      <c r="H26" s="739">
        <f t="shared" si="2"/>
        <v>0</v>
      </c>
      <c r="I26" s="739">
        <f t="shared" si="2"/>
        <v>0</v>
      </c>
      <c r="J26" s="739">
        <f t="shared" si="2"/>
        <v>0</v>
      </c>
      <c r="K26" s="739">
        <f t="shared" si="2"/>
        <v>751.87651990602262</v>
      </c>
      <c r="L26" s="739">
        <f t="shared" si="2"/>
        <v>0</v>
      </c>
      <c r="M26" s="739">
        <f t="shared" si="2"/>
        <v>0</v>
      </c>
      <c r="N26" s="739">
        <f t="shared" si="2"/>
        <v>0</v>
      </c>
      <c r="O26" s="739">
        <f t="shared" si="2"/>
        <v>0</v>
      </c>
      <c r="P26" s="739">
        <f t="shared" si="2"/>
        <v>0</v>
      </c>
      <c r="Q26" s="739">
        <f t="shared" si="2"/>
        <v>0</v>
      </c>
      <c r="R26" s="739">
        <f t="shared" si="2"/>
        <v>26133.863688228579</v>
      </c>
      <c r="S26" s="67"/>
    </row>
    <row r="27" spans="1:19" s="437" customFormat="1" ht="17.25" thickTop="1" thickBot="1">
      <c r="A27" s="634" t="s">
        <v>109</v>
      </c>
      <c r="B27" s="732"/>
      <c r="C27" s="635">
        <f ca="1">C22+C16+C26</f>
        <v>46293.770495661971</v>
      </c>
      <c r="D27" s="635">
        <f t="shared" ref="D27:R27" ca="1" si="3">D22+D16+D26</f>
        <v>6428.5714285714284</v>
      </c>
      <c r="E27" s="635">
        <f t="shared" ca="1" si="3"/>
        <v>46943.243636134706</v>
      </c>
      <c r="F27" s="635">
        <f t="shared" si="3"/>
        <v>2497.1660956705023</v>
      </c>
      <c r="G27" s="635">
        <f t="shared" ca="1" si="3"/>
        <v>58449.760441569786</v>
      </c>
      <c r="H27" s="635">
        <f t="shared" si="3"/>
        <v>80340.617256982645</v>
      </c>
      <c r="I27" s="635">
        <f t="shared" si="3"/>
        <v>15591.539174626672</v>
      </c>
      <c r="J27" s="635">
        <f t="shared" si="3"/>
        <v>0</v>
      </c>
      <c r="K27" s="635">
        <f t="shared" si="3"/>
        <v>1532.5656554709726</v>
      </c>
      <c r="L27" s="635">
        <f t="shared" si="3"/>
        <v>0</v>
      </c>
      <c r="M27" s="635">
        <f t="shared" ca="1" si="3"/>
        <v>0</v>
      </c>
      <c r="N27" s="635">
        <f t="shared" si="3"/>
        <v>2994.5277126319206</v>
      </c>
      <c r="O27" s="635">
        <f t="shared" ca="1" si="3"/>
        <v>8431.5470088736402</v>
      </c>
      <c r="P27" s="635">
        <f t="shared" si="3"/>
        <v>254.82333333333332</v>
      </c>
      <c r="Q27" s="635">
        <f t="shared" si="3"/>
        <v>800.80000000000007</v>
      </c>
      <c r="R27" s="635">
        <f t="shared" ca="1" si="3"/>
        <v>270558.93223952758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2457.3282972112802</v>
      </c>
      <c r="D40" s="930">
        <f ca="1">tertiair!C20</f>
        <v>0</v>
      </c>
      <c r="E40" s="930">
        <f ca="1">tertiair!D20</f>
        <v>1986.4142453760003</v>
      </c>
      <c r="F40" s="930">
        <f>tertiair!E20</f>
        <v>52.238889446655207</v>
      </c>
      <c r="G40" s="930">
        <f ca="1">tertiair!F20</f>
        <v>715.69381338464564</v>
      </c>
      <c r="H40" s="930">
        <f>tertiair!G20</f>
        <v>0</v>
      </c>
      <c r="I40" s="930">
        <f>tertiair!H20</f>
        <v>0</v>
      </c>
      <c r="J40" s="930">
        <f>tertiair!I20</f>
        <v>0</v>
      </c>
      <c r="K40" s="930">
        <f>tertiair!J20</f>
        <v>4.6732586031503782E-3</v>
      </c>
      <c r="L40" s="930">
        <f>tertiair!K20</f>
        <v>0</v>
      </c>
      <c r="M40" s="930">
        <f ca="1">tertiair!L20</f>
        <v>0</v>
      </c>
      <c r="N40" s="930">
        <f>tertiair!M20</f>
        <v>0</v>
      </c>
      <c r="O40" s="930">
        <f ca="1">tertiair!N20</f>
        <v>0</v>
      </c>
      <c r="P40" s="930">
        <f>tertiair!O20</f>
        <v>0</v>
      </c>
      <c r="Q40" s="702">
        <f>tertiair!P20</f>
        <v>0</v>
      </c>
      <c r="R40" s="777">
        <f t="shared" ca="1" si="4"/>
        <v>5211.6799186771841</v>
      </c>
    </row>
    <row r="41" spans="1:18">
      <c r="A41" s="749" t="s">
        <v>214</v>
      </c>
      <c r="B41" s="756"/>
      <c r="C41" s="930">
        <f ca="1">huishoudens!B12</f>
        <v>3757.3580445003154</v>
      </c>
      <c r="D41" s="930">
        <f ca="1">huishoudens!C12</f>
        <v>0</v>
      </c>
      <c r="E41" s="930">
        <f>huishoudens!D12</f>
        <v>6433.6833673200008</v>
      </c>
      <c r="F41" s="930">
        <f>huishoudens!E12</f>
        <v>351.07524915315531</v>
      </c>
      <c r="G41" s="930">
        <f>huishoudens!F12</f>
        <v>11226.986687197346</v>
      </c>
      <c r="H41" s="930">
        <f>huishoudens!G12</f>
        <v>0</v>
      </c>
      <c r="I41" s="930">
        <f>huishoudens!H12</f>
        <v>0</v>
      </c>
      <c r="J41" s="930">
        <f>huishoudens!I12</f>
        <v>0</v>
      </c>
      <c r="K41" s="930">
        <f>huishoudens!J12</f>
        <v>274.51001238911226</v>
      </c>
      <c r="L41" s="930">
        <f>huishoudens!K12</f>
        <v>0</v>
      </c>
      <c r="M41" s="930">
        <f>huishoudens!L12</f>
        <v>0</v>
      </c>
      <c r="N41" s="930">
        <f>huishoudens!M12</f>
        <v>0</v>
      </c>
      <c r="O41" s="930">
        <f>huishoudens!N12</f>
        <v>0</v>
      </c>
      <c r="P41" s="930">
        <f>huishoudens!O12</f>
        <v>0</v>
      </c>
      <c r="Q41" s="702">
        <f>huishoudens!P12</f>
        <v>0</v>
      </c>
      <c r="R41" s="777">
        <f t="shared" ca="1" si="4"/>
        <v>22043.613360559928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831.95163392309098</v>
      </c>
      <c r="D43" s="930">
        <f ca="1">industrie!C22</f>
        <v>0</v>
      </c>
      <c r="E43" s="930">
        <f>industrie!D22</f>
        <v>289.68668621200004</v>
      </c>
      <c r="F43" s="930">
        <f>industrie!E22</f>
        <v>103.16056723036537</v>
      </c>
      <c r="G43" s="930">
        <f>industrie!F22</f>
        <v>580.17820456249433</v>
      </c>
      <c r="H43" s="930">
        <f>industrie!G22</f>
        <v>0</v>
      </c>
      <c r="I43" s="930">
        <f>industrie!H22</f>
        <v>0</v>
      </c>
      <c r="J43" s="930">
        <f>industrie!I22</f>
        <v>0</v>
      </c>
      <c r="K43" s="930">
        <f>industrie!J22</f>
        <v>1.8492683422768719</v>
      </c>
      <c r="L43" s="930">
        <f>industrie!K22</f>
        <v>0</v>
      </c>
      <c r="M43" s="930">
        <f>industrie!L22</f>
        <v>0</v>
      </c>
      <c r="N43" s="930">
        <f>industrie!M22</f>
        <v>0</v>
      </c>
      <c r="O43" s="930">
        <f>industrie!N22</f>
        <v>0</v>
      </c>
      <c r="P43" s="930">
        <f>industrie!O22</f>
        <v>0</v>
      </c>
      <c r="Q43" s="702">
        <f>industrie!P22</f>
        <v>0</v>
      </c>
      <c r="R43" s="776">
        <f t="shared" ca="1" si="4"/>
        <v>1806.8263602702275</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7046.6379756346869</v>
      </c>
      <c r="D46" s="660">
        <f t="shared" ref="D46:Q46" ca="1" si="5">SUM(D39:D45)</f>
        <v>0</v>
      </c>
      <c r="E46" s="660">
        <f t="shared" ca="1" si="5"/>
        <v>8709.7842989080018</v>
      </c>
      <c r="F46" s="660">
        <f t="shared" si="5"/>
        <v>506.47470583017588</v>
      </c>
      <c r="G46" s="660">
        <f t="shared" ca="1" si="5"/>
        <v>12522.858705144487</v>
      </c>
      <c r="H46" s="660">
        <f t="shared" si="5"/>
        <v>0</v>
      </c>
      <c r="I46" s="660">
        <f t="shared" si="5"/>
        <v>0</v>
      </c>
      <c r="J46" s="660">
        <f t="shared" si="5"/>
        <v>0</v>
      </c>
      <c r="K46" s="660">
        <f t="shared" si="5"/>
        <v>276.36395398999224</v>
      </c>
      <c r="L46" s="660">
        <f t="shared" si="5"/>
        <v>0</v>
      </c>
      <c r="M46" s="660">
        <f t="shared" ca="1" si="5"/>
        <v>0</v>
      </c>
      <c r="N46" s="660">
        <f t="shared" si="5"/>
        <v>0</v>
      </c>
      <c r="O46" s="660">
        <f t="shared" ca="1" si="5"/>
        <v>0</v>
      </c>
      <c r="P46" s="660">
        <f t="shared" si="5"/>
        <v>0</v>
      </c>
      <c r="Q46" s="660">
        <f t="shared" si="5"/>
        <v>0</v>
      </c>
      <c r="R46" s="660">
        <f ca="1">SUM(R39:R45)</f>
        <v>29062.119639507342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0.99537639827918545</v>
      </c>
      <c r="D49" s="930">
        <f ca="1">transport!C58</f>
        <v>0</v>
      </c>
      <c r="E49" s="930">
        <f>transport!D58</f>
        <v>0</v>
      </c>
      <c r="F49" s="930">
        <f>transport!E58</f>
        <v>0</v>
      </c>
      <c r="G49" s="930">
        <f>transport!F58</f>
        <v>0</v>
      </c>
      <c r="H49" s="930">
        <f>transport!G58</f>
        <v>287.13516477251881</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288.13054117079798</v>
      </c>
    </row>
    <row r="50" spans="1:18">
      <c r="A50" s="752" t="s">
        <v>296</v>
      </c>
      <c r="B50" s="762"/>
      <c r="C50" s="631">
        <f ca="1">transport!B18</f>
        <v>4.3516893515978277</v>
      </c>
      <c r="D50" s="631">
        <f>transport!C18</f>
        <v>0</v>
      </c>
      <c r="E50" s="631">
        <f>transport!D18</f>
        <v>9.1493205592109685</v>
      </c>
      <c r="F50" s="631">
        <f>transport!E18</f>
        <v>46.141627132619575</v>
      </c>
      <c r="G50" s="631">
        <f>transport!F18</f>
        <v>0</v>
      </c>
      <c r="H50" s="631">
        <f>transport!G18</f>
        <v>21163.80964284185</v>
      </c>
      <c r="I50" s="631">
        <f>transport!H18</f>
        <v>3882.2932544820414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25105.745534367321</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5.3470657498770127</v>
      </c>
      <c r="D52" s="660">
        <f t="shared" ref="D52:Q52" ca="1" si="6">SUM(D48:D51)</f>
        <v>0</v>
      </c>
      <c r="E52" s="660">
        <f t="shared" si="6"/>
        <v>9.1493205592109685</v>
      </c>
      <c r="F52" s="660">
        <f t="shared" si="6"/>
        <v>46.141627132619575</v>
      </c>
      <c r="G52" s="660">
        <f t="shared" si="6"/>
        <v>0</v>
      </c>
      <c r="H52" s="660">
        <f t="shared" si="6"/>
        <v>21450.944807614371</v>
      </c>
      <c r="I52" s="660">
        <f t="shared" si="6"/>
        <v>3882.2932544820414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25393.876075538119</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522.58967817597636</v>
      </c>
      <c r="D54" s="631">
        <f ca="1">+landbouw!C12</f>
        <v>0</v>
      </c>
      <c r="E54" s="631">
        <f>+landbouw!D12</f>
        <v>550.77681903200005</v>
      </c>
      <c r="F54" s="631">
        <f>+landbouw!E12</f>
        <v>14.240370754408634</v>
      </c>
      <c r="G54" s="631">
        <f>+landbouw!F12</f>
        <v>3083.2273327546486</v>
      </c>
      <c r="H54" s="631">
        <f>+landbouw!G12</f>
        <v>0</v>
      </c>
      <c r="I54" s="631">
        <f>+landbouw!H12</f>
        <v>0</v>
      </c>
      <c r="J54" s="631">
        <f>+landbouw!I12</f>
        <v>0</v>
      </c>
      <c r="K54" s="631">
        <f>+landbouw!J12</f>
        <v>266.164288046732</v>
      </c>
      <c r="L54" s="631">
        <f>+landbouw!K12</f>
        <v>0</v>
      </c>
      <c r="M54" s="631">
        <f>+landbouw!L12</f>
        <v>0</v>
      </c>
      <c r="N54" s="631">
        <f>+landbouw!M12</f>
        <v>0</v>
      </c>
      <c r="O54" s="631">
        <f>+landbouw!N12</f>
        <v>0</v>
      </c>
      <c r="P54" s="631">
        <f>+landbouw!O12</f>
        <v>0</v>
      </c>
      <c r="Q54" s="632">
        <f>+landbouw!P12</f>
        <v>0</v>
      </c>
      <c r="R54" s="659">
        <f ca="1">SUM(C54:Q54)</f>
        <v>4436.9984887637656</v>
      </c>
    </row>
    <row r="55" spans="1:18" ht="15" thickBot="1">
      <c r="A55" s="752" t="s">
        <v>788</v>
      </c>
      <c r="B55" s="762"/>
      <c r="C55" s="631">
        <f ca="1">C25*'EF ele_warmte'!B12</f>
        <v>65.388567430805992</v>
      </c>
      <c r="D55" s="631"/>
      <c r="E55" s="631">
        <f>E25*EF_CO2_aardgas</f>
        <v>212.82477600000001</v>
      </c>
      <c r="F55" s="631"/>
      <c r="G55" s="631"/>
      <c r="H55" s="631"/>
      <c r="I55" s="631"/>
      <c r="J55" s="631"/>
      <c r="K55" s="631"/>
      <c r="L55" s="631"/>
      <c r="M55" s="631"/>
      <c r="N55" s="631"/>
      <c r="O55" s="631"/>
      <c r="P55" s="631"/>
      <c r="Q55" s="632"/>
      <c r="R55" s="659">
        <f ca="1">SUM(C55:Q55)</f>
        <v>278.21334343080599</v>
      </c>
    </row>
    <row r="56" spans="1:18" ht="15.75" thickBot="1">
      <c r="A56" s="750" t="s">
        <v>789</v>
      </c>
      <c r="B56" s="763"/>
      <c r="C56" s="660">
        <f ca="1">SUM(C54:C55)</f>
        <v>587.97824560678237</v>
      </c>
      <c r="D56" s="660">
        <f t="shared" ref="D56:Q56" ca="1" si="7">SUM(D54:D55)</f>
        <v>0</v>
      </c>
      <c r="E56" s="660">
        <f t="shared" si="7"/>
        <v>763.60159503200009</v>
      </c>
      <c r="F56" s="660">
        <f t="shared" si="7"/>
        <v>14.240370754408634</v>
      </c>
      <c r="G56" s="660">
        <f t="shared" si="7"/>
        <v>3083.2273327546486</v>
      </c>
      <c r="H56" s="660">
        <f t="shared" si="7"/>
        <v>0</v>
      </c>
      <c r="I56" s="660">
        <f t="shared" si="7"/>
        <v>0</v>
      </c>
      <c r="J56" s="660">
        <f t="shared" si="7"/>
        <v>0</v>
      </c>
      <c r="K56" s="660">
        <f t="shared" si="7"/>
        <v>266.164288046732</v>
      </c>
      <c r="L56" s="660">
        <f t="shared" si="7"/>
        <v>0</v>
      </c>
      <c r="M56" s="660">
        <f t="shared" si="7"/>
        <v>0</v>
      </c>
      <c r="N56" s="660">
        <f t="shared" si="7"/>
        <v>0</v>
      </c>
      <c r="O56" s="660">
        <f t="shared" si="7"/>
        <v>0</v>
      </c>
      <c r="P56" s="660">
        <f t="shared" si="7"/>
        <v>0</v>
      </c>
      <c r="Q56" s="661">
        <f t="shared" si="7"/>
        <v>0</v>
      </c>
      <c r="R56" s="662">
        <f ca="1">SUM(R54:R55)</f>
        <v>4715.2118321945718</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7639.9632869913466</v>
      </c>
      <c r="D61" s="668">
        <f t="shared" ref="D61:Q61" ca="1" si="8">D46+D52+D56</f>
        <v>0</v>
      </c>
      <c r="E61" s="668">
        <f t="shared" ca="1" si="8"/>
        <v>9482.5352144992121</v>
      </c>
      <c r="F61" s="668">
        <f t="shared" si="8"/>
        <v>566.85670371720414</v>
      </c>
      <c r="G61" s="668">
        <f t="shared" ca="1" si="8"/>
        <v>15606.086037899135</v>
      </c>
      <c r="H61" s="668">
        <f t="shared" si="8"/>
        <v>21450.944807614371</v>
      </c>
      <c r="I61" s="668">
        <f t="shared" si="8"/>
        <v>3882.2932544820414</v>
      </c>
      <c r="J61" s="668">
        <f t="shared" si="8"/>
        <v>0</v>
      </c>
      <c r="K61" s="668">
        <f t="shared" si="8"/>
        <v>542.52824203672424</v>
      </c>
      <c r="L61" s="668">
        <f t="shared" si="8"/>
        <v>0</v>
      </c>
      <c r="M61" s="668">
        <f t="shared" ca="1" si="8"/>
        <v>0</v>
      </c>
      <c r="N61" s="668">
        <f t="shared" si="8"/>
        <v>0</v>
      </c>
      <c r="O61" s="668">
        <f t="shared" ca="1" si="8"/>
        <v>0</v>
      </c>
      <c r="P61" s="668">
        <f t="shared" si="8"/>
        <v>0</v>
      </c>
      <c r="Q61" s="668">
        <f t="shared" si="8"/>
        <v>0</v>
      </c>
      <c r="R61" s="668">
        <f ca="1">R46+R52+R56</f>
        <v>59171.207547240032</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0.16503221070980298</v>
      </c>
      <c r="D63" s="709">
        <f t="shared" ca="1" si="9"/>
        <v>0</v>
      </c>
      <c r="E63" s="941">
        <f t="shared" ca="1" si="9"/>
        <v>0.20200000000000004</v>
      </c>
      <c r="F63" s="709">
        <f t="shared" si="9"/>
        <v>0.22700000000000006</v>
      </c>
      <c r="G63" s="709">
        <f t="shared" ca="1" si="9"/>
        <v>0.26700000000000002</v>
      </c>
      <c r="H63" s="709">
        <f t="shared" si="9"/>
        <v>0.26700000000000007</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7223.8008712667415</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4500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5294.1176470588243</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11723.800871266742</v>
      </c>
      <c r="C78" s="683">
        <f>SUM(C72:C77)</f>
        <v>0</v>
      </c>
      <c r="D78" s="684">
        <f t="shared" ref="D78:H78" si="10">SUM(D76:D77)</f>
        <v>0</v>
      </c>
      <c r="E78" s="684">
        <f t="shared" si="10"/>
        <v>0</v>
      </c>
      <c r="F78" s="684">
        <f t="shared" si="10"/>
        <v>0</v>
      </c>
      <c r="G78" s="684">
        <f t="shared" si="10"/>
        <v>0</v>
      </c>
      <c r="H78" s="684">
        <f t="shared" si="10"/>
        <v>0</v>
      </c>
      <c r="I78" s="684">
        <f>SUM(I76:I77)</f>
        <v>0</v>
      </c>
      <c r="J78" s="684">
        <f>SUM(J76:J77)</f>
        <v>5294.1176470588243</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6428.5714285714284</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7563.0252100840344</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6428.5714285714284</v>
      </c>
      <c r="C90" s="683">
        <f>SUM(C87:C89)</f>
        <v>0</v>
      </c>
      <c r="D90" s="683">
        <f t="shared" ref="D90:H90" si="12">SUM(D87:D89)</f>
        <v>0</v>
      </c>
      <c r="E90" s="683">
        <f t="shared" si="12"/>
        <v>0</v>
      </c>
      <c r="F90" s="683">
        <f t="shared" si="12"/>
        <v>0</v>
      </c>
      <c r="G90" s="683">
        <f t="shared" si="12"/>
        <v>0</v>
      </c>
      <c r="H90" s="683">
        <f t="shared" si="12"/>
        <v>0</v>
      </c>
      <c r="I90" s="683">
        <f>SUM(I87:I89)</f>
        <v>0</v>
      </c>
      <c r="J90" s="683">
        <f>SUM(J87:J89)</f>
        <v>7563.0252100840344</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22767.422361610086</v>
      </c>
      <c r="C4" s="441">
        <f>huishoudens!C8</f>
        <v>0</v>
      </c>
      <c r="D4" s="441">
        <f>huishoudens!D8</f>
        <v>31849.917660000003</v>
      </c>
      <c r="E4" s="441">
        <f>huishoudens!E8</f>
        <v>1546.5870006746929</v>
      </c>
      <c r="F4" s="441">
        <f>huishoudens!F8</f>
        <v>42048.639277892682</v>
      </c>
      <c r="G4" s="441">
        <f>huishoudens!G8</f>
        <v>0</v>
      </c>
      <c r="H4" s="441">
        <f>huishoudens!H8</f>
        <v>0</v>
      </c>
      <c r="I4" s="441">
        <f>huishoudens!I8</f>
        <v>0</v>
      </c>
      <c r="J4" s="441">
        <f>huishoudens!J8</f>
        <v>775.45201239862229</v>
      </c>
      <c r="K4" s="441">
        <f>huishoudens!K8</f>
        <v>0</v>
      </c>
      <c r="L4" s="441">
        <f>huishoudens!L8</f>
        <v>0</v>
      </c>
      <c r="M4" s="441">
        <f>huishoudens!M8</f>
        <v>0</v>
      </c>
      <c r="N4" s="441">
        <f>huishoudens!N8</f>
        <v>7076.1681403065613</v>
      </c>
      <c r="O4" s="441">
        <f>huishoudens!O8</f>
        <v>250.13333333333333</v>
      </c>
      <c r="P4" s="442">
        <f>huishoudens!P8</f>
        <v>762.66666666666674</v>
      </c>
      <c r="Q4" s="443">
        <f>SUM(B4:P4)</f>
        <v>107076.98645288264</v>
      </c>
    </row>
    <row r="5" spans="1:17">
      <c r="A5" s="440" t="s">
        <v>149</v>
      </c>
      <c r="B5" s="441">
        <f ca="1">tertiair!B16</f>
        <v>13972.516</v>
      </c>
      <c r="C5" s="441">
        <f ca="1">tertiair!C16</f>
        <v>0</v>
      </c>
      <c r="D5" s="441">
        <f ca="1">tertiair!D16</f>
        <v>9833.7338880000007</v>
      </c>
      <c r="E5" s="441">
        <f>tertiair!E16</f>
        <v>230.12726628482469</v>
      </c>
      <c r="F5" s="441">
        <f ca="1">tertiair!F16</f>
        <v>2680.5011737252644</v>
      </c>
      <c r="G5" s="441">
        <f>tertiair!G16</f>
        <v>0</v>
      </c>
      <c r="H5" s="441">
        <f>tertiair!H16</f>
        <v>0</v>
      </c>
      <c r="I5" s="441">
        <f>tertiair!I16</f>
        <v>0</v>
      </c>
      <c r="J5" s="441">
        <f>tertiair!J16</f>
        <v>1.3201295489125362E-2</v>
      </c>
      <c r="K5" s="441">
        <f>tertiair!K16</f>
        <v>0</v>
      </c>
      <c r="L5" s="441">
        <f ca="1">tertiair!L16</f>
        <v>0</v>
      </c>
      <c r="M5" s="441">
        <f>tertiair!M16</f>
        <v>0</v>
      </c>
      <c r="N5" s="441">
        <f ca="1">tertiair!N16</f>
        <v>486.23320299999784</v>
      </c>
      <c r="O5" s="441">
        <f>tertiair!O16</f>
        <v>4.6900000000000004</v>
      </c>
      <c r="P5" s="442">
        <f>tertiair!P16</f>
        <v>38.133333333333333</v>
      </c>
      <c r="Q5" s="440">
        <f t="shared" ref="Q5:Q14" ca="1" si="0">SUM(B5:P5)</f>
        <v>27245.948065638906</v>
      </c>
    </row>
    <row r="6" spans="1:17">
      <c r="A6" s="440" t="s">
        <v>187</v>
      </c>
      <c r="B6" s="441">
        <f>'openbare verlichting'!B8</f>
        <v>917.476</v>
      </c>
      <c r="C6" s="441"/>
      <c r="D6" s="441"/>
      <c r="E6" s="441"/>
      <c r="F6" s="441"/>
      <c r="G6" s="441"/>
      <c r="H6" s="441"/>
      <c r="I6" s="441"/>
      <c r="J6" s="441"/>
      <c r="K6" s="441"/>
      <c r="L6" s="441"/>
      <c r="M6" s="441"/>
      <c r="N6" s="441"/>
      <c r="O6" s="441"/>
      <c r="P6" s="442"/>
      <c r="Q6" s="440">
        <f t="shared" si="0"/>
        <v>917.476</v>
      </c>
    </row>
    <row r="7" spans="1:17">
      <c r="A7" s="440" t="s">
        <v>105</v>
      </c>
      <c r="B7" s="441">
        <f>landbouw!B8</f>
        <v>3166.5920000000001</v>
      </c>
      <c r="C7" s="441">
        <f>landbouw!C8</f>
        <v>6428.5714285714284</v>
      </c>
      <c r="D7" s="441">
        <f>landbouw!D8</f>
        <v>2726.6179160000002</v>
      </c>
      <c r="E7" s="441">
        <f>landbouw!E8</f>
        <v>62.732910812372836</v>
      </c>
      <c r="F7" s="441">
        <f>landbouw!F8</f>
        <v>11547.667912938758</v>
      </c>
      <c r="G7" s="441">
        <f>landbouw!G8</f>
        <v>0</v>
      </c>
      <c r="H7" s="441">
        <f>landbouw!H8</f>
        <v>0</v>
      </c>
      <c r="I7" s="441">
        <f>landbouw!I8</f>
        <v>0</v>
      </c>
      <c r="J7" s="441">
        <f>landbouw!J8</f>
        <v>751.87651990602262</v>
      </c>
      <c r="K7" s="441">
        <f>landbouw!K8</f>
        <v>0</v>
      </c>
      <c r="L7" s="441">
        <f>landbouw!L8</f>
        <v>0</v>
      </c>
      <c r="M7" s="441">
        <f>landbouw!M8</f>
        <v>0</v>
      </c>
      <c r="N7" s="441">
        <f>landbouw!N8</f>
        <v>0</v>
      </c>
      <c r="O7" s="441">
        <f>landbouw!O8</f>
        <v>0</v>
      </c>
      <c r="P7" s="442">
        <f>landbouw!P8</f>
        <v>0</v>
      </c>
      <c r="Q7" s="440">
        <f t="shared" si="0"/>
        <v>24684.058688228579</v>
      </c>
    </row>
    <row r="8" spans="1:17">
      <c r="A8" s="440" t="s">
        <v>600</v>
      </c>
      <c r="B8" s="441">
        <f>industrie!B18</f>
        <v>5041.1469999999999</v>
      </c>
      <c r="C8" s="441">
        <f>industrie!C18</f>
        <v>0</v>
      </c>
      <c r="D8" s="441">
        <f>industrie!D18</f>
        <v>1434.0925060000002</v>
      </c>
      <c r="E8" s="441">
        <f>industrie!E18</f>
        <v>454.45183801923071</v>
      </c>
      <c r="F8" s="441">
        <f>industrie!F18</f>
        <v>2172.9520770130871</v>
      </c>
      <c r="G8" s="441">
        <f>industrie!G18</f>
        <v>0</v>
      </c>
      <c r="H8" s="441">
        <f>industrie!H18</f>
        <v>0</v>
      </c>
      <c r="I8" s="441">
        <f>industrie!I18</f>
        <v>0</v>
      </c>
      <c r="J8" s="441">
        <f>industrie!J18</f>
        <v>5.2239218708386215</v>
      </c>
      <c r="K8" s="441">
        <f>industrie!K18</f>
        <v>0</v>
      </c>
      <c r="L8" s="441">
        <f>industrie!L18</f>
        <v>0</v>
      </c>
      <c r="M8" s="441">
        <f>industrie!M18</f>
        <v>0</v>
      </c>
      <c r="N8" s="441">
        <f>industrie!N18</f>
        <v>869.14566556708087</v>
      </c>
      <c r="O8" s="441">
        <f>industrie!O18</f>
        <v>0</v>
      </c>
      <c r="P8" s="442">
        <f>industrie!P18</f>
        <v>0</v>
      </c>
      <c r="Q8" s="440">
        <f t="shared" si="0"/>
        <v>9977.0130084702359</v>
      </c>
    </row>
    <row r="9" spans="1:17" s="446" customFormat="1">
      <c r="A9" s="444" t="s">
        <v>549</v>
      </c>
      <c r="B9" s="445">
        <f>transport!B14</f>
        <v>26.368727249554663</v>
      </c>
      <c r="C9" s="445">
        <f>transport!C14</f>
        <v>0</v>
      </c>
      <c r="D9" s="445">
        <f>transport!D14</f>
        <v>45.293666134707763</v>
      </c>
      <c r="E9" s="445">
        <f>transport!E14</f>
        <v>203.26707987938138</v>
      </c>
      <c r="F9" s="445">
        <f>transport!F14</f>
        <v>0</v>
      </c>
      <c r="G9" s="445">
        <f>transport!G14</f>
        <v>79265.204654838381</v>
      </c>
      <c r="H9" s="445">
        <f>transport!H14</f>
        <v>15591.539174626672</v>
      </c>
      <c r="I9" s="445">
        <f>transport!I14</f>
        <v>0</v>
      </c>
      <c r="J9" s="445">
        <f>transport!J14</f>
        <v>0</v>
      </c>
      <c r="K9" s="445">
        <f>transport!K14</f>
        <v>0</v>
      </c>
      <c r="L9" s="445">
        <f>transport!L14</f>
        <v>0</v>
      </c>
      <c r="M9" s="445">
        <f>transport!M14</f>
        <v>2960.957498023175</v>
      </c>
      <c r="N9" s="445">
        <f>transport!N14</f>
        <v>0</v>
      </c>
      <c r="O9" s="445">
        <f>transport!O14</f>
        <v>0</v>
      </c>
      <c r="P9" s="445">
        <f>transport!P14</f>
        <v>0</v>
      </c>
      <c r="Q9" s="444">
        <f>SUM(B9:P9)</f>
        <v>98092.630800751867</v>
      </c>
    </row>
    <row r="10" spans="1:17">
      <c r="A10" s="440" t="s">
        <v>539</v>
      </c>
      <c r="B10" s="441">
        <f>transport!B54</f>
        <v>6.0314068023331631</v>
      </c>
      <c r="C10" s="441">
        <f>transport!C54</f>
        <v>0</v>
      </c>
      <c r="D10" s="441">
        <f>transport!D54</f>
        <v>0</v>
      </c>
      <c r="E10" s="441">
        <f>transport!E54</f>
        <v>0</v>
      </c>
      <c r="F10" s="441">
        <f>transport!F54</f>
        <v>0</v>
      </c>
      <c r="G10" s="441">
        <f>transport!G54</f>
        <v>1075.4126021442651</v>
      </c>
      <c r="H10" s="441">
        <f>transport!H54</f>
        <v>0</v>
      </c>
      <c r="I10" s="441">
        <f>transport!I54</f>
        <v>0</v>
      </c>
      <c r="J10" s="441">
        <f>transport!J54</f>
        <v>0</v>
      </c>
      <c r="K10" s="441">
        <f>transport!K54</f>
        <v>0</v>
      </c>
      <c r="L10" s="441">
        <f>transport!L54</f>
        <v>0</v>
      </c>
      <c r="M10" s="441">
        <f>transport!M54</f>
        <v>33.570214608745729</v>
      </c>
      <c r="N10" s="441">
        <f>transport!N54</f>
        <v>0</v>
      </c>
      <c r="O10" s="441">
        <f>transport!O54</f>
        <v>0</v>
      </c>
      <c r="P10" s="442">
        <f>transport!P54</f>
        <v>0</v>
      </c>
      <c r="Q10" s="440">
        <f t="shared" si="0"/>
        <v>1115.014223555344</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396.21699999999998</v>
      </c>
      <c r="C14" s="448"/>
      <c r="D14" s="448">
        <f>'SEAP template'!E25</f>
        <v>1053.588</v>
      </c>
      <c r="E14" s="448"/>
      <c r="F14" s="448"/>
      <c r="G14" s="448"/>
      <c r="H14" s="448"/>
      <c r="I14" s="448"/>
      <c r="J14" s="448"/>
      <c r="K14" s="448"/>
      <c r="L14" s="448"/>
      <c r="M14" s="448"/>
      <c r="N14" s="448"/>
      <c r="O14" s="448"/>
      <c r="P14" s="449"/>
      <c r="Q14" s="440">
        <f t="shared" si="0"/>
        <v>1449.8049999999998</v>
      </c>
    </row>
    <row r="15" spans="1:17" s="450" customFormat="1">
      <c r="A15" s="956" t="s">
        <v>543</v>
      </c>
      <c r="B15" s="896">
        <f ca="1">SUM(B4:B14)</f>
        <v>46293.770495661964</v>
      </c>
      <c r="C15" s="896">
        <f t="shared" ref="C15:Q15" ca="1" si="1">SUM(C4:C14)</f>
        <v>6428.5714285714284</v>
      </c>
      <c r="D15" s="896">
        <f t="shared" ca="1" si="1"/>
        <v>46943.243636134714</v>
      </c>
      <c r="E15" s="896">
        <f t="shared" si="1"/>
        <v>2497.1660956705027</v>
      </c>
      <c r="F15" s="896">
        <f t="shared" ca="1" si="1"/>
        <v>58449.760441569786</v>
      </c>
      <c r="G15" s="896">
        <f t="shared" si="1"/>
        <v>80340.617256982645</v>
      </c>
      <c r="H15" s="896">
        <f t="shared" si="1"/>
        <v>15591.539174626672</v>
      </c>
      <c r="I15" s="896">
        <f t="shared" si="1"/>
        <v>0</v>
      </c>
      <c r="J15" s="896">
        <f t="shared" si="1"/>
        <v>1532.5656554709726</v>
      </c>
      <c r="K15" s="896">
        <f t="shared" si="1"/>
        <v>0</v>
      </c>
      <c r="L15" s="896">
        <f t="shared" ca="1" si="1"/>
        <v>0</v>
      </c>
      <c r="M15" s="896">
        <f t="shared" si="1"/>
        <v>2994.5277126319206</v>
      </c>
      <c r="N15" s="896">
        <f t="shared" ca="1" si="1"/>
        <v>8431.5470088736402</v>
      </c>
      <c r="O15" s="896">
        <f t="shared" si="1"/>
        <v>254.82333333333332</v>
      </c>
      <c r="P15" s="896">
        <f t="shared" si="1"/>
        <v>800.80000000000007</v>
      </c>
      <c r="Q15" s="896">
        <f t="shared" ca="1" si="1"/>
        <v>270558.93223952752</v>
      </c>
    </row>
    <row r="17" spans="1:17">
      <c r="A17" s="451" t="s">
        <v>544</v>
      </c>
      <c r="B17" s="714">
        <f ca="1">huishoudens!B10</f>
        <v>0.16503221070980295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3757.3580445003154</v>
      </c>
      <c r="C22" s="441">
        <f t="shared" ref="C22:C32" ca="1" si="3">C4*$C$17</f>
        <v>0</v>
      </c>
      <c r="D22" s="441">
        <f t="shared" ref="D22:D32" si="4">D4*$D$17</f>
        <v>6433.6833673200008</v>
      </c>
      <c r="E22" s="441">
        <f t="shared" ref="E22:E32" si="5">E4*$E$17</f>
        <v>351.07524915315531</v>
      </c>
      <c r="F22" s="441">
        <f t="shared" ref="F22:F32" si="6">F4*$F$17</f>
        <v>11226.986687197346</v>
      </c>
      <c r="G22" s="441">
        <f t="shared" ref="G22:G32" si="7">G4*$G$17</f>
        <v>0</v>
      </c>
      <c r="H22" s="441">
        <f t="shared" ref="H22:H32" si="8">H4*$H$17</f>
        <v>0</v>
      </c>
      <c r="I22" s="441">
        <f t="shared" ref="I22:I32" si="9">I4*$I$17</f>
        <v>0</v>
      </c>
      <c r="J22" s="441">
        <f t="shared" ref="J22:J32" si="10">J4*$J$17</f>
        <v>274.51001238911226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22043.613360559928</v>
      </c>
    </row>
    <row r="23" spans="1:17">
      <c r="A23" s="440" t="s">
        <v>149</v>
      </c>
      <c r="B23" s="441">
        <f t="shared" ca="1" si="2"/>
        <v>2305.915204658093</v>
      </c>
      <c r="C23" s="441">
        <f t="shared" ca="1" si="3"/>
        <v>0</v>
      </c>
      <c r="D23" s="441">
        <f t="shared" ca="1" si="4"/>
        <v>1986.4142453760003</v>
      </c>
      <c r="E23" s="441">
        <f t="shared" si="5"/>
        <v>52.238889446655207</v>
      </c>
      <c r="F23" s="441">
        <f t="shared" ca="1" si="6"/>
        <v>715.69381338464564</v>
      </c>
      <c r="G23" s="441">
        <f t="shared" si="7"/>
        <v>0</v>
      </c>
      <c r="H23" s="441">
        <f t="shared" si="8"/>
        <v>0</v>
      </c>
      <c r="I23" s="441">
        <f t="shared" si="9"/>
        <v>0</v>
      </c>
      <c r="J23" s="441">
        <f t="shared" si="10"/>
        <v>4.6732586031503782E-3</v>
      </c>
      <c r="K23" s="441">
        <f t="shared" si="11"/>
        <v>0</v>
      </c>
      <c r="L23" s="441">
        <f t="shared" ca="1" si="12"/>
        <v>0</v>
      </c>
      <c r="M23" s="441">
        <f t="shared" si="13"/>
        <v>0</v>
      </c>
      <c r="N23" s="441">
        <f t="shared" ca="1" si="14"/>
        <v>0</v>
      </c>
      <c r="O23" s="441">
        <f t="shared" si="15"/>
        <v>0</v>
      </c>
      <c r="P23" s="442">
        <f t="shared" si="16"/>
        <v>0</v>
      </c>
      <c r="Q23" s="440">
        <f t="shared" ref="Q23:Q32" ca="1" si="17">SUM(B23:P23)</f>
        <v>5060.2668261239978</v>
      </c>
    </row>
    <row r="24" spans="1:17">
      <c r="A24" s="440" t="s">
        <v>187</v>
      </c>
      <c r="B24" s="441">
        <f t="shared" ca="1" si="2"/>
        <v>151.41309255318717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151.41309255318717</v>
      </c>
    </row>
    <row r="25" spans="1:17">
      <c r="A25" s="440" t="s">
        <v>105</v>
      </c>
      <c r="B25" s="441">
        <f t="shared" ca="1" si="2"/>
        <v>522.58967817597636</v>
      </c>
      <c r="C25" s="441">
        <f t="shared" ca="1" si="3"/>
        <v>0</v>
      </c>
      <c r="D25" s="441">
        <f t="shared" si="4"/>
        <v>550.77681903200005</v>
      </c>
      <c r="E25" s="441">
        <f t="shared" si="5"/>
        <v>14.240370754408634</v>
      </c>
      <c r="F25" s="441">
        <f t="shared" si="6"/>
        <v>3083.2273327546486</v>
      </c>
      <c r="G25" s="441">
        <f t="shared" si="7"/>
        <v>0</v>
      </c>
      <c r="H25" s="441">
        <f t="shared" si="8"/>
        <v>0</v>
      </c>
      <c r="I25" s="441">
        <f t="shared" si="9"/>
        <v>0</v>
      </c>
      <c r="J25" s="441">
        <f t="shared" si="10"/>
        <v>266.164288046732</v>
      </c>
      <c r="K25" s="441">
        <f t="shared" si="11"/>
        <v>0</v>
      </c>
      <c r="L25" s="441">
        <f t="shared" si="12"/>
        <v>0</v>
      </c>
      <c r="M25" s="441">
        <f t="shared" si="13"/>
        <v>0</v>
      </c>
      <c r="N25" s="441">
        <f t="shared" si="14"/>
        <v>0</v>
      </c>
      <c r="O25" s="441">
        <f t="shared" si="15"/>
        <v>0</v>
      </c>
      <c r="P25" s="442">
        <f t="shared" si="16"/>
        <v>0</v>
      </c>
      <c r="Q25" s="440">
        <f t="shared" ca="1" si="17"/>
        <v>4436.9984887637656</v>
      </c>
    </row>
    <row r="26" spans="1:17">
      <c r="A26" s="440" t="s">
        <v>600</v>
      </c>
      <c r="B26" s="441">
        <f t="shared" ca="1" si="2"/>
        <v>831.95163392309098</v>
      </c>
      <c r="C26" s="441">
        <f t="shared" ca="1" si="3"/>
        <v>0</v>
      </c>
      <c r="D26" s="441">
        <f t="shared" si="4"/>
        <v>289.68668621200004</v>
      </c>
      <c r="E26" s="441">
        <f t="shared" si="5"/>
        <v>103.16056723036537</v>
      </c>
      <c r="F26" s="441">
        <f t="shared" si="6"/>
        <v>580.17820456249433</v>
      </c>
      <c r="G26" s="441">
        <f t="shared" si="7"/>
        <v>0</v>
      </c>
      <c r="H26" s="441">
        <f t="shared" si="8"/>
        <v>0</v>
      </c>
      <c r="I26" s="441">
        <f t="shared" si="9"/>
        <v>0</v>
      </c>
      <c r="J26" s="441">
        <f t="shared" si="10"/>
        <v>1.8492683422768719</v>
      </c>
      <c r="K26" s="441">
        <f t="shared" si="11"/>
        <v>0</v>
      </c>
      <c r="L26" s="441">
        <f t="shared" si="12"/>
        <v>0</v>
      </c>
      <c r="M26" s="441">
        <f t="shared" si="13"/>
        <v>0</v>
      </c>
      <c r="N26" s="441">
        <f t="shared" si="14"/>
        <v>0</v>
      </c>
      <c r="O26" s="441">
        <f t="shared" si="15"/>
        <v>0</v>
      </c>
      <c r="P26" s="442">
        <f t="shared" si="16"/>
        <v>0</v>
      </c>
      <c r="Q26" s="440">
        <f t="shared" ca="1" si="17"/>
        <v>1806.8263602702275</v>
      </c>
    </row>
    <row r="27" spans="1:17" s="446" customFormat="1">
      <c r="A27" s="444" t="s">
        <v>549</v>
      </c>
      <c r="B27" s="708">
        <f t="shared" ca="1" si="2"/>
        <v>4.3516893515978277</v>
      </c>
      <c r="C27" s="445">
        <f t="shared" ca="1" si="3"/>
        <v>0</v>
      </c>
      <c r="D27" s="445">
        <f t="shared" si="4"/>
        <v>9.1493205592109685</v>
      </c>
      <c r="E27" s="445">
        <f t="shared" si="5"/>
        <v>46.141627132619575</v>
      </c>
      <c r="F27" s="445">
        <f t="shared" si="6"/>
        <v>0</v>
      </c>
      <c r="G27" s="445">
        <f t="shared" si="7"/>
        <v>21163.80964284185</v>
      </c>
      <c r="H27" s="445">
        <f t="shared" si="8"/>
        <v>3882.2932544820414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25105.745534367321</v>
      </c>
    </row>
    <row r="28" spans="1:17">
      <c r="A28" s="440" t="s">
        <v>539</v>
      </c>
      <c r="B28" s="441">
        <f t="shared" ca="1" si="2"/>
        <v>0.99537639827918545</v>
      </c>
      <c r="C28" s="441">
        <f t="shared" ca="1" si="3"/>
        <v>0</v>
      </c>
      <c r="D28" s="441">
        <f t="shared" si="4"/>
        <v>0</v>
      </c>
      <c r="E28" s="441">
        <f t="shared" si="5"/>
        <v>0</v>
      </c>
      <c r="F28" s="441">
        <f t="shared" si="6"/>
        <v>0</v>
      </c>
      <c r="G28" s="441">
        <f t="shared" si="7"/>
        <v>287.13516477251881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288.13054117079798</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65.388567430805992</v>
      </c>
      <c r="C32" s="441">
        <f t="shared" ca="1" si="3"/>
        <v>0</v>
      </c>
      <c r="D32" s="441">
        <f t="shared" si="4"/>
        <v>212.82477600000001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278.21334343080599</v>
      </c>
    </row>
    <row r="33" spans="1:17" s="450" customFormat="1">
      <c r="A33" s="956" t="s">
        <v>543</v>
      </c>
      <c r="B33" s="896">
        <f ca="1">SUM(B22:B32)</f>
        <v>7639.9632869913466</v>
      </c>
      <c r="C33" s="896">
        <f t="shared" ref="C33:Q33" ca="1" si="18">SUM(C22:C32)</f>
        <v>0</v>
      </c>
      <c r="D33" s="896">
        <f t="shared" ca="1" si="18"/>
        <v>9482.5352144992121</v>
      </c>
      <c r="E33" s="896">
        <f t="shared" si="18"/>
        <v>566.85670371720403</v>
      </c>
      <c r="F33" s="896">
        <f t="shared" ca="1" si="18"/>
        <v>15606.086037899135</v>
      </c>
      <c r="G33" s="896">
        <f t="shared" si="18"/>
        <v>21450.944807614371</v>
      </c>
      <c r="H33" s="896">
        <f t="shared" si="18"/>
        <v>3882.2932544820414</v>
      </c>
      <c r="I33" s="896">
        <f t="shared" si="18"/>
        <v>0</v>
      </c>
      <c r="J33" s="896">
        <f t="shared" si="18"/>
        <v>542.52824203672435</v>
      </c>
      <c r="K33" s="896">
        <f t="shared" si="18"/>
        <v>0</v>
      </c>
      <c r="L33" s="896">
        <f t="shared" ca="1" si="18"/>
        <v>0</v>
      </c>
      <c r="M33" s="896">
        <f t="shared" si="18"/>
        <v>0</v>
      </c>
      <c r="N33" s="896">
        <f t="shared" ca="1" si="18"/>
        <v>0</v>
      </c>
      <c r="O33" s="896">
        <f t="shared" si="18"/>
        <v>0</v>
      </c>
      <c r="P33" s="896">
        <f t="shared" si="18"/>
        <v>0</v>
      </c>
      <c r="Q33" s="896">
        <f t="shared" ca="1" si="18"/>
        <v>59171.207547240025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7223.8008712667415</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4500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5294.1176470588243</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11723.800871266742</v>
      </c>
      <c r="C10" s="977">
        <f>SUM(C4:C9)</f>
        <v>0</v>
      </c>
      <c r="D10" s="977">
        <f t="shared" ref="D10:H10" si="0">SUM(D8:D9)</f>
        <v>0</v>
      </c>
      <c r="E10" s="977">
        <f t="shared" si="0"/>
        <v>0</v>
      </c>
      <c r="F10" s="977">
        <f t="shared" si="0"/>
        <v>0</v>
      </c>
      <c r="G10" s="977">
        <f t="shared" si="0"/>
        <v>0</v>
      </c>
      <c r="H10" s="977">
        <f t="shared" si="0"/>
        <v>0</v>
      </c>
      <c r="I10" s="977">
        <f>SUM(I8:I9)</f>
        <v>0</v>
      </c>
      <c r="J10" s="977">
        <f>SUM(J8:J9)</f>
        <v>5294.1176470588243</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0.16503221070980295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6428.5714285714284</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7563.0252100840344</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6428.5714285714284</v>
      </c>
      <c r="C20" s="977">
        <f>SUM(C17:C19)</f>
        <v>0</v>
      </c>
      <c r="D20" s="977">
        <f t="shared" ref="D20:H20" si="2">SUM(D17:D19)</f>
        <v>0</v>
      </c>
      <c r="E20" s="977">
        <f t="shared" si="2"/>
        <v>0</v>
      </c>
      <c r="F20" s="977">
        <f t="shared" si="2"/>
        <v>0</v>
      </c>
      <c r="G20" s="977">
        <f t="shared" si="2"/>
        <v>0</v>
      </c>
      <c r="H20" s="977">
        <f t="shared" si="2"/>
        <v>0</v>
      </c>
      <c r="I20" s="977">
        <f>SUM(I17:I19)</f>
        <v>0</v>
      </c>
      <c r="J20" s="977">
        <f>SUM(J17:J19)</f>
        <v>7563.0252100840344</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0.16503221070980295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2022-07-26T11:18:39Z</dcterms:modified>
</cp:coreProperties>
</file>