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5\"/>
    </mc:Choice>
  </mc:AlternateContent>
  <xr:revisionPtr revIDLastSave="0" documentId="8_{229FDA6D-41E8-4C26-AD63-40D9AFB56687}"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24" i="5"/>
  <c r="AC23" i="5"/>
  <c r="AC22" i="5"/>
  <c r="AC21" i="5"/>
  <c r="AC20" i="5"/>
  <c r="AC19" i="5"/>
  <c r="AC18" i="5"/>
  <c r="AC17" i="5"/>
  <c r="AC16" i="5"/>
  <c r="Y15" i="5"/>
  <c r="AC15" i="5"/>
  <c r="E78" i="22"/>
  <c r="E42" i="22"/>
  <c r="P7" i="59"/>
  <c r="P6" i="59"/>
  <c r="P5" i="59"/>
  <c r="P4" i="59"/>
  <c r="L19" i="18"/>
  <c r="K19" i="18"/>
  <c r="J19" i="18"/>
  <c r="J89" i="14"/>
  <c r="J19" i="59"/>
  <c r="I19" i="18"/>
  <c r="I89" i="14"/>
  <c r="I19" i="59"/>
  <c r="H19" i="18"/>
  <c r="G19" i="18"/>
  <c r="F19" i="18"/>
  <c r="G89" i="14"/>
  <c r="G19" i="59"/>
  <c r="E19" i="18"/>
  <c r="D19" i="18"/>
  <c r="C19" i="18"/>
  <c r="B19" i="18"/>
  <c r="N18" i="18"/>
  <c r="L88" i="14"/>
  <c r="L18" i="59"/>
  <c r="M18" i="18"/>
  <c r="L18" i="18"/>
  <c r="K18" i="18"/>
  <c r="N88" i="14"/>
  <c r="N18" i="59"/>
  <c r="J18" i="18"/>
  <c r="J88" i="14"/>
  <c r="J18" i="59"/>
  <c r="I18" i="18"/>
  <c r="H18" i="18"/>
  <c r="G18" i="18"/>
  <c r="H88" i="14"/>
  <c r="F18" i="18"/>
  <c r="E18" i="18"/>
  <c r="D18" i="18"/>
  <c r="C18" i="18"/>
  <c r="D88" i="14"/>
  <c r="D18" i="59"/>
  <c r="B18" i="18"/>
  <c r="L9" i="18"/>
  <c r="K9" i="18"/>
  <c r="G9" i="18"/>
  <c r="G10" i="18"/>
  <c r="F9" i="18"/>
  <c r="F10" i="18"/>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c r="M77" i="14"/>
  <c r="M9" i="59"/>
  <c r="V37" i="18"/>
  <c r="U37" i="18"/>
  <c r="T37" i="18"/>
  <c r="S37" i="18"/>
  <c r="E9" i="18"/>
  <c r="F77" i="14"/>
  <c r="F9" i="59"/>
  <c r="R37" i="18"/>
  <c r="Q37" i="18"/>
  <c r="P37" i="18"/>
  <c r="C9" i="18"/>
  <c r="D77" i="14"/>
  <c r="D9" i="59"/>
  <c r="O37" i="18"/>
  <c r="N37" i="18"/>
  <c r="B9" i="18"/>
  <c r="M37" i="18"/>
  <c r="W33" i="18"/>
  <c r="V33" i="18"/>
  <c r="U33" i="18"/>
  <c r="T33" i="18"/>
  <c r="S33" i="18"/>
  <c r="R33" i="18"/>
  <c r="Q33" i="18"/>
  <c r="P33" i="18"/>
  <c r="O33" i="18"/>
  <c r="N33" i="18"/>
  <c r="M33" i="18"/>
  <c r="W32" i="18"/>
  <c r="V32" i="18"/>
  <c r="U32" i="18"/>
  <c r="T32" i="18"/>
  <c r="S32" i="18"/>
  <c r="F13" i="15"/>
  <c r="R32" i="18"/>
  <c r="Q32" i="18"/>
  <c r="P32" i="18"/>
  <c r="O32" i="18"/>
  <c r="C13" i="15"/>
  <c r="N32" i="18"/>
  <c r="B13" i="15"/>
  <c r="M32" i="18"/>
  <c r="W31" i="18"/>
  <c r="V31" i="18"/>
  <c r="U31" i="18"/>
  <c r="T31" i="18"/>
  <c r="S31" i="18"/>
  <c r="R31" i="18"/>
  <c r="Q31" i="18"/>
  <c r="P31" i="18"/>
  <c r="O31" i="18"/>
  <c r="N31" i="18"/>
  <c r="M31" i="18"/>
  <c r="W30" i="18"/>
  <c r="V30" i="18"/>
  <c r="U30" i="18"/>
  <c r="T30" i="18"/>
  <c r="S30" i="18"/>
  <c r="R30" i="18"/>
  <c r="Q30" i="18"/>
  <c r="P30" i="18"/>
  <c r="O30" i="18"/>
  <c r="N30" i="18"/>
  <c r="B8" i="18"/>
  <c r="M30" i="18"/>
  <c r="G22" i="18"/>
  <c r="F22" i="18"/>
  <c r="E22" i="18"/>
  <c r="D22" i="18"/>
  <c r="C22" i="18"/>
  <c r="L20" i="18"/>
  <c r="G20" i="18"/>
  <c r="D20" i="18"/>
  <c r="G12" i="18"/>
  <c r="F12" i="18"/>
  <c r="E12" i="18"/>
  <c r="D12" i="18"/>
  <c r="C12" i="18"/>
  <c r="L10" i="18"/>
  <c r="K10" i="18"/>
  <c r="D10" i="18"/>
  <c r="B6" i="18"/>
  <c r="B74" i="14"/>
  <c r="B6" i="59"/>
  <c r="B5" i="18"/>
  <c r="B73" i="14"/>
  <c r="B5" i="59"/>
  <c r="B4" i="18"/>
  <c r="F6" i="17"/>
  <c r="D6" i="17"/>
  <c r="D5" i="17"/>
  <c r="B19" i="6"/>
  <c r="B18" i="6"/>
  <c r="B5" i="6"/>
  <c r="B6" i="6"/>
  <c r="C64" i="14"/>
  <c r="E25" i="14"/>
  <c r="D14" i="48"/>
  <c r="P7" i="48"/>
  <c r="O7" i="48"/>
  <c r="M7" i="48"/>
  <c r="K7" i="48"/>
  <c r="I7" i="48"/>
  <c r="H7" i="48"/>
  <c r="G7" i="48"/>
  <c r="P9" i="48"/>
  <c r="P27" i="48"/>
  <c r="O9" i="48"/>
  <c r="N9" i="48"/>
  <c r="L9" i="48"/>
  <c r="K9" i="48"/>
  <c r="J9" i="48"/>
  <c r="I9" i="48"/>
  <c r="F9" i="48"/>
  <c r="C9" i="48"/>
  <c r="P13" i="48"/>
  <c r="O13" i="48"/>
  <c r="N13" i="48"/>
  <c r="L13" i="48"/>
  <c r="K13" i="48"/>
  <c r="J13" i="48"/>
  <c r="I13" i="48"/>
  <c r="F13" i="48"/>
  <c r="C13" i="48"/>
  <c r="M8" i="48"/>
  <c r="K8" i="48"/>
  <c r="I8" i="48"/>
  <c r="H8" i="48"/>
  <c r="G8" i="48"/>
  <c r="P17" i="48"/>
  <c r="P25" i="48"/>
  <c r="O17" i="48"/>
  <c r="O27" i="48"/>
  <c r="K4" i="48"/>
  <c r="I4" i="48"/>
  <c r="H4" i="48"/>
  <c r="G4" i="48"/>
  <c r="H11" i="48"/>
  <c r="G11" i="48"/>
  <c r="O89" i="14"/>
  <c r="O19" i="59"/>
  <c r="N89" i="14"/>
  <c r="N19" i="59"/>
  <c r="M89" i="14"/>
  <c r="M19" i="59"/>
  <c r="L89" i="14"/>
  <c r="L19" i="59"/>
  <c r="K89" i="14"/>
  <c r="K19" i="59"/>
  <c r="H89" i="14"/>
  <c r="H19" i="59"/>
  <c r="E89" i="14"/>
  <c r="E19" i="59"/>
  <c r="D89" i="14"/>
  <c r="D19" i="59"/>
  <c r="O88" i="14"/>
  <c r="O18" i="59"/>
  <c r="M88" i="14"/>
  <c r="M18" i="59"/>
  <c r="K88" i="14"/>
  <c r="K18" i="59"/>
  <c r="I88" i="14"/>
  <c r="I18" i="59"/>
  <c r="F88" i="14"/>
  <c r="F18" i="59"/>
  <c r="E88" i="14"/>
  <c r="E18" i="59"/>
  <c r="O87" i="14"/>
  <c r="O17" i="59"/>
  <c r="N87" i="14"/>
  <c r="N17" i="59"/>
  <c r="L87" i="14"/>
  <c r="L17" i="59"/>
  <c r="K87" i="14"/>
  <c r="K17" i="59"/>
  <c r="H87" i="14"/>
  <c r="H17" i="59"/>
  <c r="G87" i="14"/>
  <c r="G17" i="59"/>
  <c r="E87" i="14"/>
  <c r="E17" i="59"/>
  <c r="O77" i="14"/>
  <c r="N77" i="14"/>
  <c r="N9" i="59"/>
  <c r="L77" i="14"/>
  <c r="L9" i="59"/>
  <c r="K77" i="14"/>
  <c r="K9" i="59"/>
  <c r="H77" i="14"/>
  <c r="H9" i="59"/>
  <c r="E77" i="14"/>
  <c r="E9" i="59"/>
  <c r="O76" i="14"/>
  <c r="O8" i="59"/>
  <c r="N76" i="14"/>
  <c r="N8" i="59"/>
  <c r="L76" i="14"/>
  <c r="K76" i="14"/>
  <c r="K8" i="59"/>
  <c r="H76" i="14"/>
  <c r="G76" i="14"/>
  <c r="G8" i="59"/>
  <c r="E76" i="14"/>
  <c r="E8" i="59"/>
  <c r="B75" i="14"/>
  <c r="B7" i="59"/>
  <c r="C29" i="14"/>
  <c r="Q54" i="14"/>
  <c r="P54" i="14"/>
  <c r="P56" i="14"/>
  <c r="L54" i="14"/>
  <c r="J54" i="14"/>
  <c r="J56" i="14"/>
  <c r="I54" i="14"/>
  <c r="I56" i="14"/>
  <c r="H54" i="14"/>
  <c r="Q24" i="14"/>
  <c r="Q26" i="14"/>
  <c r="P24" i="14"/>
  <c r="P26" i="14"/>
  <c r="N24" i="14"/>
  <c r="L24" i="14"/>
  <c r="L26"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R44" i="14"/>
  <c r="E55" i="14"/>
  <c r="C25" i="14"/>
  <c r="B14" i="48"/>
  <c r="N26" i="14"/>
  <c r="J26" i="14"/>
  <c r="I26" i="14"/>
  <c r="H26" i="14"/>
  <c r="P32" i="48"/>
  <c r="O32" i="48"/>
  <c r="R25" i="14"/>
  <c r="O31" i="48"/>
  <c r="P31" i="48"/>
  <c r="F20" i="18"/>
  <c r="L6" i="17"/>
  <c r="O25" i="48"/>
  <c r="D13" i="15"/>
  <c r="N6" i="17"/>
  <c r="B46" i="18"/>
  <c r="I9" i="18"/>
  <c r="I77" i="14"/>
  <c r="I9" i="59"/>
  <c r="B17" i="18"/>
  <c r="B20" i="18"/>
  <c r="C6" i="17"/>
  <c r="E10" i="59"/>
  <c r="G77" i="14"/>
  <c r="G9" i="59"/>
  <c r="G10" i="59"/>
  <c r="J9" i="18"/>
  <c r="J77" i="14"/>
  <c r="J9" i="59"/>
  <c r="E20" i="59"/>
  <c r="C46" i="18"/>
  <c r="I49" i="18"/>
  <c r="H8" i="18"/>
  <c r="N10" i="59"/>
  <c r="B10" i="18"/>
  <c r="K20" i="18"/>
  <c r="K90" i="14"/>
  <c r="K10" i="59"/>
  <c r="L20" i="59"/>
  <c r="O19" i="18"/>
  <c r="H78" i="14"/>
  <c r="H8" i="59"/>
  <c r="H10" i="59"/>
  <c r="H90" i="14"/>
  <c r="H18" i="59"/>
  <c r="H20" i="59"/>
  <c r="K20" i="59"/>
  <c r="O20" i="59"/>
  <c r="O90" i="14"/>
  <c r="L90" i="14"/>
  <c r="K78" i="14"/>
  <c r="N90" i="14"/>
  <c r="B72" i="14"/>
  <c r="B4" i="59"/>
  <c r="L78" i="14"/>
  <c r="L8" i="59"/>
  <c r="L10" i="59"/>
  <c r="O78" i="14"/>
  <c r="O9" i="59"/>
  <c r="O10" i="59"/>
  <c r="N20" i="59"/>
  <c r="L13" i="15"/>
  <c r="N13" i="15"/>
  <c r="O18" i="18"/>
  <c r="G88" i="14"/>
  <c r="B88" i="14"/>
  <c r="B18" i="59"/>
  <c r="F89" i="14"/>
  <c r="B89" i="14"/>
  <c r="B19" i="59"/>
  <c r="D49" i="18"/>
  <c r="I50" i="18"/>
  <c r="H17" i="18"/>
  <c r="E50" i="18"/>
  <c r="E17" i="18"/>
  <c r="H50" i="18"/>
  <c r="D50" i="18"/>
  <c r="G50" i="18"/>
  <c r="C50" i="18"/>
  <c r="F50" i="18"/>
  <c r="B50" i="18"/>
  <c r="C17" i="18"/>
  <c r="Q14" i="48"/>
  <c r="O24" i="48"/>
  <c r="O30" i="48"/>
  <c r="P24" i="48"/>
  <c r="P30" i="48"/>
  <c r="E78" i="14"/>
  <c r="E90" i="14"/>
  <c r="N78" i="14"/>
  <c r="B49" i="18"/>
  <c r="C8" i="18"/>
  <c r="C10" i="18"/>
  <c r="Q77" i="14"/>
  <c r="P9" i="59"/>
  <c r="O9" i="18"/>
  <c r="G78" i="14"/>
  <c r="C77" i="14"/>
  <c r="C9" i="59"/>
  <c r="F49" i="18"/>
  <c r="G49" i="18"/>
  <c r="I8" i="18"/>
  <c r="H49" i="18"/>
  <c r="C49" i="18"/>
  <c r="E49" i="18"/>
  <c r="E8" i="18"/>
  <c r="F76" i="14"/>
  <c r="F8" i="59"/>
  <c r="F10" i="59"/>
  <c r="B77" i="14"/>
  <c r="B9" i="59"/>
  <c r="G90" i="14"/>
  <c r="G18" i="59"/>
  <c r="G20" i="59"/>
  <c r="C88" i="14"/>
  <c r="C18" i="59"/>
  <c r="Q88" i="14"/>
  <c r="P18" i="59"/>
  <c r="C89" i="14"/>
  <c r="C19" i="59"/>
  <c r="F19" i="59"/>
  <c r="Q89" i="14"/>
  <c r="P19" i="59"/>
  <c r="C20" i="18"/>
  <c r="D87" i="14"/>
  <c r="D17" i="59"/>
  <c r="D20" i="59"/>
  <c r="J17" i="18"/>
  <c r="J8" i="18"/>
  <c r="F87" i="14"/>
  <c r="E20" i="18"/>
  <c r="I17" i="18"/>
  <c r="H20" i="18"/>
  <c r="M87" i="14"/>
  <c r="M76" i="14"/>
  <c r="H10" i="18"/>
  <c r="H14" i="15"/>
  <c r="H16" i="15"/>
  <c r="G14" i="15"/>
  <c r="G16" i="15"/>
  <c r="D76" i="14"/>
  <c r="D8" i="59"/>
  <c r="D10" i="59"/>
  <c r="H5" i="48"/>
  <c r="I10" i="14"/>
  <c r="I16" i="14"/>
  <c r="H10" i="14"/>
  <c r="H16" i="14"/>
  <c r="G5" i="48"/>
  <c r="E10" i="18"/>
  <c r="O8" i="18"/>
  <c r="O10" i="18"/>
  <c r="O17" i="18"/>
  <c r="O20" i="18"/>
  <c r="M90" i="14"/>
  <c r="M17" i="59"/>
  <c r="M20" i="59"/>
  <c r="M78" i="14"/>
  <c r="M8" i="59"/>
  <c r="M10" i="59"/>
  <c r="F90" i="14"/>
  <c r="F17" i="59"/>
  <c r="F20" i="59"/>
  <c r="I76" i="14"/>
  <c r="I8" i="59"/>
  <c r="I10" i="59"/>
  <c r="I10" i="18"/>
  <c r="Q87" i="14"/>
  <c r="D90" i="14"/>
  <c r="F78" i="14"/>
  <c r="J87" i="14"/>
  <c r="J20" i="18"/>
  <c r="J10" i="18"/>
  <c r="J76" i="14"/>
  <c r="I87" i="14"/>
  <c r="I17" i="59"/>
  <c r="I20" i="59"/>
  <c r="I20" i="18"/>
  <c r="B25" i="44"/>
  <c r="B24" i="44"/>
  <c r="D78" i="14"/>
  <c r="Q76" i="14"/>
  <c r="Q78" i="14"/>
  <c r="B9" i="6"/>
  <c r="J90" i="14"/>
  <c r="J17" i="59"/>
  <c r="J20" i="59"/>
  <c r="J78" i="14"/>
  <c r="J8" i="59"/>
  <c r="J10" i="59"/>
  <c r="P8" i="59"/>
  <c r="P10" i="59"/>
  <c r="Q90" i="14"/>
  <c r="B17" i="6"/>
  <c r="P17" i="59"/>
  <c r="P20" i="59"/>
  <c r="B87" i="14"/>
  <c r="I90" i="14"/>
  <c r="C87" i="14"/>
  <c r="C76" i="14"/>
  <c r="B76" i="14"/>
  <c r="I78" i="14"/>
  <c r="A31" i="23"/>
  <c r="A32" i="23"/>
  <c r="A33" i="23"/>
  <c r="C78" i="14"/>
  <c r="C8" i="59"/>
  <c r="C10" i="59"/>
  <c r="C90" i="14"/>
  <c r="C17" i="59"/>
  <c r="C20" i="59"/>
  <c r="B78" i="14"/>
  <c r="B8" i="59"/>
  <c r="B10" i="59"/>
  <c r="B90" i="14"/>
  <c r="B17" i="59"/>
  <c r="B20" i="59"/>
  <c r="B4" i="21"/>
  <c r="B4" i="6"/>
  <c r="B10" i="44"/>
  <c r="A6" i="23"/>
  <c r="A5" i="23"/>
  <c r="A2" i="23"/>
  <c r="D10" i="22"/>
  <c r="B51" i="22"/>
  <c r="A3" i="23"/>
  <c r="A4" i="23"/>
  <c r="A7" i="23"/>
  <c r="A8" i="23"/>
  <c r="D8" i="22"/>
  <c r="A9" i="23"/>
  <c r="D6" i="22"/>
  <c r="A10" i="23"/>
  <c r="A11" i="23"/>
  <c r="A12" i="23"/>
  <c r="A13" i="23"/>
  <c r="A14" i="23"/>
  <c r="A15" i="23"/>
  <c r="A16" i="23"/>
  <c r="A17" i="23"/>
  <c r="A18" i="23"/>
  <c r="A19" i="23"/>
  <c r="A20" i="23"/>
  <c r="A21" i="23"/>
  <c r="A22" i="23"/>
  <c r="A23" i="23"/>
  <c r="A24" i="23"/>
  <c r="A25" i="23"/>
  <c r="A26" i="23"/>
  <c r="A27" i="23"/>
  <c r="A28" i="23"/>
  <c r="A29" i="23"/>
  <c r="A30" i="23"/>
  <c r="E7" i="22"/>
  <c r="E11" i="22"/>
  <c r="D9" i="22"/>
  <c r="E9" i="22"/>
  <c r="E8" i="22"/>
  <c r="E10" i="22"/>
  <c r="B11" i="22"/>
  <c r="B10" i="22"/>
  <c r="B9" i="22"/>
  <c r="E6" i="22"/>
  <c r="B7" i="22"/>
  <c r="B6" i="22"/>
  <c r="D11" i="22"/>
  <c r="B8" i="22"/>
  <c r="D7" i="22"/>
  <c r="B52" i="22"/>
  <c r="C37" i="22"/>
  <c r="C73" i="22"/>
  <c r="H9" i="22"/>
  <c r="H10" i="22"/>
  <c r="H8" i="22"/>
  <c r="H6" i="22"/>
  <c r="H11" i="22"/>
  <c r="H7" i="22"/>
  <c r="M15" i="19"/>
  <c r="O15" i="19"/>
  <c r="P15" i="19"/>
  <c r="P9" i="14"/>
  <c r="O11" i="48"/>
  <c r="O29" i="48"/>
  <c r="M14" i="15"/>
  <c r="M16" i="15"/>
  <c r="M11" i="48"/>
  <c r="N9" i="14"/>
  <c r="P11" i="48"/>
  <c r="P29" i="48"/>
  <c r="Q9" i="14"/>
  <c r="N10" i="14"/>
  <c r="M5" i="48"/>
  <c r="B28" i="17"/>
  <c r="B27" i="17"/>
  <c r="B26" i="17"/>
  <c r="B31" i="19"/>
  <c r="B24" i="19"/>
  <c r="B52" i="13"/>
  <c r="B35" i="19"/>
  <c r="B26" i="19"/>
  <c r="B27" i="19"/>
  <c r="B6" i="13"/>
  <c r="B17" i="17"/>
  <c r="B34" i="17"/>
  <c r="B6" i="16"/>
  <c r="L5" i="17"/>
  <c r="F16" i="16"/>
  <c r="N16" i="16"/>
  <c r="D16" i="16"/>
  <c r="C16" i="16"/>
  <c r="B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J15"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5" i="13"/>
  <c r="C35" i="13"/>
  <c r="B32" i="13"/>
  <c r="B34" i="13"/>
  <c r="B33" i="13"/>
  <c r="B36" i="13"/>
  <c r="C34" i="13"/>
  <c r="P5" i="13"/>
  <c r="P8" i="13"/>
  <c r="B37" i="13"/>
  <c r="K14" i="15"/>
  <c r="K16" i="15"/>
  <c r="K11" i="48"/>
  <c r="K29" i="48"/>
  <c r="L9" i="14"/>
  <c r="L32" i="48"/>
  <c r="L27" i="48"/>
  <c r="L31" i="48"/>
  <c r="L24" i="48"/>
  <c r="L30" i="48"/>
  <c r="B14" i="15"/>
  <c r="B11" i="48"/>
  <c r="C9" i="14"/>
  <c r="D12" i="22"/>
  <c r="D13" i="48"/>
  <c r="D31" i="48"/>
  <c r="E18" i="14"/>
  <c r="M32" i="48"/>
  <c r="M30" i="48"/>
  <c r="M24" i="48"/>
  <c r="M26" i="48"/>
  <c r="M25" i="48"/>
  <c r="M29" i="48"/>
  <c r="M23" i="48"/>
  <c r="C14" i="15"/>
  <c r="C16" i="15"/>
  <c r="C11" i="48"/>
  <c r="D9" i="14"/>
  <c r="N14" i="15"/>
  <c r="N11" i="48"/>
  <c r="N29" i="48"/>
  <c r="O9" i="14"/>
  <c r="E12" i="22"/>
  <c r="E13" i="48"/>
  <c r="E31" i="48"/>
  <c r="F18" i="14"/>
  <c r="C11" i="14"/>
  <c r="B4" i="48"/>
  <c r="F27" i="48"/>
  <c r="F32" i="48"/>
  <c r="F31" i="48"/>
  <c r="F24" i="48"/>
  <c r="F30" i="48"/>
  <c r="N27" i="48"/>
  <c r="N32" i="48"/>
  <c r="N31" i="48"/>
  <c r="N30" i="48"/>
  <c r="N24" i="48"/>
  <c r="J10" i="48"/>
  <c r="J28" i="48"/>
  <c r="K19" i="14"/>
  <c r="K22" i="14"/>
  <c r="B12" i="22"/>
  <c r="B13" i="48"/>
  <c r="C18" i="14"/>
  <c r="I19" i="14"/>
  <c r="H10" i="48"/>
  <c r="H28" i="48"/>
  <c r="J19" i="14"/>
  <c r="J22" i="14"/>
  <c r="I10" i="48"/>
  <c r="I28" i="48"/>
  <c r="D11" i="14"/>
  <c r="C4" i="48"/>
  <c r="G32" i="48"/>
  <c r="G26" i="48"/>
  <c r="G29" i="48"/>
  <c r="G25" i="48"/>
  <c r="G22" i="48"/>
  <c r="G30" i="48"/>
  <c r="G24" i="48"/>
  <c r="G23" i="48"/>
  <c r="L19" i="14"/>
  <c r="L22" i="14"/>
  <c r="K10" i="48"/>
  <c r="K28" i="48"/>
  <c r="D30" i="48"/>
  <c r="D32" i="48"/>
  <c r="D24" i="48"/>
  <c r="D4" i="48"/>
  <c r="D22" i="48"/>
  <c r="E11" i="14"/>
  <c r="H32" i="48"/>
  <c r="H26" i="48"/>
  <c r="H25" i="48"/>
  <c r="H29" i="48"/>
  <c r="H30" i="48"/>
  <c r="H22" i="48"/>
  <c r="H24" i="48"/>
  <c r="H23" i="48"/>
  <c r="C10" i="48"/>
  <c r="D19" i="14"/>
  <c r="D22" i="14"/>
  <c r="L10" i="48"/>
  <c r="L28" i="48"/>
  <c r="M19" i="14"/>
  <c r="M22" i="14"/>
  <c r="L14" i="15"/>
  <c r="M9" i="14"/>
  <c r="L11" i="48"/>
  <c r="L29" i="48"/>
  <c r="E32" i="48"/>
  <c r="E30" i="48"/>
  <c r="E24" i="48"/>
  <c r="F14" i="15"/>
  <c r="F11" i="48"/>
  <c r="F29" i="48"/>
  <c r="G9" i="14"/>
  <c r="P11" i="14"/>
  <c r="O4" i="48"/>
  <c r="O22" i="48"/>
  <c r="I22" i="48"/>
  <c r="I32" i="48"/>
  <c r="I26" i="48"/>
  <c r="I27" i="48"/>
  <c r="I30" i="48"/>
  <c r="I24" i="48"/>
  <c r="I31" i="48"/>
  <c r="I25" i="48"/>
  <c r="E19" i="14"/>
  <c r="D10" i="48"/>
  <c r="D28" i="48"/>
  <c r="O19" i="14"/>
  <c r="O22" i="14"/>
  <c r="N10" i="48"/>
  <c r="N28" i="48"/>
  <c r="D11" i="48"/>
  <c r="D29" i="48"/>
  <c r="E9" i="14"/>
  <c r="E14" i="15"/>
  <c r="E11" i="48"/>
  <c r="E29" i="48"/>
  <c r="F9" i="14"/>
  <c r="J9" i="14"/>
  <c r="I11" i="48"/>
  <c r="I29" i="48"/>
  <c r="B6" i="9"/>
  <c r="B8" i="9"/>
  <c r="B6" i="48"/>
  <c r="Q6" i="48"/>
  <c r="C12" i="14"/>
  <c r="R12" i="14"/>
  <c r="B12" i="48"/>
  <c r="Q12" i="48"/>
  <c r="M11" i="14"/>
  <c r="L4" i="48"/>
  <c r="L22" i="48"/>
  <c r="J31" i="48"/>
  <c r="J32" i="48"/>
  <c r="J27" i="48"/>
  <c r="J30" i="48"/>
  <c r="J24" i="48"/>
  <c r="Q11" i="14"/>
  <c r="P4" i="48"/>
  <c r="P22" i="48"/>
  <c r="B7" i="48"/>
  <c r="C24" i="14"/>
  <c r="C26" i="14"/>
  <c r="F19" i="14"/>
  <c r="E10" i="48"/>
  <c r="E28" i="48"/>
  <c r="P19" i="14"/>
  <c r="P22" i="14"/>
  <c r="O10" i="48"/>
  <c r="O28" i="48"/>
  <c r="J14" i="15"/>
  <c r="J11" i="48"/>
  <c r="J29" i="48"/>
  <c r="K9" i="14"/>
  <c r="N11" i="14"/>
  <c r="N16" i="14"/>
  <c r="M4" i="48"/>
  <c r="M22" i="48"/>
  <c r="K27" i="48"/>
  <c r="K25" i="48"/>
  <c r="K32" i="48"/>
  <c r="K31" i="48"/>
  <c r="K30" i="48"/>
  <c r="K22" i="48"/>
  <c r="K24" i="48"/>
  <c r="K26" i="48"/>
  <c r="G19" i="14"/>
  <c r="G22" i="14"/>
  <c r="F10" i="48"/>
  <c r="F28" i="48"/>
  <c r="P10" i="48"/>
  <c r="P28" i="48"/>
  <c r="Q19" i="14"/>
  <c r="Q22" i="14"/>
  <c r="P5" i="48"/>
  <c r="Q10" i="14"/>
  <c r="B10" i="48"/>
  <c r="C19" i="14"/>
  <c r="L16" i="16"/>
  <c r="L18" i="16"/>
  <c r="D8" i="17"/>
  <c r="D12" i="17"/>
  <c r="E54" i="14"/>
  <c r="E56" i="14"/>
  <c r="I14" i="15"/>
  <c r="I16" i="15"/>
  <c r="B13" i="16"/>
  <c r="C35" i="16"/>
  <c r="D14" i="15"/>
  <c r="P18" i="16"/>
  <c r="N5" i="17"/>
  <c r="J8" i="17"/>
  <c r="J12" i="17"/>
  <c r="K54" i="14"/>
  <c r="K56" i="14"/>
  <c r="F8" i="17"/>
  <c r="L16" i="15"/>
  <c r="B67" i="22"/>
  <c r="M11" i="22"/>
  <c r="G10" i="22"/>
  <c r="M9" i="22"/>
  <c r="G8" i="22"/>
  <c r="M7" i="22"/>
  <c r="G6" i="22"/>
  <c r="G11" i="22"/>
  <c r="M8" i="22"/>
  <c r="G7" i="22"/>
  <c r="M10" i="22"/>
  <c r="G9" i="22"/>
  <c r="M6" i="22"/>
  <c r="B7" i="15"/>
  <c r="O5" i="16"/>
  <c r="B11" i="15"/>
  <c r="B11" i="16"/>
  <c r="J19" i="19"/>
  <c r="K39" i="14"/>
  <c r="N19" i="19"/>
  <c r="O39" i="14"/>
  <c r="C18" i="16"/>
  <c r="D31" i="20"/>
  <c r="E48"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F5" i="13"/>
  <c r="F8" i="13"/>
  <c r="P12" i="13"/>
  <c r="Q41" i="14"/>
  <c r="D12" i="13"/>
  <c r="E41" i="14"/>
  <c r="O12" i="13"/>
  <c r="P41" i="14"/>
  <c r="E5" i="17"/>
  <c r="C8" i="17"/>
  <c r="B14" i="22"/>
  <c r="G51" i="22"/>
  <c r="G50" i="22"/>
  <c r="G54" i="22"/>
  <c r="N46" i="14"/>
  <c r="Q13" i="14"/>
  <c r="Q16" i="14"/>
  <c r="Q27" i="14"/>
  <c r="P8" i="48"/>
  <c r="P26" i="48"/>
  <c r="J46" i="14"/>
  <c r="J61" i="14"/>
  <c r="J10" i="14"/>
  <c r="J16" i="14"/>
  <c r="J27" i="14"/>
  <c r="I5" i="48"/>
  <c r="R9" i="14"/>
  <c r="L46" i="14"/>
  <c r="L61" i="14"/>
  <c r="Q11" i="48"/>
  <c r="K24" i="14"/>
  <c r="K26" i="14"/>
  <c r="J7" i="48"/>
  <c r="J25" i="48"/>
  <c r="K5" i="48"/>
  <c r="L10" i="14"/>
  <c r="L16" i="14"/>
  <c r="L27" i="14"/>
  <c r="P23" i="48"/>
  <c r="P15" i="48"/>
  <c r="O5" i="48"/>
  <c r="P10" i="14"/>
  <c r="F4" i="48"/>
  <c r="F22" i="48"/>
  <c r="G11" i="14"/>
  <c r="G13" i="48"/>
  <c r="H18" i="14"/>
  <c r="H13" i="48"/>
  <c r="H31" i="48"/>
  <c r="I18" i="14"/>
  <c r="M12" i="22"/>
  <c r="N18" i="14"/>
  <c r="M13" i="48"/>
  <c r="M31" i="48"/>
  <c r="B9" i="48"/>
  <c r="C20" i="14"/>
  <c r="E20" i="14"/>
  <c r="E22" i="14"/>
  <c r="D9" i="48"/>
  <c r="D27" i="48"/>
  <c r="E9" i="48"/>
  <c r="F20" i="14"/>
  <c r="F22" i="14"/>
  <c r="G24" i="14"/>
  <c r="G26" i="14"/>
  <c r="F7" i="48"/>
  <c r="F25" i="48"/>
  <c r="M13" i="14"/>
  <c r="L8" i="48"/>
  <c r="L26" i="48"/>
  <c r="L22" i="16"/>
  <c r="M43" i="14"/>
  <c r="C7" i="48"/>
  <c r="D24" i="14"/>
  <c r="D26" i="14"/>
  <c r="D13" i="14"/>
  <c r="C8" i="48"/>
  <c r="D7" i="48"/>
  <c r="E24" i="14"/>
  <c r="D10" i="14"/>
  <c r="C5" i="48"/>
  <c r="M10" i="14"/>
  <c r="L5" i="48"/>
  <c r="P22" i="16"/>
  <c r="Q43" i="14"/>
  <c r="E8" i="17"/>
  <c r="O18" i="16"/>
  <c r="E5" i="13"/>
  <c r="E8" i="13"/>
  <c r="H12" i="22"/>
  <c r="N5" i="13"/>
  <c r="N8" i="13"/>
  <c r="D18" i="16"/>
  <c r="G31" i="20"/>
  <c r="H48" i="14"/>
  <c r="G12" i="22"/>
  <c r="D16" i="15"/>
  <c r="D5" i="48"/>
  <c r="N8" i="17"/>
  <c r="L8" i="17"/>
  <c r="M50" i="22"/>
  <c r="M54" i="22"/>
  <c r="F12" i="17"/>
  <c r="G54" i="14"/>
  <c r="G56" i="14"/>
  <c r="M31" i="20"/>
  <c r="N48" i="14"/>
  <c r="H31" i="20"/>
  <c r="I48" i="14"/>
  <c r="M5"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Q46" i="14"/>
  <c r="Q61" i="14"/>
  <c r="H14" i="22"/>
  <c r="G14" i="22"/>
  <c r="H20" i="14"/>
  <c r="M14" i="22"/>
  <c r="M9" i="48"/>
  <c r="J63" i="14"/>
  <c r="P33" i="48"/>
  <c r="E7" i="48"/>
  <c r="E25" i="48"/>
  <c r="F24" i="14"/>
  <c r="F26" i="14"/>
  <c r="I23" i="48"/>
  <c r="I33" i="48"/>
  <c r="I15" i="48"/>
  <c r="O22" i="16"/>
  <c r="P43" i="14"/>
  <c r="P46" i="14"/>
  <c r="P61" i="14"/>
  <c r="P13" i="14"/>
  <c r="P16" i="14"/>
  <c r="P27" i="14"/>
  <c r="O8" i="48"/>
  <c r="O26" i="48"/>
  <c r="Q63" i="14"/>
  <c r="L63" i="14"/>
  <c r="R18" i="14"/>
  <c r="K23" i="48"/>
  <c r="K33" i="48"/>
  <c r="K15" i="48"/>
  <c r="O23" i="48"/>
  <c r="N4" i="48"/>
  <c r="N22" i="48"/>
  <c r="O11" i="14"/>
  <c r="E12" i="13"/>
  <c r="F41" i="14"/>
  <c r="F11" i="14"/>
  <c r="E4" i="48"/>
  <c r="J4" i="48"/>
  <c r="K11" i="14"/>
  <c r="G10" i="48"/>
  <c r="H19" i="14"/>
  <c r="N19" i="14"/>
  <c r="M10" i="48"/>
  <c r="M28" i="48"/>
  <c r="G31" i="48"/>
  <c r="Q13" i="48"/>
  <c r="H9" i="48"/>
  <c r="I20" i="14"/>
  <c r="I22" i="14"/>
  <c r="I27" i="14"/>
  <c r="C22" i="14"/>
  <c r="G9" i="48"/>
  <c r="E27" i="48"/>
  <c r="N12" i="17"/>
  <c r="O54" i="14"/>
  <c r="O56" i="14"/>
  <c r="O24" i="14"/>
  <c r="O26" i="14"/>
  <c r="N7" i="48"/>
  <c r="N25" i="48"/>
  <c r="L12" i="17"/>
  <c r="M54" i="14"/>
  <c r="M56" i="14"/>
  <c r="L7" i="48"/>
  <c r="L25" i="48"/>
  <c r="M24" i="14"/>
  <c r="M26" i="14"/>
  <c r="D22" i="16"/>
  <c r="E43" i="14"/>
  <c r="D8" i="48"/>
  <c r="D26" i="48"/>
  <c r="E13" i="14"/>
  <c r="C13" i="14"/>
  <c r="B8" i="48"/>
  <c r="E26" i="14"/>
  <c r="D25" i="48"/>
  <c r="C10" i="14"/>
  <c r="B5" i="48"/>
  <c r="O10" i="14"/>
  <c r="N5" i="48"/>
  <c r="G10" i="14"/>
  <c r="F5" i="48"/>
  <c r="D20" i="15"/>
  <c r="E40" i="14"/>
  <c r="E10" i="14"/>
  <c r="E12" i="17"/>
  <c r="F54" i="14"/>
  <c r="F56" i="14"/>
  <c r="E16" i="15"/>
  <c r="J16" i="15"/>
  <c r="J20" i="15"/>
  <c r="K40" i="14"/>
  <c r="M58" i="22"/>
  <c r="N49" i="14"/>
  <c r="D18" i="22"/>
  <c r="E50" i="14"/>
  <c r="E52" i="14"/>
  <c r="E18" i="22"/>
  <c r="F50" i="14"/>
  <c r="F52" i="14"/>
  <c r="G58" i="22"/>
  <c r="H49" i="14"/>
  <c r="M18" i="22"/>
  <c r="N50" i="14"/>
  <c r="N52" i="14"/>
  <c r="N61" i="14"/>
  <c r="N20" i="15"/>
  <c r="O40" i="14"/>
  <c r="F20" i="15"/>
  <c r="G40" i="14"/>
  <c r="N5" i="16"/>
  <c r="E5" i="16"/>
  <c r="J5" i="16"/>
  <c r="F5" i="16"/>
  <c r="N12" i="13"/>
  <c r="O41" i="14"/>
  <c r="J12" i="13"/>
  <c r="K41" i="14"/>
  <c r="L20" i="15"/>
  <c r="M40" i="14"/>
  <c r="N20" i="14"/>
  <c r="N22" i="14"/>
  <c r="N27" i="14"/>
  <c r="N63" i="14"/>
  <c r="J5" i="48"/>
  <c r="J23" i="48"/>
  <c r="K10" i="14"/>
  <c r="O15" i="48"/>
  <c r="O33" i="48"/>
  <c r="F10" i="14"/>
  <c r="E5" i="48"/>
  <c r="E23" i="48"/>
  <c r="P63" i="14"/>
  <c r="H22" i="14"/>
  <c r="H27" i="14"/>
  <c r="J22" i="48"/>
  <c r="E22" i="48"/>
  <c r="Q4" i="48"/>
  <c r="R11" i="14"/>
  <c r="R19" i="14"/>
  <c r="G28" i="48"/>
  <c r="Q10" i="48"/>
  <c r="G27" i="48"/>
  <c r="G15" i="48"/>
  <c r="Q9" i="48"/>
  <c r="H27" i="48"/>
  <c r="H33" i="48"/>
  <c r="H15" i="48"/>
  <c r="R20" i="14"/>
  <c r="M27" i="48"/>
  <c r="M33" i="48"/>
  <c r="M15" i="48"/>
  <c r="R24" i="14"/>
  <c r="R26" i="14"/>
  <c r="Q7" i="48"/>
  <c r="E20" i="15"/>
  <c r="F40" i="14"/>
  <c r="J18" i="16"/>
  <c r="E18" i="16"/>
  <c r="F18" i="16"/>
  <c r="F22" i="16"/>
  <c r="G43" i="14"/>
  <c r="N18" i="16"/>
  <c r="G18" i="22"/>
  <c r="H50" i="14"/>
  <c r="H52" i="14"/>
  <c r="H61" i="14"/>
  <c r="H18" i="22"/>
  <c r="I50" i="14"/>
  <c r="I52" i="14"/>
  <c r="I61" i="14"/>
  <c r="I63" i="14"/>
  <c r="H63" i="14"/>
  <c r="R22" i="14"/>
  <c r="E8" i="48"/>
  <c r="E26" i="48"/>
  <c r="E33" i="48"/>
  <c r="F13" i="14"/>
  <c r="F16" i="14"/>
  <c r="F27" i="14"/>
  <c r="J22" i="16"/>
  <c r="K43" i="14"/>
  <c r="K46" i="14"/>
  <c r="K61" i="14"/>
  <c r="J8" i="48"/>
  <c r="K13" i="14"/>
  <c r="K16" i="14"/>
  <c r="K27" i="14"/>
  <c r="E22" i="16"/>
  <c r="F43" i="14"/>
  <c r="F46" i="14"/>
  <c r="F61" i="14"/>
  <c r="G33" i="48"/>
  <c r="N8" i="48"/>
  <c r="N26" i="48"/>
  <c r="O13" i="14"/>
  <c r="N22" i="16"/>
  <c r="O43" i="14"/>
  <c r="G13" i="14"/>
  <c r="F8" i="48"/>
  <c r="K63" i="14"/>
  <c r="F63" i="14"/>
  <c r="E15" i="48"/>
  <c r="R13" i="14"/>
  <c r="J26" i="48"/>
  <c r="J33" i="48"/>
  <c r="J15" i="48"/>
  <c r="F26" i="48"/>
  <c r="Q8" i="48"/>
  <c r="D16" i="14"/>
  <c r="D27" i="14"/>
  <c r="B20" i="6"/>
  <c r="M16" i="14"/>
  <c r="M27" i="14"/>
  <c r="G16" i="14"/>
  <c r="G27" i="14"/>
  <c r="L23" i="48"/>
  <c r="L33" i="48"/>
  <c r="L15" i="48"/>
  <c r="B15" i="48"/>
  <c r="C15" i="48"/>
  <c r="O16" i="14"/>
  <c r="O27" i="14"/>
  <c r="E16" i="14"/>
  <c r="E27" i="14"/>
  <c r="R10" i="14"/>
  <c r="R16" i="14"/>
  <c r="R27" i="14"/>
  <c r="C16" i="14"/>
  <c r="C27" i="14"/>
  <c r="B3" i="6"/>
  <c r="B22" i="6"/>
  <c r="C22" i="59"/>
  <c r="E46" i="14"/>
  <c r="E61" i="14"/>
  <c r="O46" i="14"/>
  <c r="O61" i="14"/>
  <c r="G46" i="14"/>
  <c r="G61" i="14"/>
  <c r="M46" i="14"/>
  <c r="M61" i="14"/>
  <c r="M63" i="14"/>
  <c r="O63" i="14"/>
  <c r="E63" i="14"/>
  <c r="G63" i="14"/>
  <c r="C18" i="15"/>
  <c r="C20" i="15"/>
  <c r="D40" i="14"/>
  <c r="C10" i="17"/>
  <c r="C12" i="17"/>
  <c r="D54" i="14"/>
  <c r="C20" i="16"/>
  <c r="C22" i="16"/>
  <c r="D43" i="14"/>
  <c r="C56" i="22"/>
  <c r="C58" i="22"/>
  <c r="D49" i="14"/>
  <c r="C16" i="22"/>
  <c r="C10" i="13"/>
  <c r="C17" i="49"/>
  <c r="C17" i="19"/>
  <c r="C19" i="19"/>
  <c r="D39" i="14"/>
  <c r="C29" i="20"/>
  <c r="N23" i="48"/>
  <c r="N33" i="48"/>
  <c r="N15" i="48"/>
  <c r="F23" i="48"/>
  <c r="F33" i="48"/>
  <c r="F15" i="48"/>
  <c r="D23" i="48"/>
  <c r="D33" i="48"/>
  <c r="D15" i="48"/>
  <c r="Q5" i="48"/>
  <c r="Q15" i="48"/>
  <c r="B12" i="6"/>
  <c r="C12" i="59"/>
  <c r="C17" i="48"/>
  <c r="C12" i="13"/>
  <c r="D41" i="14"/>
  <c r="C55" i="14"/>
  <c r="B10" i="9"/>
  <c r="B12" i="9"/>
  <c r="B29" i="20"/>
  <c r="B31" i="20"/>
  <c r="C48" i="14"/>
  <c r="B56" i="22"/>
  <c r="B58" i="22"/>
  <c r="C49" i="14"/>
  <c r="B10" i="13"/>
  <c r="B16" i="22"/>
  <c r="B18" i="22"/>
  <c r="C50" i="14"/>
  <c r="B17" i="19"/>
  <c r="B19" i="19"/>
  <c r="C39" i="14"/>
  <c r="B17" i="49"/>
  <c r="B19" i="49"/>
  <c r="C42" i="14"/>
  <c r="B20" i="16"/>
  <c r="B22" i="16"/>
  <c r="C43" i="14"/>
  <c r="B18" i="15"/>
  <c r="B20" i="15"/>
  <c r="B10" i="17"/>
  <c r="B12" i="17"/>
  <c r="C54" i="14"/>
  <c r="C40" i="14"/>
  <c r="B12" i="13"/>
  <c r="C41" i="14"/>
  <c r="B17" i="48"/>
  <c r="D52" i="14"/>
  <c r="D56" i="14"/>
  <c r="D46" i="14"/>
  <c r="C32" i="48"/>
  <c r="C30" i="48"/>
  <c r="C24" i="48"/>
  <c r="C31" i="48"/>
  <c r="C28" i="48"/>
  <c r="C26" i="48"/>
  <c r="C25" i="48"/>
  <c r="C27" i="48"/>
  <c r="C29" i="48"/>
  <c r="C22" i="48"/>
  <c r="C23" i="48"/>
  <c r="D61" i="14"/>
  <c r="D63" i="14"/>
  <c r="R55" i="14"/>
  <c r="C33" i="48"/>
  <c r="R49" i="14"/>
  <c r="R50" i="14"/>
  <c r="R43" i="14"/>
  <c r="R42" i="14"/>
  <c r="B22" i="48"/>
  <c r="B24" i="48"/>
  <c r="Q24" i="48"/>
  <c r="B25" i="48"/>
  <c r="Q25" i="48"/>
  <c r="B29" i="48"/>
  <c r="Q29" i="48"/>
  <c r="B26" i="48"/>
  <c r="Q26" i="48"/>
  <c r="B30" i="48"/>
  <c r="Q30" i="48"/>
  <c r="B31" i="48"/>
  <c r="Q31" i="48"/>
  <c r="B27" i="48"/>
  <c r="Q27" i="48"/>
  <c r="B32" i="48"/>
  <c r="Q32" i="48"/>
  <c r="B28" i="48"/>
  <c r="Q28" i="48"/>
  <c r="B23" i="48"/>
  <c r="Q23" i="48"/>
  <c r="R54" i="14"/>
  <c r="R56" i="14"/>
  <c r="C56" i="14"/>
  <c r="C52" i="14"/>
  <c r="R48" i="14"/>
  <c r="R52" i="14"/>
  <c r="R39" i="14"/>
  <c r="R40" i="14"/>
  <c r="R41" i="14"/>
  <c r="Q22" i="48"/>
  <c r="Q33" i="48"/>
  <c r="B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<sst xmlns="http://schemas.openxmlformats.org/spreadsheetml/2006/main" count="2416" uniqueCount="890">
  <si>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</si>
  <si>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</si>
  <si>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</si>
  <si>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</si>
  <si>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</si>
  <si>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</si>
  <si>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</si>
  <si>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</si>
  <si>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</si>
  <si>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</si>
  <si>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</si>
  <si>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</si>
  <si>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</si>
  <si>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</si>
  <si>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</si>
  <si>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</si>
  <si>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</si>
  <si>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</si>
  <si>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</si>
  <si>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</si>
  <si>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</si>
  <si>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</si>
  <si>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</si>
  <si>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</si>
  <si>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</si>
  <si>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</si>
  <si>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</si>
  <si>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</si>
  <si>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</si>
  <si>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</si>
  <si>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</si>
  <si>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</si>
  <si>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</si>
  <si>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</si>
  <si>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</si>
  <si>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</si>
  <si>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</si>
  <si>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</si>
  <si>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</si>
  <si>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</si>
  <si>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</si>
  <si>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</si>
  <si>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</si>
  <si>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</si>
  <si>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</si>
  <si>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</si>
  <si>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</si>
  <si>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</si>
  <si>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</si>
  <si>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</si>
  <si>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</si>
  <si>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</si>
  <si>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</si>
  <si>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</si>
  <si>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</si>
  <si>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</si>
  <si>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</si>
  <si>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</si>
  <si>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</si>
  <si>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</si>
  <si>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</si>
  <si>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</si>
  <si>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</si>
  <si>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</si>
  <si>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</si>
  <si>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</si>
  <si>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</si>
  <si>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</si>
  <si>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</si>
  <si>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</si>
  <si>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</si>
  <si>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</si>
  <si>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</si>
  <si>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</si>
  <si>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</si>
  <si>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</si>
  <si>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</si>
  <si>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</si>
  <si>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</si>
  <si>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</si>
  <si>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</si>
  <si>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</si>
  <si>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</si>
  <si>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</si>
  <si>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</si>
  <si>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</si>
  <si>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</si>
  <si>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</si>
  <si>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</si>
  <si>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</si>
  <si>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</si>
  <si>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</si>
  <si>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</si>
  <si>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</si>
  <si>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</si>
  <si>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</si>
  <si>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</si>
  <si>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</si>
  <si>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</si>
  <si>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</si>
  <si>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</si>
  <si>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</si>
  <si>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</si>
  <si>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</si>
  <si>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</si>
  <si>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</si>
  <si>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</si>
  <si>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</si>
  <si>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</si>
  <si>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</si>
  <si>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</si>
  <si>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</si>
  <si>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</si>
  <si>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</si>
  <si>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</si>
  <si>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</si>
  <si>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</si>
  <si>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</si>
  <si>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</si>
  <si>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</si>
  <si>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</si>
  <si>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</si>
  <si>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</si>
  <si>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</si>
  <si>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</si>
  <si>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</si>
  <si>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</si>
  <si>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</si>
  <si>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</si>
  <si>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</si>
  <si>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</si>
  <si>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</si>
  <si>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</si>
  <si>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</si>
  <si>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</si>
  <si>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</si>
  <si>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</si>
  <si>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</si>
  <si>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</si>
  <si>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</si>
  <si>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</si>
  <si>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</si>
  <si>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</si>
  <si>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</si>
  <si>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</si>
  <si>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</si>
  <si>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</si>
  <si>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</si>
  <si>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</si>
  <si>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</si>
  <si>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</si>
  <si>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</si>
  <si>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</si>
  <si>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</si>
  <si>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</si>
  <si>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</si>
  <si>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</si>
  <si>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</si>
  <si>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</si>
  <si>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</si>
  <si>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</si>
  <si>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</si>
  <si>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</si>
  <si>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</si>
  <si>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</si>
  <si>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</si>
  <si>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</si>
  <si>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</si>
  <si>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</si>
  <si>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</si>
  <si>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</si>
  <si>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</si>
  <si>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</si>
  <si>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</si>
  <si>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</si>
  <si>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</si>
  <si>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</si>
  <si>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</si>
  <si>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</si>
  <si>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</si>
  <si>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</si>
  <si>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</si>
  <si>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</si>
  <si>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</si>
  <si>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</si>
  <si>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</si>
  <si>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</si>
  <si>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</si>
  <si>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</si>
  <si>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</si>
  <si>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</si>
  <si>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</si>
  <si>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</si>
  <si>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</si>
  <si>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</si>
  <si>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</si>
  <si>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</si>
  <si>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</si>
  <si>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</si>
  <si>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</si>
  <si>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</si>
  <si>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</si>
  <si>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</si>
  <si>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</si>
  <si>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</si>
  <si>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</si>
  <si>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</si>
  <si>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</si>
  <si>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</si>
  <si>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</si>
  <si>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</si>
  <si>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</si>
  <si>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</si>
  <si>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</si>
  <si>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</si>
  <si>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</si>
  <si>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</si>
  <si>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</si>
  <si>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</si>
  <si>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</si>
  <si>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</si>
  <si>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</si>
  <si>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</si>
  <si>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</si>
  <si>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</si>
  <si>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</si>
  <si>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</si>
  <si>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</si>
  <si>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</si>
  <si>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</si>
  <si>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</si>
  <si>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</si>
  <si>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</si>
  <si>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</si>
  <si>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</si>
  <si>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</si>
  <si>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</si>
  <si>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</si>
  <si>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</si>
  <si>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</si>
  <si>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</si>
  <si>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</si>
  <si>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</si>
  <si>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</si>
  <si>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</si>
  <si>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</si>
  <si>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</si>
  <si>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</si>
  <si>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</si>
  <si>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</si>
  <si>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</si>
  <si>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</si>
  <si>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</si>
  <si>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</si>
  <si>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</si>
  <si>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</si>
  <si>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</si>
  <si>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</si>
  <si>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</si>
  <si>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</si>
  <si>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</si>
  <si>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</si>
  <si>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</si>
  <si>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</si>
  <si>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</si>
  <si>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</si>
  <si>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</si>
  <si>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</si>
  <si>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</si>
  <si>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</si>
  <si>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</si>
  <si>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</si>
  <si>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</si>
  <si>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</si>
  <si>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</si>
  <si>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</si>
  <si>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</si>
  <si>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</si>
  <si>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</si>
  <si>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</si>
  <si>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</si>
  <si>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</si>
  <si>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</si>
  <si>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</si>
  <si>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</si>
  <si>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</si>
  <si>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</si>
  <si>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</si>
  <si>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</si>
  <si>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</si>
  <si>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</si>
  <si>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</si>
  <si>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</si>
  <si>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</si>
  <si>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</si>
  <si>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</si>
  <si>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</si>
  <si>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</si>
  <si>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</si>
  <si>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</si>
  <si>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</si>
  <si>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</si>
  <si>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</si>
  <si>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</si>
  <si>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</si>
  <si>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</si>
  <si>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</si>
  <si>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</si>
  <si>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</si>
  <si>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</si>
  <si>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</si>
  <si>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</si>
  <si>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</si>
  <si>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</si>
  <si>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</si>
  <si>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</si>
  <si>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</si>
  <si>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</si>
  <si>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</si>
  <si>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</si>
  <si>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</si>
  <si>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</si>
  <si>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</si>
  <si>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</si>
  <si>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</si>
  <si>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</si>
  <si>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</si>
  <si>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</si>
  <si>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</si>
  <si>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</si>
  <si>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</si>
  <si>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</si>
  <si>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</si>
  <si>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</si>
  <si>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</si>
  <si>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</si>
  <si>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</si>
  <si>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</si>
  <si>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</si>
  <si>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</si>
  <si>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</si>
  <si>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</si>
  <si>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</si>
  <si>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</si>
  <si>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</si>
  <si>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</si>
  <si>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</si>
  <si>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</si>
  <si>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</si>
  <si>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</si>
  <si>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</si>
  <si>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</si>
  <si>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</si>
  <si>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</si>
  <si>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</si>
  <si>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</si>
  <si>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</si>
  <si>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</si>
  <si>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</si>
  <si>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</si>
  <si>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</si>
  <si>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</si>
  <si>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</si>
  <si>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</si>
  <si>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</si>
  <si>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</si>
  <si>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</si>
  <si>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</si>
  <si>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</si>
  <si>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</si>
  <si>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</si>
  <si>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</si>
  <si>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</si>
  <si>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</si>
  <si>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</si>
  <si>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</si>
  <si>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</si>
  <si>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</si>
  <si>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</si>
  <si>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</si>
  <si>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</si>
  <si>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</si>
  <si>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</si>
  <si>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</si>
  <si>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</si>
  <si>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</si>
  <si>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</si>
  <si>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</si>
  <si>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</si>
  <si>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</si>
  <si>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</si>
  <si>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</si>
  <si>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</si>
  <si>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</si>
  <si>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</si>
  <si>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</si>
  <si>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</si>
  <si>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</si>
  <si>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</si>
  <si>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</si>
  <si>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</si>
  <si>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</si>
  <si>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</si>
  <si>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</si>
  <si>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</si>
  <si>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</si>
  <si>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</si>
  <si>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</si>
  <si>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</si>
  <si>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</si>
  <si>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</si>
  <si>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</si>
  <si>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</si>
  <si>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</si>
  <si>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</si>
  <si>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</si>
  <si>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</si>
  <si>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</si>
  <si>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</si>
  <si>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</si>
  <si>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</si>
  <si>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</si>
  <si>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</si>
  <si>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</si>
  <si>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</si>
  <si>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</si>
  <si>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</si>
  <si>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</si>
  <si>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</si>
  <si>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</si>
  <si>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</si>
  <si>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</si>
  <si>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</si>
  <si>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</si>
  <si>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</si>
  <si>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</si>
  <si>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</si>
  <si>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</si>
  <si>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</si>
  <si>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</si>
  <si>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</si>
  <si>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</si>
  <si>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</si>
  <si>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</si>
  <si>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</si>
  <si>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</si>
  <si>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</si>
  <si>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</si>
  <si>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</si>
  <si>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</si>
  <si>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</si>
  <si>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</si>
  <si>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</si>
  <si>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</si>
  <si>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</si>
  <si>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</si>
  <si>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</si>
  <si>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</si>
  <si>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</si>
  <si>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</si>
  <si>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</si>
  <si>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</si>
  <si>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</si>
  <si>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</si>
  <si>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</si>
  <si>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</si>
  <si>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</si>
  <si>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</si>
  <si>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</si>
  <si>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</si>
  <si>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</si>
  <si>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</si>
  <si>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</si>
  <si>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</si>
  <si>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</si>
  <si>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</si>
  <si>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</si>
  <si>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</si>
  <si>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</si>
  <si>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</si>
  <si>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</si>
  <si>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</si>
  <si>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</si>
  <si>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</si>
  <si>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</si>
  <si>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</si>
  <si>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</si>
  <si>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</si>
  <si>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</si>
  <si>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</si>
  <si>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</si>
  <si>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</si>
  <si>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</si>
  <si>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</si>
  <si>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</si>
  <si>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</si>
  <si>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</si>
  <si>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</si>
  <si>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</si>
  <si>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</si>
  <si>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</si>
  <si>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</si>
  <si>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</si>
  <si>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</si>
  <si>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</si>
  <si>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</si>
  <si>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</si>
  <si>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</si>
  <si>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</si>
  <si>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</si>
  <si>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</si>
  <si>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</si>
  <si>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</si>
  <si>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</si>
  <si>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</si>
  <si>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</si>
  <si>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</si>
  <si>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</si>
  <si>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</si>
  <si>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</si>
  <si>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</si>
  <si>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</si>
  <si>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</si>
  <si>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</si>
  <si>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</si>
  <si>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</si>
  <si>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</si>
  <si>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</si>
  <si>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</si>
  <si>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</si>
  <si>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</si>
  <si>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</si>
  <si>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</si>
  <si>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</si>
  <si>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</si>
  <si>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</si>
  <si>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</si>
  <si>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</si>
  <si>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</si>
  <si>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</si>
  <si>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</si>
  <si>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</si>
  <si>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</si>
  <si>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</si>
  <si>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</si>
  <si>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</si>
  <si>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</si>
  <si>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</si>
  <si>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</si>
  <si>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</si>
  <si>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</si>
  <si>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</si>
  <si>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</si>
  <si>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</si>
  <si>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</si>
  <si>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</si>
  <si>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</si>
  <si>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</si>
  <si>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</si>
  <si>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</si>
  <si>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</si>
  <si>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</si>
  <si>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</si>
  <si>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</si>
  <si>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</si>
  <si>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</si>
  <si>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</si>
  <si>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</si>
  <si>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</si>
  <si>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</si>
  <si>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</si>
  <si>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</si>
  <si>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</si>
  <si>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</si>
  <si>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</si>
  <si>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</si>
  <si>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</si>
  <si>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</si>
  <si>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</si>
  <si>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</si>
  <si>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</si>
  <si>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</si>
  <si>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</si>
  <si>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</si>
  <si>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</si>
  <si>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</si>
  <si>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</si>
  <si>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</si>
  <si>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</si>
  <si>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</si>
  <si>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</si>
  <si>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</si>
  <si>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</si>
  <si>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</si>
  <si>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</si>
  <si>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</si>
  <si>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</si>
  <si>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</si>
  <si>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</si>
  <si>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</si>
  <si>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</si>
  <si>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</si>
  <si>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</si>
  <si>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</si>
  <si>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</si>
  <si>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</si>
  <si>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</si>
  <si>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</si>
  <si>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</si>
  <si>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</si>
  <si>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</si>
  <si>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</si>
  <si>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</si>
  <si>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</si>
  <si>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</si>
  <si>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</si>
  <si>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</si>
  <si>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</si>
  <si>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</si>
  <si>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</si>
  <si>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</si>
  <si>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</si>
  <si>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</si>
  <si>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</si>
  <si>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</si>
  <si>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</si>
  <si>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</si>
  <si>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</si>
  <si>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</si>
  <si>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</si>
  <si>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</si>
  <si>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</si>
  <si>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</si>
  <si>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</si>
  <si>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</si>
  <si>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</si>
  <si>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</si>
  <si>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</si>
  <si>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</si>
  <si>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</si>
  <si>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</si>
  <si>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</si>
  <si>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</si>
  <si>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</si>
  <si>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</si>
  <si>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</si>
  <si>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</si>
  <si>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</si>
  <si>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</si>
  <si>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</si>
  <si>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</si>
  <si>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</si>
  <si>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</si>
  <si>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</si>
  <si>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</si>
  <si>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</si>
  <si>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</si>
  <si>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</si>
  <si>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</si>
  <si>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</si>
  <si>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</si>
  <si>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</si>
  <si>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</si>
  <si>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</si>
  <si>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</si>
  <si>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</si>
  <si>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</si>
  <si>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</si>
  <si>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</si>
  <si>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</si>
  <si>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</si>
  <si>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</si>
  <si>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</si>
  <si>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</si>
  <si>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</si>
  <si>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</si>
  <si>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</si>
  <si>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</si>
  <si>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</si>
  <si>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</si>
  <si>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</si>
  <si>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</si>
  <si>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</si>
  <si>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</si>
  <si>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</si>
  <si>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</si>
  <si>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</si>
  <si>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</si>
  <si>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</si>
  <si>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</si>
  <si>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</si>
  <si>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</si>
  <si>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</si>
  <si>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</si>
  <si>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</si>
  <si>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</si>
  <si>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</si>
  <si>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</si>
  <si>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</si>
  <si>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</si>
  <si>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</si>
  <si>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</si>
  <si>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</si>
  <si>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</si>
  <si>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</si>
  <si>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</si>
  <si>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</si>
  <si>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</si>
  <si>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</si>
  <si>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</si>
  <si>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</si>
  <si>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</si>
  <si>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</si>
  <si>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</si>
  <si>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</si>
  <si>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</si>
  <si>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</si>
  <si>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</si>
  <si>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</si>
  <si>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</si>
  <si>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</si>
  <si>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</si>
  <si>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</si>
  <si>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</si>
  <si>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</si>
  <si>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</si>
  <si>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</si>
  <si>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</si>
  <si>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</si>
  <si>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</si>
  <si>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</si>
  <si>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</si>
  <si>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</si>
  <si>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</si>
  <si>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</si>
  <si>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</si>
  <si>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</si>
  <si>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</si>
  <si>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</si>
  <si>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</si>
  <si>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</si>
  <si>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</si>
  <si>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</si>
  <si>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</si>
  <si>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</si>
  <si>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</si>
  <si>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</si>
  <si>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</si>
  <si>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</si>
  <si>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</si>
  <si>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</si>
  <si>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</si>
  <si>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</si>
  <si>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</si>
  <si>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</si>
  <si>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</si>
  <si>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</si>
  <si>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</si>
  <si>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</si>
  <si>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</si>
  <si>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</si>
  <si>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</si>
  <si>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</si>
  <si>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</si>
  <si>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</si>
  <si>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</si>
  <si>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</si>
  <si>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</si>
  <si>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</si>
  <si>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</si>
  <si>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</si>
  <si>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</si>
  <si>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</si>
  <si>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</si>
  <si>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</si>
  <si>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</si>
  <si>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</si>
  <si>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</si>
  <si>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</si>
  <si>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</si>
  <si>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</si>
  <si>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</si>
  <si>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</si>
  <si>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</si>
  <si>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</si>
  <si>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</si>
  <si>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</si>
  <si>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</si>
  <si>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</si>
  <si>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</si>
  <si>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</si>
  <si>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</si>
  <si>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</si>
  <si>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</si>
  <si>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</si>
  <si>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</si>
  <si>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</si>
  <si>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</si>
  <si>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</si>
  <si>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</si>
  <si>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</si>
  <si>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</si>
  <si>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</si>
  <si>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</si>
  <si>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</si>
  <si>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</si>
  <si>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</si>
  <si>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</si>
  <si>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</si>
  <si>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</si>
  <si>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</si>
  <si>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</si>
  <si>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</si>
  <si>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</si>
  <si>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</si>
  <si>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</si>
  <si>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</si>
  <si>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</si>
  <si>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</si>
  <si>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</si>
  <si>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</si>
  <si>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</si>
  <si>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</si>
  <si>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</si>
  <si>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</si>
  <si>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</si>
  <si>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</si>
  <si>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</si>
  <si>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</si>
  <si>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</si>
  <si>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</si>
  <si>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</si>
  <si>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</si>
  <si>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</si>
  <si>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</si>
  <si>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</si>
  <si>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Diesel hybride</t>
  </si>
  <si>
    <t/>
  </si>
  <si>
    <t>Fuel Cell H2</t>
  </si>
  <si>
    <t>H2</t>
  </si>
  <si>
    <t>Diesel Hybrid PHEV</t>
  </si>
  <si>
    <t>Petrol Hybrid CS</t>
  </si>
  <si>
    <t>Petrol Hybrid PHEV</t>
  </si>
  <si>
    <t>COPERT 5.4</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</si>
  <si>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</si>
  <si>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</si>
  <si>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</si>
  <si>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</si>
  <si>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</si>
  <si>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</si>
  <si>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</si>
  <si>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</si>
  <si>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</si>
  <si>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</si>
  <si>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</si>
  <si>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</si>
  <si>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</si>
  <si>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</si>
  <si>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</si>
  <si>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</si>
  <si>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</si>
  <si>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</si>
  <si>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</si>
  <si>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</si>
  <si>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</si>
  <si>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</si>
  <si>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2015_08</t>
  </si>
  <si>
    <t>update Energiebalans Vlaanderen voor huishoudens, tertiair en landbouw (industrie niet-ETS niet beschikbaar!)</t>
  </si>
  <si>
    <t>versie: 2015_08</t>
  </si>
  <si>
    <t xml:space="preserve">VITO Energiebalans Vlaanderen (december 2021) </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</si>
  <si>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</si>
  <si>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</si>
  <si>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</si>
  <si>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</si>
  <si>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</si>
  <si>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</si>
  <si>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</si>
  <si>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</si>
  <si>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</si>
  <si>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</si>
  <si>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</si>
  <si>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</si>
  <si>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45068</t>
  </si>
  <si>
    <t>KRUISEM</t>
  </si>
  <si>
    <t>Paarden&amp;pony's 200 - 600 kg</t>
  </si>
  <si>
    <t>Paarden&amp;pony's &lt; 200 kg</t>
  </si>
  <si>
    <t>vloeibaar gas (MWh)</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</si>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</sst>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3">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3" fillId="0" borderId="0"/>
    <xf numFmtId="0" fontId="3" fillId="0" borderId="0" applyNumberForma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5" fillId="0" borderId="176"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200" applyNumberFormat="0" applyAlignment="0" applyProtection="0"/>
    <xf numFmtId="0" fontId="119" fillId="34" borderId="201" applyNumberFormat="0" applyAlignment="0" applyProtection="0"/>
    <xf numFmtId="0" fontId="120" fillId="34" borderId="200" applyNumberFormat="0" applyAlignment="0" applyProtection="0"/>
    <xf numFmtId="0" fontId="121"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2"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3"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3"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4" fillId="0" borderId="207" applyNumberFormat="0" applyFill="0" applyBorder="0" applyProtection="0">
      <alignment horizontal="left" vertical="center"/>
    </xf>
    <xf numFmtId="0" fontId="28" fillId="0" borderId="207" applyNumberFormat="0" applyFill="0" applyAlignment="0" applyProtection="0"/>
    <xf numFmtId="0" fontId="126"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4"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4"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7"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4" fillId="0" borderId="212" applyNumberFormat="0" applyFill="0" applyBorder="0" applyProtection="0">
      <alignment horizontal="left" vertical="center"/>
    </xf>
    <xf numFmtId="173" fontId="25" fillId="8" borderId="216">
      <alignment horizontal="right" vertical="center"/>
    </xf>
    <xf numFmtId="49" fontId="124"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4"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4"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4"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4"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4"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3"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3" fillId="0" borderId="0" applyFont="0" applyFill="0" applyBorder="0" applyAlignment="0" applyProtection="0"/>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28" fillId="65" borderId="217"/>
    <xf numFmtId="173" fontId="2" fillId="9" borderId="216">
      <alignment horizontal="right" vertical="center"/>
    </xf>
    <xf numFmtId="49" fontId="124"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4"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49" fontId="124"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4"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4"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28"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2"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0" fillId="0" borderId="0"/>
    <xf numFmtId="0" fontId="131" fillId="63" borderId="217">
      <alignment horizontal="center"/>
    </xf>
    <xf numFmtId="0" fontId="132"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29"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3" fillId="0" borderId="0"/>
    <xf numFmtId="0" fontId="127" fillId="63" borderId="217">
      <alignment horizontal="center"/>
    </xf>
    <xf numFmtId="0" fontId="128" fillId="64" borderId="217"/>
    <xf numFmtId="0" fontId="128" fillId="65" borderId="217"/>
    <xf numFmtId="0" fontId="6" fillId="0" borderId="0"/>
    <xf numFmtId="0" fontId="103" fillId="0" borderId="0"/>
    <xf numFmtId="173" fontId="2" fillId="9" borderId="222">
      <alignment horizontal="right" vertical="center"/>
    </xf>
    <xf numFmtId="0" fontId="6" fillId="0" borderId="0"/>
    <xf numFmtId="0" fontId="6" fillId="0" borderId="0"/>
    <xf numFmtId="0" fontId="129" fillId="0" borderId="0"/>
    <xf numFmtId="0" fontId="129" fillId="0" borderId="0"/>
    <xf numFmtId="0" fontId="129"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29"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 fillId="9" borderId="219">
      <alignment horizontal="right" vertical="center"/>
    </xf>
    <xf numFmtId="0" fontId="103" fillId="0" borderId="0"/>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4"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28"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28" fillId="64" borderId="217"/>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4"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4"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7"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27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6" fillId="12" borderId="182" xfId="0" applyNumberFormat="1" applyFont="1" applyFill="1" applyBorder="1" applyAlignment="1">
      <alignment horizontal="center" vertical="center" wrapText="1"/>
    </xf>
    <xf numFmtId="3" fontId="24" fillId="0" borderId="0" xfId="0" applyNumberFormat="1" applyFont="1"/>
    <xf numFmtId="3" fontId="106"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7"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08"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1" fillId="0" borderId="199" xfId="0" applyNumberFormat="1" applyFont="1" applyFill="1" applyBorder="1" applyAlignment="1">
      <alignment horizontal="left"/>
    </xf>
    <xf numFmtId="1" fontId="112"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1"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1" fillId="0" borderId="199" xfId="0" applyNumberFormat="1" applyFont="1" applyFill="1" applyBorder="1" applyAlignment="1">
      <alignment horizontal="left" vertical="top"/>
    </xf>
    <xf numFmtId="1" fontId="112" fillId="15" borderId="199" xfId="0" applyNumberFormat="1" applyFont="1" applyFill="1" applyBorder="1" applyAlignment="1">
      <alignment horizontal="left" vertical="top" wrapText="1"/>
    </xf>
    <xf numFmtId="1" fontId="112"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6" fillId="12" borderId="180"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top" wrapText="1"/>
    </xf>
    <xf numFmtId="3" fontId="106" fillId="12" borderId="182"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0"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1"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1" fontId="0" fillId="0" borderId="0" xfId="328" applyNumberFormat="1" applyFont="1"/>
    <xf numFmtId="181" fontId="25" fillId="0" borderId="0" xfId="328" applyNumberFormat="1" applyFont="1"/>
    <xf numFmtId="181"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1"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7D4BDE90-2DA3-4A2E-8A54-906C8E8DF0CD}"/>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133475.10349957776</c:v>
                </c:pt>
                <c:pt idx="1">
                  <c:v>34121.297733342559</c:v>
                </c:pt>
                <c:pt idx="2">
                  <c:v>1273.327</c:v>
                </c:pt>
                <c:pt idx="3">
                  <c:v>16131.29096210967</c:v>
                </c:pt>
                <c:pt idx="4">
                  <c:v>301860.81173753669</c:v>
                </c:pt>
                <c:pt idx="5">
                  <c:v>358141.90161968285</c:v>
                </c:pt>
                <c:pt idx="6">
                  <c:v>704.10118821266485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133475.10349957776</c:v>
                </c:pt>
                <c:pt idx="1">
                  <c:v>34121.297733342559</c:v>
                </c:pt>
                <c:pt idx="2">
                  <c:v>1273.327</c:v>
                </c:pt>
                <c:pt idx="3">
                  <c:v>16131.29096210967</c:v>
                </c:pt>
                <c:pt idx="4">
                  <c:v>301860.81173753669</c:v>
                </c:pt>
                <c:pt idx="5">
                  <c:v>358141.90161968285</c:v>
                </c:pt>
                <c:pt idx="6">
                  <c:v>704.10118821266485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29247.417304702431</c:v>
                </c:pt>
                <c:pt idx="2">
                  <c:v>7060.9249923529796</c:v>
                </c:pt>
                <c:pt idx="3">
                  <c:v>267.27466527023893</c:v>
                </c:pt>
                <c:pt idx="4">
                  <c:v>4152.022399845634</c:v>
                </c:pt>
                <c:pt idx="5">
                  <c:v>62056.455058627835</c:v>
                </c:pt>
                <c:pt idx="6">
                  <c:v>91931.95485257142</c:v>
                </c:pt>
                <c:pt idx="7">
                  <c:v>182.11750503041372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29247.417304702431</c:v>
                </c:pt>
                <c:pt idx="2">
                  <c:v>7060.9249923529796</c:v>
                </c:pt>
                <c:pt idx="3">
                  <c:v>267.27466527023893</c:v>
                </c:pt>
                <c:pt idx="4">
                  <c:v>4152.022399845634</c:v>
                </c:pt>
                <c:pt idx="5">
                  <c:v>62056.455058627835</c:v>
                </c:pt>
                <c:pt idx="6">
                  <c:v>91931.95485257142</c:v>
                </c:pt>
                <c:pt idx="7">
                  <c:v>182.11750503041372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614</v>
      </c>
      <c r="B2" s="384"/>
      <c r="C2" s="385"/>
    </row>
    <row r="3" spans="1:7" s="11" customFormat="1" ht="15" customHeight="1">
      <c r="A3" s="93"/>
      <c r="B3" s="74"/>
      <c r="C3" s="94"/>
    </row>
    <row r="4" spans="1:7" s="11" customFormat="1" ht="15.75" customHeight="1" thickBot="1">
      <c r="A4" s="105" t="s">
        <v>868</v>
      </c>
      <c r="B4" s="106"/>
      <c r="C4" s="107"/>
    </row>
    <row r="5" spans="1:7" s="378" customFormat="1" ht="15.75" customHeight="1">
      <c r="A5" s="375" t="s">
        <v>0</v>
      </c>
      <c r="B5" s="376"/>
      <c r="C5" s="377"/>
    </row>
    <row r="6" spans="1:7" s="378" customFormat="1" ht="15" customHeight="1">
      <c r="A6" s="379" t="str">
        <f>txtNIS</f>
        <v>45068</v>
      </c>
      <c r="B6" s="380"/>
      <c r="C6" s="381"/>
    </row>
    <row r="7" spans="1:7" s="378" customFormat="1" ht="15.75" customHeight="1">
      <c r="A7" s="382" t="str">
        <f>txtMunicipality</f>
        <v>KRUISEM</v>
      </c>
      <c r="B7" s="380"/>
      <c r="C7" s="381"/>
    </row>
    <row r="8" spans="1:7" ht="15.75" thickBot="1">
      <c r="A8" s="45"/>
      <c r="B8" s="108"/>
      <c r="C8" s="109"/>
    </row>
    <row r="9" spans="1:7" s="371" customFormat="1" ht="15.75" thickBot="1">
      <c r="A9" s="395" t="s">
        <v>344</v>
      </c>
      <c r="B9" s="398"/>
      <c r="C9" s="399"/>
    </row>
    <row r="10" spans="1:7" s="15" customFormat="1" ht="57.75" customHeight="1" thickBot="1">
      <c r="A10" s="1017" t="s">
        <v>865</v>
      </c>
      <c r="B10" s="1018"/>
      <c r="C10" s="1019"/>
    </row>
    <row r="11" spans="1:7" s="372" customFormat="1" ht="15.75" thickBot="1">
      <c r="A11" s="395" t="s">
        <v>346</v>
      </c>
      <c r="B11" s="398"/>
      <c r="C11" s="399"/>
      <c r="G11" s="373"/>
    </row>
    <row r="12" spans="1:7">
      <c r="A12" s="44"/>
      <c r="B12" s="43"/>
      <c r="C12" s="96"/>
    </row>
    <row r="13" spans="1:7" s="372" customFormat="1">
      <c r="A13" s="706" t="s">
        <v>581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347</v>
      </c>
      <c r="B16" s="1020" t="s">
        <v>508</v>
      </c>
      <c r="C16" s="1021"/>
    </row>
    <row r="17" spans="1:3" s="15" customFormat="1" ht="15.75">
      <c r="A17" s="98"/>
      <c r="B17" s="70"/>
      <c r="C17" s="99"/>
    </row>
    <row r="18" spans="1:3">
      <c r="A18" s="95" t="s">
        <v>350</v>
      </c>
      <c r="B18" s="69" t="s">
        <v>362</v>
      </c>
      <c r="C18" s="100" t="s">
        <v>361</v>
      </c>
    </row>
    <row r="19" spans="1:3" s="328" customFormat="1">
      <c r="A19" s="362" t="s">
        <v>348</v>
      </c>
      <c r="B19" s="363" t="s">
        <v>645</v>
      </c>
      <c r="C19" s="364" t="s">
        <v>506</v>
      </c>
    </row>
    <row r="20" spans="1:3" s="328" customFormat="1">
      <c r="A20" s="365"/>
      <c r="B20" s="325"/>
      <c r="C20" s="366"/>
    </row>
    <row r="21" spans="1:3" s="328" customFormat="1">
      <c r="A21" s="367" t="s">
        <v>349</v>
      </c>
      <c r="B21" s="363" t="s">
        <v>503</v>
      </c>
      <c r="C21" s="364" t="s">
        <v>507</v>
      </c>
    </row>
    <row r="22" spans="1:3" s="328" customFormat="1">
      <c r="A22" s="368"/>
      <c r="B22" s="325"/>
      <c r="C22" s="366"/>
    </row>
    <row r="23" spans="1:3" s="328" customFormat="1" ht="30">
      <c r="A23" s="362" t="s">
        <v>425</v>
      </c>
      <c r="B23" s="432" t="s">
        <v>429</v>
      </c>
      <c r="C23" s="364" t="s">
        <v>504</v>
      </c>
    </row>
    <row r="24" spans="1:3" s="328" customFormat="1">
      <c r="A24" s="368"/>
      <c r="B24" s="325"/>
      <c r="C24" s="366"/>
    </row>
    <row r="25" spans="1:3" s="328" customFormat="1">
      <c r="A25" s="362" t="s">
        <v>427</v>
      </c>
      <c r="B25" s="363" t="s">
        <v>426</v>
      </c>
      <c r="C25" s="364" t="s">
        <v>505</v>
      </c>
    </row>
    <row r="26" spans="1:3" s="328" customFormat="1">
      <c r="A26" s="368"/>
      <c r="B26" s="325"/>
      <c r="C26" s="366"/>
    </row>
    <row r="27" spans="1:3" s="328" customFormat="1">
      <c r="A27" s="362" t="s">
        <v>399</v>
      </c>
      <c r="B27" s="363" t="s">
        <v>424</v>
      </c>
      <c r="C27" s="364"/>
    </row>
    <row r="28" spans="1:3" s="328" customFormat="1">
      <c r="A28" s="368"/>
      <c r="B28" s="325" t="s">
        <v>561</v>
      </c>
      <c r="C28" s="366"/>
    </row>
    <row r="29" spans="1:3" ht="15.75" thickBot="1">
      <c r="A29" s="44"/>
      <c r="B29" s="43"/>
      <c r="C29" s="96"/>
    </row>
    <row r="30" spans="1:3" s="371" customFormat="1" ht="15.75" thickBot="1">
      <c r="A30" s="395" t="s">
        <v>359</v>
      </c>
      <c r="B30" s="396"/>
      <c r="C30" s="397"/>
    </row>
    <row r="31" spans="1:3" s="15" customFormat="1" ht="15.75">
      <c r="A31" s="98"/>
      <c r="B31" s="71"/>
      <c r="C31" s="102"/>
    </row>
    <row r="32" spans="1:3" s="15" customFormat="1">
      <c r="A32" s="103" t="s">
        <v>360</v>
      </c>
      <c r="B32" s="73" t="s">
        <v>362</v>
      </c>
      <c r="C32" s="104"/>
    </row>
    <row r="33" spans="1:3" s="389" customFormat="1">
      <c r="A33" s="386" t="s">
        <v>351</v>
      </c>
      <c r="B33" s="387" t="s">
        <v>363</v>
      </c>
      <c r="C33" s="388"/>
    </row>
    <row r="34" spans="1:3" s="389" customFormat="1">
      <c r="A34" s="390" t="s">
        <v>352</v>
      </c>
      <c r="B34" s="391" t="s">
        <v>353</v>
      </c>
      <c r="C34" s="392"/>
    </row>
    <row r="35" spans="1:3" s="389" customFormat="1">
      <c r="A35" s="393" t="s">
        <v>354</v>
      </c>
      <c r="B35" s="391" t="s">
        <v>355</v>
      </c>
      <c r="C35" s="392"/>
    </row>
    <row r="36" spans="1:3" s="389" customFormat="1">
      <c r="A36" s="394" t="s">
        <v>356</v>
      </c>
      <c r="B36" s="391" t="s">
        <v>357</v>
      </c>
      <c r="C36" s="392"/>
    </row>
    <row r="37" spans="1:3" s="389" customFormat="1" ht="30">
      <c r="A37" s="420" t="s">
        <v>358</v>
      </c>
      <c r="B37" s="391" t="s">
        <v>457</v>
      </c>
      <c r="C37" s="392"/>
    </row>
    <row r="38" spans="1:3" ht="15.75" thickBot="1">
      <c r="A38" s="421"/>
      <c r="B38" s="422"/>
      <c r="C38" s="423"/>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371</v>
      </c>
      <c r="B2" s="725"/>
      <c r="C2" s="399"/>
    </row>
    <row r="3" spans="1:3" s="15" customFormat="1" ht="15.75">
      <c r="A3" s="98"/>
      <c r="B3" s="70"/>
      <c r="C3" s="99"/>
    </row>
    <row r="4" spans="1:3" s="322" customFormat="1">
      <c r="A4" s="379" t="s">
        <v>350</v>
      </c>
      <c r="B4" s="401" t="s">
        <v>362</v>
      </c>
      <c r="C4" s="402" t="s">
        <v>361</v>
      </c>
    </row>
    <row r="5" spans="1:3" s="322" customFormat="1">
      <c r="A5" s="403"/>
      <c r="B5" s="328"/>
      <c r="C5" s="355"/>
    </row>
    <row r="6" spans="1:3" s="322" customFormat="1">
      <c r="A6" s="845" t="s">
        <v>622</v>
      </c>
      <c r="B6" s="404" t="s">
        <v>646</v>
      </c>
      <c r="C6" s="405" t="s">
        <v>345</v>
      </c>
    </row>
    <row r="7" spans="1:3" s="322" customFormat="1">
      <c r="A7" s="845" t="s">
        <v>647</v>
      </c>
      <c r="B7" s="406" t="s">
        <v>572</v>
      </c>
      <c r="C7" s="407" t="s">
        <v>571</v>
      </c>
    </row>
    <row r="8" spans="1:3" s="322" customFormat="1">
      <c r="A8" s="434"/>
      <c r="B8" s="406"/>
      <c r="C8" s="407"/>
    </row>
    <row r="9" spans="1:3" ht="21">
      <c r="A9" s="125" t="s">
        <v>458</v>
      </c>
      <c r="B9" s="124"/>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5" customWidth="1"/>
    <col min="2" max="2" width="22.85546875" style="43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5"/>
  </cols>
  <sheetData>
    <row r="2" spans="1:19" ht="15.75">
      <c r="A2" s="1094" t="s">
        <v>210</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36"/>
      <c r="B4" s="436"/>
      <c r="C4" s="63"/>
      <c r="D4" s="63"/>
      <c r="E4" s="63"/>
      <c r="F4" s="63"/>
      <c r="G4" s="63"/>
      <c r="H4" s="63"/>
      <c r="I4" s="63"/>
      <c r="J4" s="63"/>
      <c r="K4" s="63"/>
      <c r="L4" s="63"/>
      <c r="M4" s="63"/>
      <c r="N4" s="63"/>
      <c r="O4" s="63"/>
      <c r="P4" s="63"/>
      <c r="Q4" s="63"/>
      <c r="R4" s="63"/>
    </row>
    <row r="5" spans="1:19" ht="16.5" thickBot="1">
      <c r="A5" s="1096" t="s">
        <v>211</v>
      </c>
      <c r="B5" s="728"/>
      <c r="C5" s="1099" t="s">
        <v>330</v>
      </c>
      <c r="D5" s="1100"/>
      <c r="E5" s="1100"/>
      <c r="F5" s="1100"/>
      <c r="G5" s="1100"/>
      <c r="H5" s="1100"/>
      <c r="I5" s="1100"/>
      <c r="J5" s="1100"/>
      <c r="K5" s="1100"/>
      <c r="L5" s="1100"/>
      <c r="M5" s="1100"/>
      <c r="N5" s="1100"/>
      <c r="O5" s="1100"/>
      <c r="P5" s="1100"/>
      <c r="Q5" s="1100"/>
      <c r="R5" s="1101"/>
    </row>
    <row r="6" spans="1:19" ht="16.5" thickTop="1">
      <c r="A6" s="1097"/>
      <c r="B6" s="729"/>
      <c r="C6" s="1102" t="s">
        <v>20</v>
      </c>
      <c r="D6" s="1104" t="s">
        <v>189</v>
      </c>
      <c r="E6" s="1106" t="s">
        <v>190</v>
      </c>
      <c r="F6" s="1107"/>
      <c r="G6" s="1107"/>
      <c r="H6" s="1107"/>
      <c r="I6" s="1107"/>
      <c r="J6" s="1107"/>
      <c r="K6" s="1107"/>
      <c r="L6" s="1108"/>
      <c r="M6" s="1106" t="s">
        <v>191</v>
      </c>
      <c r="N6" s="1107"/>
      <c r="O6" s="1107"/>
      <c r="P6" s="1107"/>
      <c r="Q6" s="1107"/>
      <c r="R6" s="1109" t="s">
        <v>109</v>
      </c>
    </row>
    <row r="7" spans="1:19" ht="45.75" thickBot="1">
      <c r="A7" s="1098"/>
      <c r="B7" s="730"/>
      <c r="C7" s="1103"/>
      <c r="D7" s="1105"/>
      <c r="E7" s="922" t="s">
        <v>192</v>
      </c>
      <c r="F7" s="922" t="s">
        <v>193</v>
      </c>
      <c r="G7" s="64" t="s">
        <v>194</v>
      </c>
      <c r="H7" s="922" t="s">
        <v>195</v>
      </c>
      <c r="I7" s="922" t="s">
        <v>113</v>
      </c>
      <c r="J7" s="922" t="s">
        <v>196</v>
      </c>
      <c r="K7" s="433" t="s">
        <v>197</v>
      </c>
      <c r="L7" s="433" t="s">
        <v>198</v>
      </c>
      <c r="M7" s="64" t="s">
        <v>199</v>
      </c>
      <c r="N7" s="65" t="s">
        <v>200</v>
      </c>
      <c r="O7" s="65" t="s">
        <v>201</v>
      </c>
      <c r="P7" s="65" t="s">
        <v>202</v>
      </c>
      <c r="Q7" s="66" t="s">
        <v>203</v>
      </c>
      <c r="R7" s="1110"/>
    </row>
    <row r="8" spans="1:19" ht="18.75" customHeight="1" thickTop="1">
      <c r="A8" s="735" t="s">
        <v>331</v>
      </c>
      <c r="B8" s="740"/>
      <c r="C8" s="1081"/>
      <c r="D8" s="1081"/>
      <c r="E8" s="1081"/>
      <c r="F8" s="1081"/>
      <c r="G8" s="1081"/>
      <c r="H8" s="1081"/>
      <c r="I8" s="1081"/>
      <c r="J8" s="1081"/>
      <c r="K8" s="1081"/>
      <c r="L8" s="1081"/>
      <c r="M8" s="1081"/>
      <c r="N8" s="1081"/>
      <c r="O8" s="1081"/>
      <c r="P8" s="1081"/>
      <c r="Q8" s="1081"/>
      <c r="R8" s="298"/>
    </row>
    <row r="9" spans="1:19" s="437" customFormat="1">
      <c r="A9" s="736" t="s">
        <v>212</v>
      </c>
      <c r="B9" s="741"/>
      <c r="C9" s="930">
        <f>'Eigen gebouwen'!B15</f>
        <v>0</v>
      </c>
      <c r="D9" s="930">
        <f>'Eigen gebouwen'!C15</f>
        <v>0</v>
      </c>
      <c r="E9" s="930">
        <f>'Eigen gebouwen'!D15</f>
        <v>0</v>
      </c>
      <c r="F9" s="930">
        <f>'Eigen gebouwen'!E15</f>
        <v>0</v>
      </c>
      <c r="G9" s="930">
        <f>'Eigen gebouwen'!F15</f>
        <v>0</v>
      </c>
      <c r="H9" s="930">
        <f>'Eigen gebouwen'!G15</f>
        <v>0</v>
      </c>
      <c r="I9" s="930">
        <f>'Eigen gebouwen'!H15</f>
        <v>0</v>
      </c>
      <c r="J9" s="930">
        <f>'Eigen gebouwen'!I15</f>
        <v>0</v>
      </c>
      <c r="K9" s="930">
        <f>'Eigen gebouwen'!J15</f>
        <v>0</v>
      </c>
      <c r="L9" s="930">
        <f>'Eigen gebouwen'!K15</f>
        <v>0</v>
      </c>
      <c r="M9" s="930">
        <f>'Eigen gebouwen'!L15</f>
        <v>0</v>
      </c>
      <c r="N9" s="930">
        <f>'Eigen gebouwen'!M15</f>
        <v>0</v>
      </c>
      <c r="O9" s="930">
        <f>'Eigen gebouwen'!N15</f>
        <v>0</v>
      </c>
      <c r="P9" s="930">
        <f>'Eigen gebouwen'!O15</f>
        <v>0</v>
      </c>
      <c r="Q9" s="931">
        <f>'Eigen gebouwen'!P15</f>
        <v>0</v>
      </c>
      <c r="R9" s="627">
        <f>SUM(C9:Q9)</f>
        <v>0</v>
      </c>
      <c r="S9" s="67"/>
    </row>
    <row r="10" spans="1:19" s="437" customFormat="1">
      <c r="A10" s="737" t="s">
        <v>213</v>
      </c>
      <c r="B10" s="742"/>
      <c r="C10" s="930">
        <f ca="1">tertiair!B16+'openbare verlichting'!B8</f>
        <v>16702.840888499999</v>
      </c>
      <c r="D10" s="930">
        <f ca="1">tertiair!C16</f>
        <v>34.071428571428577</v>
      </c>
      <c r="E10" s="930">
        <f ca="1">tertiair!D16</f>
        <v>14476.44255672836</v>
      </c>
      <c r="F10" s="930">
        <f>tertiair!E16</f>
        <v>270.27310109584118</v>
      </c>
      <c r="G10" s="930">
        <f ca="1">tertiair!F16</f>
        <v>3103.1182549972491</v>
      </c>
      <c r="H10" s="930">
        <f>tertiair!G16</f>
        <v>0</v>
      </c>
      <c r="I10" s="930">
        <f>tertiair!H16</f>
        <v>0</v>
      </c>
      <c r="J10" s="930">
        <f>tertiair!I16</f>
        <v>0</v>
      </c>
      <c r="K10" s="930">
        <f>tertiair!J16</f>
        <v>1.9099614228215885E-2</v>
      </c>
      <c r="L10" s="930">
        <f>tertiair!K16</f>
        <v>0</v>
      </c>
      <c r="M10" s="930">
        <f ca="1">tertiair!L16</f>
        <v>0</v>
      </c>
      <c r="N10" s="930">
        <f>tertiair!M16</f>
        <v>0</v>
      </c>
      <c r="O10" s="930">
        <f ca="1">tertiair!N16</f>
        <v>685.64273716879211</v>
      </c>
      <c r="P10" s="930">
        <f>tertiair!O16</f>
        <v>7.8166666666666664</v>
      </c>
      <c r="Q10" s="931">
        <f>tertiair!P16</f>
        <v>114.4</v>
      </c>
      <c r="R10" s="628">
        <f ca="1">SUM(C10:Q10)</f>
        <v>35394.624733342556</v>
      </c>
      <c r="S10" s="67"/>
    </row>
    <row r="11" spans="1:19" s="437" customFormat="1">
      <c r="A11" s="736" t="s">
        <v>214</v>
      </c>
      <c r="B11" s="741"/>
      <c r="C11" s="930">
        <f>huishoudens!B8</f>
        <v>30284.34731124821</v>
      </c>
      <c r="D11" s="930">
        <f>huishoudens!C8</f>
        <v>0</v>
      </c>
      <c r="E11" s="930">
        <f>huishoudens!D8</f>
        <v>28843.549122674001</v>
      </c>
      <c r="F11" s="930">
        <f>huishoudens!E8</f>
        <v>2226.6355141328413</v>
      </c>
      <c r="G11" s="930">
        <f>huishoudens!F8</f>
        <v>60537.812290076487</v>
      </c>
      <c r="H11" s="930">
        <f>huishoudens!G8</f>
        <v>0</v>
      </c>
      <c r="I11" s="930">
        <f>huishoudens!H8</f>
        <v>0</v>
      </c>
      <c r="J11" s="930">
        <f>huishoudens!I8</f>
        <v>0</v>
      </c>
      <c r="K11" s="930">
        <f>huishoudens!J8</f>
        <v>1116.4253867123598</v>
      </c>
      <c r="L11" s="930">
        <f>huishoudens!K8</f>
        <v>0</v>
      </c>
      <c r="M11" s="930">
        <f>huishoudens!L8</f>
        <v>0</v>
      </c>
      <c r="N11" s="930">
        <f>huishoudens!M8</f>
        <v>0</v>
      </c>
      <c r="O11" s="930">
        <f>huishoudens!N8</f>
        <v>8950.9038747338345</v>
      </c>
      <c r="P11" s="930">
        <f>huishoudens!O8</f>
        <v>314.23</v>
      </c>
      <c r="Q11" s="931">
        <f>huishoudens!P8</f>
        <v>1201.2</v>
      </c>
      <c r="R11" s="628">
        <f>SUM(C11:Q11)</f>
        <v>133475.10349957776</v>
      </c>
      <c r="S11" s="67"/>
    </row>
    <row r="12" spans="1:19" s="437" customFormat="1">
      <c r="A12" s="736" t="s">
        <v>490</v>
      </c>
      <c r="B12" s="741"/>
      <c r="C12" s="930">
        <f>'Eigen openbare verlichting'!B15</f>
        <v>0</v>
      </c>
      <c r="D12" s="930"/>
      <c r="E12" s="930"/>
      <c r="F12" s="930"/>
      <c r="G12" s="930"/>
      <c r="H12" s="930"/>
      <c r="I12" s="930"/>
      <c r="J12" s="930"/>
      <c r="K12" s="930"/>
      <c r="L12" s="930"/>
      <c r="M12" s="930"/>
      <c r="N12" s="930"/>
      <c r="O12" s="930"/>
      <c r="P12" s="930"/>
      <c r="Q12" s="930"/>
      <c r="R12" s="628">
        <f>SUM(C12:Q12)</f>
        <v>0</v>
      </c>
      <c r="S12" s="67"/>
    </row>
    <row r="13" spans="1:19" s="437" customFormat="1">
      <c r="A13" s="736" t="s">
        <v>603</v>
      </c>
      <c r="B13" s="745" t="s">
        <v>601</v>
      </c>
      <c r="C13" s="930">
        <f>industrie!B18</f>
        <v>143734.15479064401</v>
      </c>
      <c r="D13" s="930">
        <f>industrie!C18</f>
        <v>1632.8571428571429</v>
      </c>
      <c r="E13" s="930">
        <f>industrie!D18</f>
        <v>131450.28294738155</v>
      </c>
      <c r="F13" s="930">
        <f>industrie!E18</f>
        <v>2566.2642597595623</v>
      </c>
      <c r="G13" s="930">
        <f>industrie!F18</f>
        <v>16072.69528830444</v>
      </c>
      <c r="H13" s="930">
        <f>industrie!G18</f>
        <v>0</v>
      </c>
      <c r="I13" s="930">
        <f>industrie!H18</f>
        <v>0</v>
      </c>
      <c r="J13" s="930">
        <f>industrie!I18</f>
        <v>0</v>
      </c>
      <c r="K13" s="930">
        <f>industrie!J18</f>
        <v>201.49102366325025</v>
      </c>
      <c r="L13" s="930">
        <f>industrie!K18</f>
        <v>0</v>
      </c>
      <c r="M13" s="930">
        <f>industrie!L18</f>
        <v>0</v>
      </c>
      <c r="N13" s="930">
        <f>industrie!M18</f>
        <v>0</v>
      </c>
      <c r="O13" s="930">
        <f>industrie!N18</f>
        <v>6203.0662849267264</v>
      </c>
      <c r="P13" s="930">
        <f>industrie!O18</f>
        <v>0</v>
      </c>
      <c r="Q13" s="931">
        <f>industrie!P18</f>
        <v>0</v>
      </c>
      <c r="R13" s="628">
        <f>SUM(C13:Q13)</f>
        <v>301860.81173753669</v>
      </c>
      <c r="S13" s="67"/>
    </row>
    <row r="14" spans="1:19" s="437" customFormat="1">
      <c r="A14" s="736"/>
      <c r="B14" s="745" t="s">
        <v>602</v>
      </c>
      <c r="C14" s="930"/>
      <c r="D14" s="930"/>
      <c r="E14" s="930"/>
      <c r="F14" s="930"/>
      <c r="G14" s="930"/>
      <c r="H14" s="930"/>
      <c r="I14" s="930"/>
      <c r="J14" s="930"/>
      <c r="K14" s="930"/>
      <c r="L14" s="930"/>
      <c r="M14" s="930"/>
      <c r="N14" s="930"/>
      <c r="O14" s="930"/>
      <c r="P14" s="930"/>
      <c r="Q14" s="930"/>
      <c r="R14" s="628"/>
      <c r="S14" s="67"/>
    </row>
    <row r="15" spans="1:19" s="437" customFormat="1" ht="15" thickBot="1">
      <c r="A15" s="932" t="s">
        <v>786</v>
      </c>
      <c r="B15" s="933"/>
      <c r="C15" s="934"/>
      <c r="D15" s="934"/>
      <c r="E15" s="934"/>
      <c r="F15" s="934"/>
      <c r="G15" s="934"/>
      <c r="H15" s="934"/>
      <c r="I15" s="934"/>
      <c r="J15" s="934"/>
      <c r="K15" s="934"/>
      <c r="L15" s="934"/>
      <c r="M15" s="934"/>
      <c r="N15" s="934"/>
      <c r="O15" s="934"/>
      <c r="P15" s="934"/>
      <c r="Q15" s="935"/>
      <c r="R15" s="627"/>
      <c r="S15" s="67"/>
    </row>
    <row r="16" spans="1:19" s="437" customFormat="1" ht="15.75" thickBot="1">
      <c r="A16" s="629" t="s">
        <v>215</v>
      </c>
      <c r="B16" s="743"/>
      <c r="C16" s="660">
        <f ca="1">SUM(C9:C15)</f>
        <v>190721.34299039224</v>
      </c>
      <c r="D16" s="660">
        <f t="shared" ref="D16:R16" ca="1" si="0">SUM(D9:D15)</f>
        <v>1666.9285714285716</v>
      </c>
      <c r="E16" s="660">
        <f t="shared" ca="1" si="0"/>
        <v>174770.27462678391</v>
      </c>
      <c r="F16" s="660">
        <f t="shared" si="0"/>
        <v>5063.172874988245</v>
      </c>
      <c r="G16" s="660">
        <f t="shared" ca="1" si="0"/>
        <v>79713.625833378173</v>
      </c>
      <c r="H16" s="660">
        <f t="shared" si="0"/>
        <v>0</v>
      </c>
      <c r="I16" s="660">
        <f t="shared" si="0"/>
        <v>0</v>
      </c>
      <c r="J16" s="660">
        <f t="shared" si="0"/>
        <v>0</v>
      </c>
      <c r="K16" s="660">
        <f t="shared" si="0"/>
        <v>1317.9355099898382</v>
      </c>
      <c r="L16" s="660">
        <f t="shared" si="0"/>
        <v>0</v>
      </c>
      <c r="M16" s="660">
        <f t="shared" ca="1" si="0"/>
        <v>0</v>
      </c>
      <c r="N16" s="660">
        <f t="shared" si="0"/>
        <v>0</v>
      </c>
      <c r="O16" s="660">
        <f t="shared" ca="1" si="0"/>
        <v>15839.612896829352</v>
      </c>
      <c r="P16" s="660">
        <f t="shared" si="0"/>
        <v>322.04666666666668</v>
      </c>
      <c r="Q16" s="660">
        <f t="shared" si="0"/>
        <v>1315.6000000000001</v>
      </c>
      <c r="R16" s="660">
        <f t="shared" ca="1" si="0"/>
        <v>470730.53997045697</v>
      </c>
      <c r="S16" s="67"/>
    </row>
    <row r="17" spans="1:19" s="437" customFormat="1" ht="15.75">
      <c r="A17" s="738" t="s">
        <v>216</v>
      </c>
      <c r="B17" s="664"/>
      <c r="C17" s="1082"/>
      <c r="D17" s="1082"/>
      <c r="E17" s="1082"/>
      <c r="F17" s="1082"/>
      <c r="G17" s="1082"/>
      <c r="H17" s="1082"/>
      <c r="I17" s="1082"/>
      <c r="J17" s="1082"/>
      <c r="K17" s="1082"/>
      <c r="L17" s="1082"/>
      <c r="M17" s="1082"/>
      <c r="N17" s="1082"/>
      <c r="O17" s="1082"/>
      <c r="P17" s="1082"/>
      <c r="Q17" s="1082"/>
      <c r="R17" s="630"/>
      <c r="S17" s="67"/>
    </row>
    <row r="18" spans="1:19" s="437" customFormat="1">
      <c r="A18" s="736" t="s">
        <v>217</v>
      </c>
      <c r="B18" s="741"/>
      <c r="C18" s="930">
        <f>'Eigen vloot'!B27</f>
        <v>0</v>
      </c>
      <c r="D18" s="930">
        <f>'Eigen vloot'!C27</f>
        <v>0</v>
      </c>
      <c r="E18" s="930">
        <f>'Eigen vloot'!D27</f>
        <v>0</v>
      </c>
      <c r="F18" s="930">
        <f>'Eigen vloot'!E27</f>
        <v>0</v>
      </c>
      <c r="G18" s="930">
        <f>'Eigen vloot'!F27</f>
        <v>0</v>
      </c>
      <c r="H18" s="930">
        <f>'Eigen vloot'!G27</f>
        <v>0</v>
      </c>
      <c r="I18" s="930">
        <f>'Eigen vloot'!H27</f>
        <v>0</v>
      </c>
      <c r="J18" s="930">
        <f>'Eigen vloot'!I27</f>
        <v>0</v>
      </c>
      <c r="K18" s="930">
        <f>'Eigen vloot'!J27</f>
        <v>0</v>
      </c>
      <c r="L18" s="930">
        <f>'Eigen vloot'!K27</f>
        <v>0</v>
      </c>
      <c r="M18" s="930">
        <f>'Eigen vloot'!L27</f>
        <v>0</v>
      </c>
      <c r="N18" s="930">
        <f>'Eigen vloot'!M27</f>
        <v>0</v>
      </c>
      <c r="O18" s="930">
        <f>'Eigen vloot'!N27</f>
        <v>0</v>
      </c>
      <c r="P18" s="930">
        <f>'Eigen vloot'!O27</f>
        <v>0</v>
      </c>
      <c r="Q18" s="931">
        <f>'Eigen vloot'!P27</f>
        <v>0</v>
      </c>
      <c r="R18" s="628">
        <f>SUM(C18:Q18)</f>
        <v>0</v>
      </c>
      <c r="S18" s="67"/>
    </row>
    <row r="19" spans="1:19" s="437" customFormat="1">
      <c r="A19" s="736" t="s">
        <v>218</v>
      </c>
      <c r="B19" s="741"/>
      <c r="C19" s="930">
        <f>transport!B54</f>
        <v>3.8086695276187594</v>
      </c>
      <c r="D19" s="930">
        <f>transport!C54</f>
        <v>0</v>
      </c>
      <c r="E19" s="930">
        <f>transport!D54</f>
        <v>0</v>
      </c>
      <c r="F19" s="930">
        <f>transport!E54</f>
        <v>0</v>
      </c>
      <c r="G19" s="930">
        <f>transport!F54</f>
        <v>0</v>
      </c>
      <c r="H19" s="930">
        <f>transport!G54</f>
        <v>679.09384023303187</v>
      </c>
      <c r="I19" s="930">
        <f>transport!H54</f>
        <v>0</v>
      </c>
      <c r="J19" s="930">
        <f>transport!I54</f>
        <v>0</v>
      </c>
      <c r="K19" s="930">
        <f>transport!J54</f>
        <v>0</v>
      </c>
      <c r="L19" s="930">
        <f>transport!K54</f>
        <v>0</v>
      </c>
      <c r="M19" s="930">
        <f>transport!L54</f>
        <v>0</v>
      </c>
      <c r="N19" s="930">
        <f>transport!M54</f>
        <v>21.198678452014214</v>
      </c>
      <c r="O19" s="930">
        <f>transport!N54</f>
        <v>0</v>
      </c>
      <c r="P19" s="930">
        <f>transport!O54</f>
        <v>0</v>
      </c>
      <c r="Q19" s="931">
        <f>transport!P54</f>
        <v>0</v>
      </c>
      <c r="R19" s="628">
        <f>SUM(C19:Q19)</f>
        <v>704.10118821266485</v>
      </c>
      <c r="S19" s="67"/>
    </row>
    <row r="20" spans="1:19" s="437" customFormat="1">
      <c r="A20" s="736" t="s">
        <v>296</v>
      </c>
      <c r="B20" s="741"/>
      <c r="C20" s="930">
        <f>transport!B14</f>
        <v>83.131216490888164</v>
      </c>
      <c r="D20" s="930">
        <f>transport!C14</f>
        <v>0</v>
      </c>
      <c r="E20" s="930">
        <f>transport!D14</f>
        <v>118.80566294775622</v>
      </c>
      <c r="F20" s="930">
        <f>transport!E14</f>
        <v>608.4339289629221</v>
      </c>
      <c r="G20" s="930">
        <f>transport!F14</f>
        <v>0</v>
      </c>
      <c r="H20" s="930">
        <f>transport!G14</f>
        <v>304189.21403308096</v>
      </c>
      <c r="I20" s="930">
        <f>transport!H14</f>
        <v>42304.706828656228</v>
      </c>
      <c r="J20" s="930">
        <f>transport!I14</f>
        <v>0</v>
      </c>
      <c r="K20" s="930">
        <f>transport!J14</f>
        <v>0</v>
      </c>
      <c r="L20" s="930">
        <f>transport!K14</f>
        <v>0</v>
      </c>
      <c r="M20" s="930">
        <f>transport!L14</f>
        <v>0</v>
      </c>
      <c r="N20" s="930">
        <f>transport!M14</f>
        <v>10837.609949544143</v>
      </c>
      <c r="O20" s="930">
        <f>transport!N14</f>
        <v>0</v>
      </c>
      <c r="P20" s="930">
        <f>transport!O14</f>
        <v>0</v>
      </c>
      <c r="Q20" s="931">
        <f>transport!P14</f>
        <v>0</v>
      </c>
      <c r="R20" s="628">
        <f>SUM(C20:Q20)</f>
        <v>358141.90161968285</v>
      </c>
      <c r="S20" s="67"/>
    </row>
    <row r="21" spans="1:19" s="437" customFormat="1" ht="15" thickBot="1">
      <c r="A21" s="758" t="s">
        <v>787</v>
      </c>
      <c r="B21" s="933"/>
      <c r="C21" s="934"/>
      <c r="D21" s="934"/>
      <c r="E21" s="934"/>
      <c r="F21" s="934"/>
      <c r="G21" s="934"/>
      <c r="H21" s="934"/>
      <c r="I21" s="934"/>
      <c r="J21" s="934"/>
      <c r="K21" s="934"/>
      <c r="L21" s="934"/>
      <c r="M21" s="934"/>
      <c r="N21" s="934"/>
      <c r="O21" s="934"/>
      <c r="P21" s="934"/>
      <c r="Q21" s="935"/>
      <c r="R21" s="627"/>
      <c r="S21" s="67"/>
    </row>
    <row r="22" spans="1:19" s="437" customFormat="1" ht="15.75" thickBot="1">
      <c r="A22" s="633" t="s">
        <v>219</v>
      </c>
      <c r="B22" s="744"/>
      <c r="C22" s="739">
        <f>SUM(C18:C21)</f>
        <v>86.939886018506925</v>
      </c>
      <c r="D22" s="739">
        <f t="shared" ref="D22:R22" si="1">SUM(D18:D21)</f>
        <v>0</v>
      </c>
      <c r="E22" s="739">
        <f t="shared" si="1"/>
        <v>118.80566294775622</v>
      </c>
      <c r="F22" s="739">
        <f t="shared" si="1"/>
        <v>608.4339289629221</v>
      </c>
      <c r="G22" s="739">
        <f t="shared" si="1"/>
        <v>0</v>
      </c>
      <c r="H22" s="739">
        <f t="shared" si="1"/>
        <v>304868.30787331401</v>
      </c>
      <c r="I22" s="739">
        <f t="shared" si="1"/>
        <v>42304.706828656228</v>
      </c>
      <c r="J22" s="739">
        <f t="shared" si="1"/>
        <v>0</v>
      </c>
      <c r="K22" s="739">
        <f t="shared" si="1"/>
        <v>0</v>
      </c>
      <c r="L22" s="739">
        <f t="shared" si="1"/>
        <v>0</v>
      </c>
      <c r="M22" s="739">
        <f t="shared" si="1"/>
        <v>0</v>
      </c>
      <c r="N22" s="739">
        <f t="shared" si="1"/>
        <v>10858.808627996157</v>
      </c>
      <c r="O22" s="739">
        <f t="shared" si="1"/>
        <v>0</v>
      </c>
      <c r="P22" s="739">
        <f t="shared" si="1"/>
        <v>0</v>
      </c>
      <c r="Q22" s="739">
        <f t="shared" si="1"/>
        <v>0</v>
      </c>
      <c r="R22" s="739">
        <f t="shared" si="1"/>
        <v>358846.00280789554</v>
      </c>
      <c r="S22" s="67"/>
    </row>
    <row r="23" spans="1:19" s="437" customFormat="1" ht="15.75">
      <c r="A23" s="738" t="s">
        <v>226</v>
      </c>
      <c r="B23" s="664"/>
      <c r="C23" s="1082"/>
      <c r="D23" s="1082"/>
      <c r="E23" s="1082"/>
      <c r="F23" s="1082"/>
      <c r="G23" s="1082"/>
      <c r="H23" s="1082"/>
      <c r="I23" s="1082"/>
      <c r="J23" s="1082"/>
      <c r="K23" s="1082"/>
      <c r="L23" s="1082"/>
      <c r="M23" s="1082"/>
      <c r="N23" s="1082"/>
      <c r="O23" s="1082"/>
      <c r="P23" s="1082"/>
      <c r="Q23" s="1082"/>
      <c r="R23" s="630"/>
      <c r="S23" s="67"/>
    </row>
    <row r="24" spans="1:19" s="437" customFormat="1">
      <c r="A24" s="736" t="s">
        <v>598</v>
      </c>
      <c r="B24" s="741"/>
      <c r="C24" s="930">
        <f>+landbouw!B8</f>
        <v>3173.7860357832997</v>
      </c>
      <c r="D24" s="930">
        <f>+landbouw!C8</f>
        <v>0</v>
      </c>
      <c r="E24" s="930">
        <f>+landbouw!D8</f>
        <v>567.14228921387394</v>
      </c>
      <c r="F24" s="930">
        <f>+landbouw!E8</f>
        <v>62.875430848163603</v>
      </c>
      <c r="G24" s="930">
        <f>+landbouw!F8</f>
        <v>11573.902532422209</v>
      </c>
      <c r="H24" s="930">
        <f>+landbouw!G8</f>
        <v>0</v>
      </c>
      <c r="I24" s="930">
        <f>+landbouw!H8</f>
        <v>0</v>
      </c>
      <c r="J24" s="930">
        <f>+landbouw!I8</f>
        <v>0</v>
      </c>
      <c r="K24" s="930">
        <f>+landbouw!J8</f>
        <v>753.58467384212383</v>
      </c>
      <c r="L24" s="930">
        <f>+landbouw!K8</f>
        <v>0</v>
      </c>
      <c r="M24" s="930">
        <f>+landbouw!L8</f>
        <v>0</v>
      </c>
      <c r="N24" s="930">
        <f>+landbouw!M8</f>
        <v>0</v>
      </c>
      <c r="O24" s="930">
        <f>+landbouw!N8</f>
        <v>0</v>
      </c>
      <c r="P24" s="930">
        <f>+landbouw!O8</f>
        <v>0</v>
      </c>
      <c r="Q24" s="931">
        <f>+landbouw!P8</f>
        <v>0</v>
      </c>
      <c r="R24" s="628">
        <f>SUM(C24:Q24)</f>
        <v>16131.29096210967</v>
      </c>
      <c r="S24" s="67"/>
    </row>
    <row r="25" spans="1:19" s="437" customFormat="1" ht="15" thickBot="1">
      <c r="A25" s="758" t="s">
        <v>788</v>
      </c>
      <c r="B25" s="933"/>
      <c r="C25" s="934">
        <f>IF(Onbekend_ele_kWh="---",0,Onbekend_ele_kWh)/1000+IF(REST_rest_ele_kWh="---",0,REST_rest_ele_kWh)/1000</f>
        <v>885.77915142000006</v>
      </c>
      <c r="D25" s="934"/>
      <c r="E25" s="934">
        <f>IF(onbekend_gas_kWh="---",0,onbekend_gas_kWh)/1000+IF(REST_rest_gas_kWh="---",0,REST_rest_gas_kWh)/1000</f>
        <v>641.42139244999987</v>
      </c>
      <c r="F25" s="934"/>
      <c r="G25" s="934"/>
      <c r="H25" s="934"/>
      <c r="I25" s="934"/>
      <c r="J25" s="934"/>
      <c r="K25" s="934"/>
      <c r="L25" s="934"/>
      <c r="M25" s="934"/>
      <c r="N25" s="934"/>
      <c r="O25" s="934"/>
      <c r="P25" s="934"/>
      <c r="Q25" s="935"/>
      <c r="R25" s="628">
        <f>SUM(C25:Q25)</f>
        <v>1527.2005438699998</v>
      </c>
      <c r="S25" s="67"/>
    </row>
    <row r="26" spans="1:19" s="437" customFormat="1" ht="15.75" thickBot="1">
      <c r="A26" s="633" t="s">
        <v>789</v>
      </c>
      <c r="B26" s="744"/>
      <c r="C26" s="739">
        <f>SUM(C24:C25)</f>
        <v>4059.5651872032995</v>
      </c>
      <c r="D26" s="739">
        <f t="shared" ref="D26:R26" si="2">SUM(D24:D25)</f>
        <v>0</v>
      </c>
      <c r="E26" s="739">
        <f t="shared" si="2"/>
        <v>1208.5636816638739</v>
      </c>
      <c r="F26" s="739">
        <f t="shared" si="2"/>
        <v>62.875430848163603</v>
      </c>
      <c r="G26" s="739">
        <f t="shared" si="2"/>
        <v>11573.902532422209</v>
      </c>
      <c r="H26" s="739">
        <f t="shared" si="2"/>
        <v>0</v>
      </c>
      <c r="I26" s="739">
        <f t="shared" si="2"/>
        <v>0</v>
      </c>
      <c r="J26" s="739">
        <f t="shared" si="2"/>
        <v>0</v>
      </c>
      <c r="K26" s="739">
        <f t="shared" si="2"/>
        <v>753.58467384212383</v>
      </c>
      <c r="L26" s="739">
        <f t="shared" si="2"/>
        <v>0</v>
      </c>
      <c r="M26" s="739">
        <f t="shared" si="2"/>
        <v>0</v>
      </c>
      <c r="N26" s="739">
        <f t="shared" si="2"/>
        <v>0</v>
      </c>
      <c r="O26" s="739">
        <f t="shared" si="2"/>
        <v>0</v>
      </c>
      <c r="P26" s="739">
        <f t="shared" si="2"/>
        <v>0</v>
      </c>
      <c r="Q26" s="739">
        <f t="shared" si="2"/>
        <v>0</v>
      </c>
      <c r="R26" s="739">
        <f t="shared" si="2"/>
        <v>17658.491505979669</v>
      </c>
      <c r="S26" s="67"/>
    </row>
    <row r="27" spans="1:19" s="437" customFormat="1" ht="17.25" thickTop="1" thickBot="1">
      <c r="A27" s="634" t="s">
        <v>109</v>
      </c>
      <c r="B27" s="732"/>
      <c r="C27" s="635">
        <f ca="1">C22+C16+C26</f>
        <v>194867.84806361404</v>
      </c>
      <c r="D27" s="635">
        <f t="shared" ref="D27:R27" ca="1" si="3">D22+D16+D26</f>
        <v>1666.9285714285716</v>
      </c>
      <c r="E27" s="635">
        <f t="shared" ca="1" si="3"/>
        <v>176097.64397139556</v>
      </c>
      <c r="F27" s="635">
        <f t="shared" si="3"/>
        <v>5734.4822347993313</v>
      </c>
      <c r="G27" s="635">
        <f t="shared" ca="1" si="3"/>
        <v>91287.52836580039</v>
      </c>
      <c r="H27" s="635">
        <f t="shared" si="3"/>
        <v>304868.30787331401</v>
      </c>
      <c r="I27" s="635">
        <f t="shared" si="3"/>
        <v>42304.706828656228</v>
      </c>
      <c r="J27" s="635">
        <f t="shared" si="3"/>
        <v>0</v>
      </c>
      <c r="K27" s="635">
        <f t="shared" si="3"/>
        <v>2071.5201838319622</v>
      </c>
      <c r="L27" s="635">
        <f t="shared" si="3"/>
        <v>0</v>
      </c>
      <c r="M27" s="635">
        <f t="shared" ca="1" si="3"/>
        <v>0</v>
      </c>
      <c r="N27" s="635">
        <f t="shared" si="3"/>
        <v>10858.808627996157</v>
      </c>
      <c r="O27" s="635">
        <f t="shared" ca="1" si="3"/>
        <v>15839.612896829352</v>
      </c>
      <c r="P27" s="635">
        <f t="shared" si="3"/>
        <v>322.04666666666668</v>
      </c>
      <c r="Q27" s="635">
        <f t="shared" si="3"/>
        <v>1315.6000000000001</v>
      </c>
      <c r="R27" s="635">
        <f t="shared" ca="1" si="3"/>
        <v>847235.03428433219</v>
      </c>
      <c r="S27" s="67"/>
    </row>
    <row r="28" spans="1:19" ht="15.75" customHeight="1" thickBot="1">
      <c r="A28" s="636"/>
      <c r="B28" s="636"/>
      <c r="C28" s="637"/>
      <c r="D28" s="637"/>
      <c r="E28" s="637"/>
      <c r="F28" s="637"/>
      <c r="G28" s="637"/>
      <c r="H28" s="637"/>
      <c r="I28" s="637"/>
      <c r="J28" s="637"/>
      <c r="K28" s="637"/>
      <c r="L28" s="637"/>
      <c r="M28" s="637"/>
      <c r="N28" s="637"/>
      <c r="O28" s="637"/>
      <c r="P28" s="637"/>
      <c r="Q28" s="637"/>
      <c r="R28" s="637"/>
    </row>
    <row r="29" spans="1:19" ht="41.25" customHeight="1" thickTop="1" thickBot="1">
      <c r="A29" s="638" t="s">
        <v>332</v>
      </c>
      <c r="B29" s="638"/>
      <c r="C29" s="639">
        <f>'EF ele_warmte'!B5</f>
        <v>0</v>
      </c>
      <c r="D29" s="640"/>
      <c r="E29" s="641"/>
      <c r="F29" s="640"/>
      <c r="G29" s="640"/>
      <c r="H29" s="640"/>
      <c r="I29" s="640"/>
      <c r="J29" s="640"/>
      <c r="K29" s="640"/>
      <c r="L29" s="640"/>
      <c r="M29" s="640"/>
      <c r="N29" s="640"/>
      <c r="O29" s="640"/>
      <c r="P29" s="640"/>
      <c r="Q29" s="640"/>
      <c r="R29" s="640"/>
    </row>
    <row r="30" spans="1:19" ht="31.5" thickTop="1" thickBot="1">
      <c r="A30" s="642" t="s">
        <v>333</v>
      </c>
      <c r="B30" s="642"/>
      <c r="C30" s="643" t="s">
        <v>204</v>
      </c>
      <c r="D30" s="644"/>
      <c r="E30" s="644"/>
      <c r="F30" s="644"/>
      <c r="G30" s="644"/>
      <c r="H30" s="645"/>
      <c r="I30" s="646"/>
      <c r="J30" s="646"/>
      <c r="K30" s="646"/>
      <c r="L30" s="646"/>
      <c r="M30" s="646"/>
      <c r="N30" s="646"/>
      <c r="O30" s="646"/>
      <c r="P30" s="646"/>
      <c r="Q30" s="646"/>
      <c r="R30" s="646"/>
    </row>
    <row r="31" spans="1:19" ht="15" thickTop="1">
      <c r="A31" s="1083"/>
      <c r="B31" s="1083"/>
      <c r="C31" s="1083"/>
      <c r="D31" s="647"/>
      <c r="E31" s="646"/>
      <c r="F31" s="646"/>
      <c r="G31" s="646"/>
      <c r="H31" s="646"/>
      <c r="I31" s="646"/>
      <c r="J31" s="646"/>
      <c r="K31" s="646"/>
      <c r="L31" s="646"/>
      <c r="M31" s="646"/>
      <c r="N31" s="646"/>
      <c r="O31" s="646"/>
      <c r="P31" s="646"/>
      <c r="Q31" s="646"/>
      <c r="R31" s="646"/>
    </row>
    <row r="32" spans="1:19" ht="15.75">
      <c r="A32" s="648" t="s">
        <v>220</v>
      </c>
      <c r="B32" s="648"/>
      <c r="C32" s="647"/>
      <c r="D32" s="647"/>
      <c r="E32" s="646"/>
      <c r="F32" s="646"/>
      <c r="G32" s="646"/>
      <c r="H32" s="646"/>
      <c r="I32" s="646"/>
      <c r="J32" s="646"/>
      <c r="K32" s="646"/>
      <c r="L32" s="646"/>
      <c r="M32" s="646"/>
      <c r="N32" s="646"/>
      <c r="O32" s="646"/>
      <c r="P32" s="646"/>
      <c r="Q32" s="646"/>
      <c r="R32" s="646"/>
    </row>
    <row r="33" spans="1:18">
      <c r="A33" s="1046"/>
      <c r="B33" s="1046"/>
      <c r="C33" s="1046"/>
      <c r="D33" s="1046"/>
      <c r="E33" s="1046"/>
      <c r="F33" s="1046"/>
      <c r="G33" s="1046"/>
      <c r="H33" s="1046"/>
      <c r="I33" s="1046"/>
      <c r="J33" s="1046"/>
      <c r="K33" s="1046"/>
      <c r="L33" s="1046"/>
      <c r="M33" s="1046"/>
      <c r="N33" s="1046"/>
      <c r="O33" s="1046"/>
      <c r="P33" s="1046"/>
      <c r="Q33" s="1046"/>
      <c r="R33" s="1046"/>
    </row>
    <row r="34" spans="1:18" ht="15.75" thickBot="1">
      <c r="A34" s="649"/>
      <c r="B34" s="649"/>
      <c r="C34" s="650"/>
      <c r="D34" s="650"/>
      <c r="E34" s="650"/>
      <c r="F34" s="650"/>
      <c r="G34" s="650"/>
      <c r="H34" s="650"/>
      <c r="I34" s="650"/>
      <c r="J34" s="650"/>
      <c r="K34" s="650"/>
      <c r="L34" s="650"/>
      <c r="M34" s="650"/>
      <c r="N34" s="650"/>
      <c r="O34" s="650"/>
      <c r="P34" s="650"/>
      <c r="Q34" s="650"/>
      <c r="R34" s="650"/>
    </row>
    <row r="35" spans="1:18" ht="17.25" thickTop="1" thickBot="1">
      <c r="A35" s="1084"/>
      <c r="B35" s="746"/>
      <c r="C35" s="1086" t="s">
        <v>334</v>
      </c>
      <c r="D35" s="1087"/>
      <c r="E35" s="1087"/>
      <c r="F35" s="1087"/>
      <c r="G35" s="1087"/>
      <c r="H35" s="1087"/>
      <c r="I35" s="1087"/>
      <c r="J35" s="1087"/>
      <c r="K35" s="1087"/>
      <c r="L35" s="1087"/>
      <c r="M35" s="1087"/>
      <c r="N35" s="1087"/>
      <c r="O35" s="1087"/>
      <c r="P35" s="1087"/>
      <c r="Q35" s="1087"/>
      <c r="R35" s="1088"/>
    </row>
    <row r="36" spans="1:18" ht="16.5" thickTop="1">
      <c r="A36" s="1085"/>
      <c r="B36" s="747"/>
      <c r="C36" s="1089" t="s">
        <v>20</v>
      </c>
      <c r="D36" s="1032" t="s">
        <v>221</v>
      </c>
      <c r="E36" s="1091" t="s">
        <v>190</v>
      </c>
      <c r="F36" s="1092"/>
      <c r="G36" s="1092"/>
      <c r="H36" s="1092"/>
      <c r="I36" s="1092"/>
      <c r="J36" s="1092"/>
      <c r="K36" s="1092"/>
      <c r="L36" s="1093"/>
      <c r="M36" s="1091" t="s">
        <v>191</v>
      </c>
      <c r="N36" s="1092"/>
      <c r="O36" s="1092"/>
      <c r="P36" s="1092"/>
      <c r="Q36" s="1092"/>
      <c r="R36" s="1047" t="s">
        <v>109</v>
      </c>
    </row>
    <row r="37" spans="1:18" ht="45.75" thickBot="1">
      <c r="A37" s="1085"/>
      <c r="B37" s="747"/>
      <c r="C37" s="1090"/>
      <c r="D37" s="1035"/>
      <c r="E37" s="651" t="s">
        <v>192</v>
      </c>
      <c r="F37" s="651" t="s">
        <v>193</v>
      </c>
      <c r="G37" s="651" t="s">
        <v>194</v>
      </c>
      <c r="H37" s="651" t="s">
        <v>195</v>
      </c>
      <c r="I37" s="651" t="s">
        <v>113</v>
      </c>
      <c r="J37" s="651" t="s">
        <v>196</v>
      </c>
      <c r="K37" s="652" t="s">
        <v>222</v>
      </c>
      <c r="L37" s="652" t="s">
        <v>198</v>
      </c>
      <c r="M37" s="64" t="s">
        <v>199</v>
      </c>
      <c r="N37" s="65" t="s">
        <v>200</v>
      </c>
      <c r="O37" s="651" t="s">
        <v>223</v>
      </c>
      <c r="P37" s="651" t="s">
        <v>224</v>
      </c>
      <c r="Q37" s="652" t="s">
        <v>203</v>
      </c>
      <c r="R37" s="1049"/>
    </row>
    <row r="38" spans="1:18" ht="17.25" thickTop="1" thickBot="1">
      <c r="A38" s="759" t="s">
        <v>331</v>
      </c>
      <c r="B38" s="760"/>
      <c r="C38" s="653" t="s">
        <v>225</v>
      </c>
      <c r="D38" s="654"/>
      <c r="E38" s="655"/>
      <c r="F38" s="655"/>
      <c r="G38" s="655"/>
      <c r="H38" s="655"/>
      <c r="I38" s="655"/>
      <c r="J38" s="655"/>
      <c r="K38" s="655"/>
      <c r="L38" s="655"/>
      <c r="M38" s="936"/>
      <c r="N38" s="936"/>
      <c r="O38" s="655"/>
      <c r="P38" s="936"/>
      <c r="Q38" s="656"/>
      <c r="R38" s="657"/>
    </row>
    <row r="39" spans="1:18" ht="15" thickTop="1">
      <c r="A39" s="937" t="s">
        <v>212</v>
      </c>
      <c r="B39" s="756"/>
      <c r="C39" s="930">
        <f ca="1">'Eigen gebouwen'!B19</f>
        <v>0</v>
      </c>
      <c r="D39" s="930">
        <f ca="1">'Eigen gebouwen'!C19</f>
        <v>0</v>
      </c>
      <c r="E39" s="930">
        <f>'Eigen gebouwen'!D19</f>
        <v>0</v>
      </c>
      <c r="F39" s="930">
        <f>'Eigen gebouwen'!E19</f>
        <v>0</v>
      </c>
      <c r="G39" s="930">
        <f>'Eigen gebouwen'!F19</f>
        <v>0</v>
      </c>
      <c r="H39" s="930">
        <f>'Eigen gebouwen'!G19</f>
        <v>0</v>
      </c>
      <c r="I39" s="930">
        <f>'Eigen gebouwen'!H19</f>
        <v>0</v>
      </c>
      <c r="J39" s="930">
        <f>'Eigen gebouwen'!I19</f>
        <v>0</v>
      </c>
      <c r="K39" s="930">
        <f>'Eigen gebouwen'!J19</f>
        <v>0</v>
      </c>
      <c r="L39" s="930">
        <f>'Eigen gebouwen'!K19</f>
        <v>0</v>
      </c>
      <c r="M39" s="930">
        <f>'Eigen gebouwen'!L19</f>
        <v>0</v>
      </c>
      <c r="N39" s="930">
        <f>'Eigen gebouwen'!M19</f>
        <v>0</v>
      </c>
      <c r="O39" s="930">
        <f>'Eigen gebouwen'!N19</f>
        <v>0</v>
      </c>
      <c r="P39" s="930">
        <f>'Eigen gebouwen'!O19</f>
        <v>0</v>
      </c>
      <c r="Q39" s="702">
        <f>'Eigen gebouwen'!P19</f>
        <v>0</v>
      </c>
      <c r="R39" s="938">
        <f t="shared" ref="R39:R44" ca="1" si="4">SUM(C39:Q39)</f>
        <v>0</v>
      </c>
    </row>
    <row r="40" spans="1:18">
      <c r="A40" s="737" t="s">
        <v>213</v>
      </c>
      <c r="B40" s="757"/>
      <c r="C40" s="930">
        <f ca="1">tertiair!B20+'openbare verlichting'!B12</f>
        <v>3505.9699570777161</v>
      </c>
      <c r="D40" s="930">
        <f ca="1">tertiair!C20</f>
        <v>8.0969747899159685</v>
      </c>
      <c r="E40" s="930">
        <f ca="1">tertiair!D20</f>
        <v>2924.2413964591287</v>
      </c>
      <c r="F40" s="930">
        <f>tertiair!E20</f>
        <v>61.351993948755954</v>
      </c>
      <c r="G40" s="930">
        <f ca="1">tertiair!F20</f>
        <v>828.53257408426555</v>
      </c>
      <c r="H40" s="930">
        <f>tertiair!G20</f>
        <v>0</v>
      </c>
      <c r="I40" s="930">
        <f>tertiair!H20</f>
        <v>0</v>
      </c>
      <c r="J40" s="930">
        <f>tertiair!I20</f>
        <v>0</v>
      </c>
      <c r="K40" s="930">
        <f>tertiair!J20</f>
        <v>6.7612634367884231E-3</v>
      </c>
      <c r="L40" s="930">
        <f>tertiair!K20</f>
        <v>0</v>
      </c>
      <c r="M40" s="930">
        <f ca="1">tertiair!L20</f>
        <v>0</v>
      </c>
      <c r="N40" s="930">
        <f>tertiair!M20</f>
        <v>0</v>
      </c>
      <c r="O40" s="930">
        <f ca="1">tertiair!N20</f>
        <v>0</v>
      </c>
      <c r="P40" s="930">
        <f>tertiair!O20</f>
        <v>0</v>
      </c>
      <c r="Q40" s="702">
        <f>tertiair!P20</f>
        <v>0</v>
      </c>
      <c r="R40" s="777">
        <f t="shared" ca="1" si="4"/>
        <v>7328.1996576232186</v>
      </c>
    </row>
    <row r="41" spans="1:18">
      <c r="A41" s="749" t="s">
        <v>214</v>
      </c>
      <c r="B41" s="756"/>
      <c r="C41" s="930">
        <f ca="1">huishoudens!B12</f>
        <v>6356.763651867529</v>
      </c>
      <c r="D41" s="930">
        <f ca="1">huishoudens!C12</f>
        <v>0</v>
      </c>
      <c r="E41" s="930">
        <f>huishoudens!D12</f>
        <v>5826.396922780149</v>
      </c>
      <c r="F41" s="930">
        <f>huishoudens!E12</f>
        <v>505.44626170815502</v>
      </c>
      <c r="G41" s="930">
        <f>huishoudens!F12</f>
        <v>16163.595881450423</v>
      </c>
      <c r="H41" s="930">
        <f>huishoudens!G12</f>
        <v>0</v>
      </c>
      <c r="I41" s="930">
        <f>huishoudens!H12</f>
        <v>0</v>
      </c>
      <c r="J41" s="930">
        <f>huishoudens!I12</f>
        <v>0</v>
      </c>
      <c r="K41" s="930">
        <f>huishoudens!J12</f>
        <v>395.21458689617532</v>
      </c>
      <c r="L41" s="930">
        <f>huishoudens!K12</f>
        <v>0</v>
      </c>
      <c r="M41" s="930">
        <f>huishoudens!L12</f>
        <v>0</v>
      </c>
      <c r="N41" s="930">
        <f>huishoudens!M12</f>
        <v>0</v>
      </c>
      <c r="O41" s="930">
        <f>huishoudens!N12</f>
        <v>0</v>
      </c>
      <c r="P41" s="930">
        <f>huishoudens!O12</f>
        <v>0</v>
      </c>
      <c r="Q41" s="702">
        <f>huishoudens!P12</f>
        <v>0</v>
      </c>
      <c r="R41" s="777">
        <f t="shared" ca="1" si="4"/>
        <v>29247.417304702431</v>
      </c>
    </row>
    <row r="42" spans="1:18">
      <c r="A42" s="749" t="s">
        <v>490</v>
      </c>
      <c r="B42" s="756"/>
      <c r="C42" s="930">
        <f ca="1">'Eigen openbare verlichting'!B19</f>
        <v>0</v>
      </c>
      <c r="D42" s="930"/>
      <c r="E42" s="930"/>
      <c r="F42" s="930"/>
      <c r="G42" s="930"/>
      <c r="H42" s="930"/>
      <c r="I42" s="930"/>
      <c r="J42" s="930"/>
      <c r="K42" s="930"/>
      <c r="L42" s="930"/>
      <c r="M42" s="930"/>
      <c r="N42" s="930"/>
      <c r="O42" s="930"/>
      <c r="P42" s="930"/>
      <c r="Q42" s="702"/>
      <c r="R42" s="777">
        <f t="shared" ca="1" si="4"/>
        <v>0</v>
      </c>
    </row>
    <row r="43" spans="1:18">
      <c r="A43" s="749" t="s">
        <v>604</v>
      </c>
      <c r="B43" s="764" t="s">
        <v>601</v>
      </c>
      <c r="C43" s="930">
        <f ca="1">industrie!B22</f>
        <v>30170.174754458269</v>
      </c>
      <c r="D43" s="930">
        <f ca="1">industrie!C22</f>
        <v>388.04369747899165</v>
      </c>
      <c r="E43" s="930">
        <f>industrie!D22</f>
        <v>26552.957155371074</v>
      </c>
      <c r="F43" s="930">
        <f>industrie!E22</f>
        <v>582.54198696542062</v>
      </c>
      <c r="G43" s="930">
        <f>industrie!F22</f>
        <v>4291.4096419772859</v>
      </c>
      <c r="H43" s="930">
        <f>industrie!G22</f>
        <v>0</v>
      </c>
      <c r="I43" s="930">
        <f>industrie!H22</f>
        <v>0</v>
      </c>
      <c r="J43" s="930">
        <f>industrie!I22</f>
        <v>0</v>
      </c>
      <c r="K43" s="930">
        <f>industrie!J22</f>
        <v>71.327822376790579</v>
      </c>
      <c r="L43" s="930">
        <f>industrie!K22</f>
        <v>0</v>
      </c>
      <c r="M43" s="930">
        <f>industrie!L22</f>
        <v>0</v>
      </c>
      <c r="N43" s="930">
        <f>industrie!M22</f>
        <v>0</v>
      </c>
      <c r="O43" s="930">
        <f>industrie!N22</f>
        <v>0</v>
      </c>
      <c r="P43" s="930">
        <f>industrie!O22</f>
        <v>0</v>
      </c>
      <c r="Q43" s="702">
        <f>industrie!P22</f>
        <v>0</v>
      </c>
      <c r="R43" s="776">
        <f t="shared" ca="1" si="4"/>
        <v>62056.455058627835</v>
      </c>
    </row>
    <row r="44" spans="1:18">
      <c r="A44" s="749"/>
      <c r="B44" s="756" t="s">
        <v>602</v>
      </c>
      <c r="C44" s="930"/>
      <c r="D44" s="930"/>
      <c r="E44" s="930"/>
      <c r="F44" s="930"/>
      <c r="G44" s="930"/>
      <c r="H44" s="930"/>
      <c r="I44" s="930"/>
      <c r="J44" s="930"/>
      <c r="K44" s="930"/>
      <c r="L44" s="930"/>
      <c r="M44" s="930"/>
      <c r="N44" s="930"/>
      <c r="O44" s="930"/>
      <c r="P44" s="930"/>
      <c r="Q44" s="702"/>
      <c r="R44" s="777">
        <f t="shared" si="4"/>
        <v>0</v>
      </c>
    </row>
    <row r="45" spans="1:18" ht="15" thickBot="1">
      <c r="A45" s="932" t="s">
        <v>786</v>
      </c>
      <c r="B45" s="939"/>
      <c r="C45" s="934"/>
      <c r="D45" s="934"/>
      <c r="E45" s="934"/>
      <c r="F45" s="934"/>
      <c r="G45" s="934"/>
      <c r="H45" s="934"/>
      <c r="I45" s="934"/>
      <c r="J45" s="934"/>
      <c r="K45" s="934"/>
      <c r="L45" s="934"/>
      <c r="M45" s="934"/>
      <c r="N45" s="934"/>
      <c r="O45" s="934"/>
      <c r="P45" s="934"/>
      <c r="Q45" s="935"/>
      <c r="R45" s="940"/>
    </row>
    <row r="46" spans="1:18" ht="15.75" thickBot="1">
      <c r="A46" s="750" t="s">
        <v>215</v>
      </c>
      <c r="B46" s="763"/>
      <c r="C46" s="660">
        <f ca="1">SUM(C39:C45)</f>
        <v>40032.908363403512</v>
      </c>
      <c r="D46" s="660">
        <f t="shared" ref="D46:Q46" ca="1" si="5">SUM(D39:D45)</f>
        <v>396.14067226890762</v>
      </c>
      <c r="E46" s="660">
        <f t="shared" ca="1" si="5"/>
        <v>35303.595474610353</v>
      </c>
      <c r="F46" s="660">
        <f t="shared" si="5"/>
        <v>1149.3402426223315</v>
      </c>
      <c r="G46" s="660">
        <f t="shared" ca="1" si="5"/>
        <v>21283.538097511977</v>
      </c>
      <c r="H46" s="660">
        <f t="shared" si="5"/>
        <v>0</v>
      </c>
      <c r="I46" s="660">
        <f t="shared" si="5"/>
        <v>0</v>
      </c>
      <c r="J46" s="660">
        <f t="shared" si="5"/>
        <v>0</v>
      </c>
      <c r="K46" s="660">
        <f t="shared" si="5"/>
        <v>466.5491705364027</v>
      </c>
      <c r="L46" s="660">
        <f t="shared" si="5"/>
        <v>0</v>
      </c>
      <c r="M46" s="660">
        <f t="shared" ca="1" si="5"/>
        <v>0</v>
      </c>
      <c r="N46" s="660">
        <f t="shared" si="5"/>
        <v>0</v>
      </c>
      <c r="O46" s="660">
        <f t="shared" ca="1" si="5"/>
        <v>0</v>
      </c>
      <c r="P46" s="660">
        <f t="shared" si="5"/>
        <v>0</v>
      </c>
      <c r="Q46" s="660">
        <f t="shared" si="5"/>
        <v>0</v>
      </c>
      <c r="R46" s="660">
        <f ca="1">SUM(R39:R45)</f>
        <v>98632.072020953492</v>
      </c>
    </row>
    <row r="47" spans="1:18" ht="15.75">
      <c r="A47" s="751" t="s">
        <v>216</v>
      </c>
      <c r="B47" s="761"/>
      <c r="C47" s="653"/>
      <c r="D47" s="654"/>
      <c r="E47" s="654"/>
      <c r="F47" s="654"/>
      <c r="G47" s="654"/>
      <c r="H47" s="654"/>
      <c r="I47" s="654"/>
      <c r="J47" s="654"/>
      <c r="K47" s="654"/>
      <c r="L47" s="654"/>
      <c r="M47" s="663"/>
      <c r="N47" s="663"/>
      <c r="O47" s="654"/>
      <c r="P47" s="663"/>
      <c r="Q47" s="663"/>
      <c r="R47" s="657"/>
    </row>
    <row r="48" spans="1:18">
      <c r="A48" s="749" t="s">
        <v>217</v>
      </c>
      <c r="B48" s="756"/>
      <c r="C48" s="930">
        <f ca="1">'Eigen vloot'!B31</f>
        <v>0</v>
      </c>
      <c r="D48" s="930">
        <f>'Eigen vloot'!C31</f>
        <v>0</v>
      </c>
      <c r="E48" s="930">
        <f>'Eigen vloot'!D31</f>
        <v>0</v>
      </c>
      <c r="F48" s="930">
        <f>'Eigen vloot'!E31</f>
        <v>0</v>
      </c>
      <c r="G48" s="930">
        <f>'Eigen vloot'!F31</f>
        <v>0</v>
      </c>
      <c r="H48" s="930">
        <f>'Eigen vloot'!G31</f>
        <v>0</v>
      </c>
      <c r="I48" s="930">
        <f>'Eigen vloot'!H31</f>
        <v>0</v>
      </c>
      <c r="J48" s="930">
        <f>'Eigen vloot'!I31</f>
        <v>0</v>
      </c>
      <c r="K48" s="930">
        <f>'Eigen vloot'!J31</f>
        <v>0</v>
      </c>
      <c r="L48" s="930">
        <f>'Eigen vloot'!K31</f>
        <v>0</v>
      </c>
      <c r="M48" s="930">
        <f>'Eigen vloot'!L31</f>
        <v>0</v>
      </c>
      <c r="N48" s="930">
        <f>'Eigen vloot'!M31</f>
        <v>0</v>
      </c>
      <c r="O48" s="930">
        <f>'Eigen vloot'!N31</f>
        <v>0</v>
      </c>
      <c r="P48" s="930">
        <f>'Eigen vloot'!O31</f>
        <v>0</v>
      </c>
      <c r="Q48" s="930">
        <f>'Eigen vloot'!P31</f>
        <v>0</v>
      </c>
      <c r="R48" s="658">
        <f ca="1">SUM(C48:Q48)</f>
        <v>0</v>
      </c>
    </row>
    <row r="49" spans="1:18">
      <c r="A49" s="749" t="s">
        <v>218</v>
      </c>
      <c r="B49" s="756"/>
      <c r="C49" s="930">
        <f ca="1">transport!B58</f>
        <v>0.79944968819420525</v>
      </c>
      <c r="D49" s="930">
        <f ca="1">transport!C58</f>
        <v>0</v>
      </c>
      <c r="E49" s="930">
        <f>transport!D58</f>
        <v>0</v>
      </c>
      <c r="F49" s="930">
        <f>transport!E58</f>
        <v>0</v>
      </c>
      <c r="G49" s="930">
        <f>transport!F58</f>
        <v>0</v>
      </c>
      <c r="H49" s="930">
        <f>transport!G58</f>
        <v>181.31805534221951</v>
      </c>
      <c r="I49" s="930">
        <f>transport!H58</f>
        <v>0</v>
      </c>
      <c r="J49" s="930">
        <f>transport!I58</f>
        <v>0</v>
      </c>
      <c r="K49" s="930">
        <f>transport!J58</f>
        <v>0</v>
      </c>
      <c r="L49" s="930">
        <f>transport!K58</f>
        <v>0</v>
      </c>
      <c r="M49" s="930">
        <f>transport!L58</f>
        <v>0</v>
      </c>
      <c r="N49" s="930">
        <f>transport!M58</f>
        <v>0</v>
      </c>
      <c r="O49" s="930">
        <f>transport!N58</f>
        <v>0</v>
      </c>
      <c r="P49" s="930">
        <f>transport!O58</f>
        <v>0</v>
      </c>
      <c r="Q49" s="931">
        <f>transport!P58</f>
        <v>0</v>
      </c>
      <c r="R49" s="658">
        <f ca="1">SUM(C49:Q49)</f>
        <v>182.11750503041372</v>
      </c>
    </row>
    <row r="50" spans="1:18">
      <c r="A50" s="752" t="s">
        <v>296</v>
      </c>
      <c r="B50" s="762"/>
      <c r="C50" s="631">
        <f ca="1">transport!B18</f>
        <v>17.449459613367107</v>
      </c>
      <c r="D50" s="631">
        <f>transport!C18</f>
        <v>0</v>
      </c>
      <c r="E50" s="631">
        <f>transport!D18</f>
        <v>23.998743915446756</v>
      </c>
      <c r="F50" s="631">
        <f>transport!E18</f>
        <v>138.11450187458331</v>
      </c>
      <c r="G50" s="631">
        <f>transport!F18</f>
        <v>0</v>
      </c>
      <c r="H50" s="631">
        <f>transport!G18</f>
        <v>81218.520146832627</v>
      </c>
      <c r="I50" s="631">
        <f>transport!H18</f>
        <v>10533.872000335401</v>
      </c>
      <c r="J50" s="631">
        <f>transport!I18</f>
        <v>0</v>
      </c>
      <c r="K50" s="631">
        <f>transport!J18</f>
        <v>0</v>
      </c>
      <c r="L50" s="631">
        <f>transport!K18</f>
        <v>0</v>
      </c>
      <c r="M50" s="631">
        <f>transport!L18</f>
        <v>0</v>
      </c>
      <c r="N50" s="631">
        <f>transport!M18</f>
        <v>0</v>
      </c>
      <c r="O50" s="631">
        <f>transport!N18</f>
        <v>0</v>
      </c>
      <c r="P50" s="631">
        <f>transport!O18</f>
        <v>0</v>
      </c>
      <c r="Q50" s="632">
        <f>transport!P18</f>
        <v>0</v>
      </c>
      <c r="R50" s="659">
        <f ca="1">SUM(C50:Q50)</f>
        <v>91931.95485257142</v>
      </c>
    </row>
    <row r="51" spans="1:18" ht="15" thickBot="1">
      <c r="A51" s="749" t="s">
        <v>787</v>
      </c>
      <c r="B51" s="756"/>
      <c r="C51" s="930"/>
      <c r="D51" s="930"/>
      <c r="E51" s="930"/>
      <c r="F51" s="930"/>
      <c r="G51" s="930"/>
      <c r="H51" s="930"/>
      <c r="I51" s="930"/>
      <c r="J51" s="930"/>
      <c r="K51" s="930"/>
      <c r="L51" s="930"/>
      <c r="M51" s="930"/>
      <c r="N51" s="930"/>
      <c r="O51" s="930"/>
      <c r="P51" s="930"/>
      <c r="Q51" s="931"/>
      <c r="R51" s="658"/>
    </row>
    <row r="52" spans="1:18" ht="15.75" thickBot="1">
      <c r="A52" s="750" t="s">
        <v>219</v>
      </c>
      <c r="B52" s="763"/>
      <c r="C52" s="660">
        <f ca="1">SUM(C48:C51)</f>
        <v>18.248909301561312</v>
      </c>
      <c r="D52" s="660">
        <f t="shared" ref="D52:Q52" ca="1" si="6">SUM(D48:D51)</f>
        <v>0</v>
      </c>
      <c r="E52" s="660">
        <f t="shared" si="6"/>
        <v>23.998743915446756</v>
      </c>
      <c r="F52" s="660">
        <f t="shared" si="6"/>
        <v>138.11450187458331</v>
      </c>
      <c r="G52" s="660">
        <f t="shared" si="6"/>
        <v>0</v>
      </c>
      <c r="H52" s="660">
        <f t="shared" si="6"/>
        <v>81399.83820217484</v>
      </c>
      <c r="I52" s="660">
        <f t="shared" si="6"/>
        <v>10533.872000335401</v>
      </c>
      <c r="J52" s="660">
        <f t="shared" si="6"/>
        <v>0</v>
      </c>
      <c r="K52" s="660">
        <f t="shared" si="6"/>
        <v>0</v>
      </c>
      <c r="L52" s="660">
        <f t="shared" si="6"/>
        <v>0</v>
      </c>
      <c r="M52" s="660">
        <f t="shared" si="6"/>
        <v>0</v>
      </c>
      <c r="N52" s="660">
        <f t="shared" si="6"/>
        <v>0</v>
      </c>
      <c r="O52" s="660">
        <f t="shared" si="6"/>
        <v>0</v>
      </c>
      <c r="P52" s="660">
        <f t="shared" si="6"/>
        <v>0</v>
      </c>
      <c r="Q52" s="660">
        <f t="shared" si="6"/>
        <v>0</v>
      </c>
      <c r="R52" s="660">
        <f ca="1">SUM(R48:R51)</f>
        <v>92114.072357601835</v>
      </c>
    </row>
    <row r="53" spans="1:18" ht="15.75">
      <c r="A53" s="751" t="s">
        <v>226</v>
      </c>
      <c r="B53" s="731"/>
      <c r="C53" s="653"/>
      <c r="D53" s="654"/>
      <c r="E53" s="654"/>
      <c r="F53" s="654"/>
      <c r="G53" s="654"/>
      <c r="H53" s="654"/>
      <c r="I53" s="654"/>
      <c r="J53" s="654"/>
      <c r="K53" s="654"/>
      <c r="L53" s="654"/>
      <c r="M53" s="663"/>
      <c r="N53" s="663"/>
      <c r="O53" s="654"/>
      <c r="P53" s="663"/>
      <c r="Q53" s="663"/>
      <c r="R53" s="657"/>
    </row>
    <row r="54" spans="1:18">
      <c r="A54" s="752" t="s">
        <v>598</v>
      </c>
      <c r="B54" s="762"/>
      <c r="C54" s="631">
        <f ca="1">+landbouw!B12</f>
        <v>666.18598392505612</v>
      </c>
      <c r="D54" s="631">
        <f ca="1">+landbouw!C12</f>
        <v>0</v>
      </c>
      <c r="E54" s="631">
        <f>+landbouw!D12</f>
        <v>114.56274242120254</v>
      </c>
      <c r="F54" s="631">
        <f>+landbouw!E12</f>
        <v>14.272722802533139</v>
      </c>
      <c r="G54" s="631">
        <f>+landbouw!F12</f>
        <v>3090.2319761567301</v>
      </c>
      <c r="H54" s="631">
        <f>+landbouw!G12</f>
        <v>0</v>
      </c>
      <c r="I54" s="631">
        <f>+landbouw!H12</f>
        <v>0</v>
      </c>
      <c r="J54" s="631">
        <f>+landbouw!I12</f>
        <v>0</v>
      </c>
      <c r="K54" s="631">
        <f>+landbouw!J12</f>
        <v>266.7689745401118</v>
      </c>
      <c r="L54" s="631">
        <f>+landbouw!K12</f>
        <v>0</v>
      </c>
      <c r="M54" s="631">
        <f>+landbouw!L12</f>
        <v>0</v>
      </c>
      <c r="N54" s="631">
        <f>+landbouw!M12</f>
        <v>0</v>
      </c>
      <c r="O54" s="631">
        <f>+landbouw!N12</f>
        <v>0</v>
      </c>
      <c r="P54" s="631">
        <f>+landbouw!O12</f>
        <v>0</v>
      </c>
      <c r="Q54" s="632">
        <f>+landbouw!P12</f>
        <v>0</v>
      </c>
      <c r="R54" s="659">
        <f ca="1">SUM(C54:Q54)</f>
        <v>4152.022399845634</v>
      </c>
    </row>
    <row r="55" spans="1:18" ht="15" thickBot="1">
      <c r="A55" s="752" t="s">
        <v>788</v>
      </c>
      <c r="B55" s="762"/>
      <c r="C55" s="631">
        <f ca="1">C25*'EF ele_warmte'!B12</f>
        <v>185.9273589573902</v>
      </c>
      <c r="D55" s="631"/>
      <c r="E55" s="631">
        <f>E25*EF_CO2_aardgas</f>
        <v>129.56712127489999</v>
      </c>
      <c r="F55" s="631"/>
      <c r="G55" s="631"/>
      <c r="H55" s="631"/>
      <c r="I55" s="631"/>
      <c r="J55" s="631"/>
      <c r="K55" s="631"/>
      <c r="L55" s="631"/>
      <c r="M55" s="631"/>
      <c r="N55" s="631"/>
      <c r="O55" s="631"/>
      <c r="P55" s="631"/>
      <c r="Q55" s="632"/>
      <c r="R55" s="659">
        <f ca="1">SUM(C55:Q55)</f>
        <v>315.49448023229019</v>
      </c>
    </row>
    <row r="56" spans="1:18" ht="15.75" thickBot="1">
      <c r="A56" s="750" t="s">
        <v>789</v>
      </c>
      <c r="B56" s="763"/>
      <c r="C56" s="660">
        <f ca="1">SUM(C54:C55)</f>
        <v>852.11334288244632</v>
      </c>
      <c r="D56" s="660">
        <f t="shared" ref="D56:Q56" ca="1" si="7">SUM(D54:D55)</f>
        <v>0</v>
      </c>
      <c r="E56" s="660">
        <f t="shared" si="7"/>
        <v>244.12986369610252</v>
      </c>
      <c r="F56" s="660">
        <f t="shared" si="7"/>
        <v>14.272722802533139</v>
      </c>
      <c r="G56" s="660">
        <f t="shared" si="7"/>
        <v>3090.2319761567301</v>
      </c>
      <c r="H56" s="660">
        <f t="shared" si="7"/>
        <v>0</v>
      </c>
      <c r="I56" s="660">
        <f t="shared" si="7"/>
        <v>0</v>
      </c>
      <c r="J56" s="660">
        <f t="shared" si="7"/>
        <v>0</v>
      </c>
      <c r="K56" s="660">
        <f t="shared" si="7"/>
        <v>266.7689745401118</v>
      </c>
      <c r="L56" s="660">
        <f t="shared" si="7"/>
        <v>0</v>
      </c>
      <c r="M56" s="660">
        <f t="shared" si="7"/>
        <v>0</v>
      </c>
      <c r="N56" s="660">
        <f t="shared" si="7"/>
        <v>0</v>
      </c>
      <c r="O56" s="660">
        <f t="shared" si="7"/>
        <v>0</v>
      </c>
      <c r="P56" s="660">
        <f t="shared" si="7"/>
        <v>0</v>
      </c>
      <c r="Q56" s="661">
        <f t="shared" si="7"/>
        <v>0</v>
      </c>
      <c r="R56" s="662">
        <f ca="1">SUM(R54:R55)</f>
        <v>4467.5168800779238</v>
      </c>
    </row>
    <row r="57" spans="1:18" ht="15.75">
      <c r="A57" s="731" t="s">
        <v>599</v>
      </c>
      <c r="B57" s="731"/>
      <c r="C57" s="665"/>
      <c r="D57" s="654"/>
      <c r="E57" s="654"/>
      <c r="F57" s="654"/>
      <c r="G57" s="654"/>
      <c r="H57" s="654"/>
      <c r="I57" s="654"/>
      <c r="J57" s="654"/>
      <c r="K57" s="654"/>
      <c r="L57" s="654"/>
      <c r="M57" s="663"/>
      <c r="N57" s="663"/>
      <c r="O57" s="654"/>
      <c r="P57" s="663"/>
      <c r="Q57" s="663"/>
      <c r="R57" s="657"/>
    </row>
    <row r="58" spans="1:18" ht="15">
      <c r="A58" s="753" t="s">
        <v>227</v>
      </c>
      <c r="B58" s="767"/>
      <c r="C58" s="1077"/>
      <c r="D58" s="1078"/>
      <c r="E58" s="1078"/>
      <c r="F58" s="1078"/>
      <c r="G58" s="1078"/>
      <c r="H58" s="1078"/>
      <c r="I58" s="1078"/>
      <c r="J58" s="1078"/>
      <c r="K58" s="1078"/>
      <c r="L58" s="1078"/>
      <c r="M58" s="1078"/>
      <c r="N58" s="1078"/>
      <c r="O58" s="1078"/>
      <c r="P58" s="1078"/>
      <c r="Q58" s="1078"/>
      <c r="R58" s="666"/>
    </row>
    <row r="59" spans="1:18" ht="15">
      <c r="A59" s="754" t="s">
        <v>228</v>
      </c>
      <c r="B59" s="741"/>
      <c r="C59" s="1079"/>
      <c r="D59" s="1080"/>
      <c r="E59" s="1080"/>
      <c r="F59" s="1080"/>
      <c r="G59" s="1080"/>
      <c r="H59" s="1080"/>
      <c r="I59" s="1080"/>
      <c r="J59" s="1080"/>
      <c r="K59" s="1080"/>
      <c r="L59" s="1080"/>
      <c r="M59" s="1080"/>
      <c r="N59" s="1080"/>
      <c r="O59" s="1080"/>
      <c r="P59" s="1080"/>
      <c r="Q59" s="1080"/>
      <c r="R59" s="667"/>
    </row>
    <row r="60" spans="1:18" ht="15" thickBot="1">
      <c r="A60" s="765" t="s">
        <v>229</v>
      </c>
      <c r="B60" s="766"/>
      <c r="C60" s="1079"/>
      <c r="D60" s="1080"/>
      <c r="E60" s="1080"/>
      <c r="F60" s="1080"/>
      <c r="G60" s="1080"/>
      <c r="H60" s="1080"/>
      <c r="I60" s="1080"/>
      <c r="J60" s="1080"/>
      <c r="K60" s="1080"/>
      <c r="L60" s="1080"/>
      <c r="M60" s="1080"/>
      <c r="N60" s="1080"/>
      <c r="O60" s="1080"/>
      <c r="P60" s="1080"/>
      <c r="Q60" s="1080"/>
      <c r="R60" s="659"/>
    </row>
    <row r="61" spans="1:18" ht="16.5" thickBot="1">
      <c r="A61" s="768" t="s">
        <v>109</v>
      </c>
      <c r="B61" s="769"/>
      <c r="C61" s="668">
        <f ca="1">C46+C52+C56</f>
        <v>40903.27061558752</v>
      </c>
      <c r="D61" s="668">
        <f t="shared" ref="D61:Q61" ca="1" si="8">D46+D52+D56</f>
        <v>396.14067226890762</v>
      </c>
      <c r="E61" s="668">
        <f t="shared" ca="1" si="8"/>
        <v>35571.724082221903</v>
      </c>
      <c r="F61" s="668">
        <f t="shared" si="8"/>
        <v>1301.7274672994479</v>
      </c>
      <c r="G61" s="668">
        <f t="shared" ca="1" si="8"/>
        <v>24373.770073668707</v>
      </c>
      <c r="H61" s="668">
        <f t="shared" si="8"/>
        <v>81399.83820217484</v>
      </c>
      <c r="I61" s="668">
        <f t="shared" si="8"/>
        <v>10533.872000335401</v>
      </c>
      <c r="J61" s="668">
        <f t="shared" si="8"/>
        <v>0</v>
      </c>
      <c r="K61" s="668">
        <f t="shared" si="8"/>
        <v>733.3181450765145</v>
      </c>
      <c r="L61" s="668">
        <f t="shared" si="8"/>
        <v>0</v>
      </c>
      <c r="M61" s="668">
        <f t="shared" ca="1" si="8"/>
        <v>0</v>
      </c>
      <c r="N61" s="668">
        <f t="shared" si="8"/>
        <v>0</v>
      </c>
      <c r="O61" s="668">
        <f t="shared" ca="1" si="8"/>
        <v>0</v>
      </c>
      <c r="P61" s="668">
        <f t="shared" si="8"/>
        <v>0</v>
      </c>
      <c r="Q61" s="668">
        <f t="shared" si="8"/>
        <v>0</v>
      </c>
      <c r="R61" s="668">
        <f ca="1">R46+R52+R56</f>
        <v>195213.66125863325</v>
      </c>
    </row>
    <row r="62" spans="1:18" ht="15.75" thickTop="1" thickBot="1">
      <c r="A62" s="920"/>
      <c r="B62" s="920"/>
      <c r="C62" s="669"/>
      <c r="D62" s="669"/>
      <c r="E62" s="670"/>
      <c r="F62" s="670"/>
      <c r="G62" s="670"/>
      <c r="H62" s="670"/>
      <c r="I62" s="670"/>
      <c r="J62" s="670"/>
      <c r="K62" s="670"/>
      <c r="L62" s="670"/>
      <c r="M62" s="670"/>
      <c r="N62" s="670"/>
      <c r="O62" s="670"/>
      <c r="P62" s="670"/>
      <c r="Q62" s="670"/>
      <c r="R62" s="670"/>
    </row>
    <row r="63" spans="1:18" ht="20.25" thickTop="1" thickBot="1">
      <c r="A63" s="671" t="s">
        <v>335</v>
      </c>
      <c r="B63" s="748"/>
      <c r="C63" s="709">
        <f t="shared" ref="C63:Q63" ca="1" si="9">IF(ISERROR(C61/C27),0,C61/C27)</f>
        <v>0.20990261360219242</v>
      </c>
      <c r="D63" s="709">
        <f t="shared" ca="1" si="9"/>
        <v>0.23764705882352943</v>
      </c>
      <c r="E63" s="941">
        <f t="shared" ca="1" si="9"/>
        <v>0.20199999999999999</v>
      </c>
      <c r="F63" s="709">
        <f t="shared" si="9"/>
        <v>0.22699999999999995</v>
      </c>
      <c r="G63" s="709">
        <f t="shared" ca="1" si="9"/>
        <v>0.26700000000000002</v>
      </c>
      <c r="H63" s="709">
        <f t="shared" si="9"/>
        <v>0.26700000000000002</v>
      </c>
      <c r="I63" s="709">
        <f t="shared" si="9"/>
        <v>0.249</v>
      </c>
      <c r="J63" s="709">
        <f t="shared" si="9"/>
        <v>0</v>
      </c>
      <c r="K63" s="709">
        <f t="shared" si="9"/>
        <v>0.35399999999999993</v>
      </c>
      <c r="L63" s="709">
        <f t="shared" si="9"/>
        <v>0</v>
      </c>
      <c r="M63" s="709">
        <f t="shared" ca="1" si="9"/>
        <v>0</v>
      </c>
      <c r="N63" s="709">
        <f t="shared" si="9"/>
        <v>0</v>
      </c>
      <c r="O63" s="709">
        <f t="shared" ca="1" si="9"/>
        <v>0</v>
      </c>
      <c r="P63" s="709">
        <f t="shared" si="9"/>
        <v>0</v>
      </c>
      <c r="Q63" s="709">
        <f t="shared" si="9"/>
        <v>0</v>
      </c>
      <c r="R63" s="670"/>
    </row>
    <row r="64" spans="1:18" ht="33" thickTop="1" thickBot="1">
      <c r="A64" s="755" t="s">
        <v>336</v>
      </c>
      <c r="B64" s="733"/>
      <c r="C64" s="710">
        <f>'EF ele_warmte'!B6</f>
        <v>0.221</v>
      </c>
      <c r="D64" s="711"/>
      <c r="E64" s="712"/>
      <c r="F64" s="713"/>
      <c r="G64" s="713"/>
      <c r="H64" s="713"/>
      <c r="I64" s="713"/>
      <c r="J64" s="713"/>
      <c r="K64" s="713"/>
      <c r="L64" s="713"/>
      <c r="M64" s="713"/>
      <c r="N64" s="713"/>
      <c r="O64" s="713"/>
      <c r="P64" s="713"/>
      <c r="Q64" s="713"/>
      <c r="R64" s="670"/>
    </row>
    <row r="65" spans="1:18" ht="15" thickTop="1">
      <c r="A65" s="672"/>
      <c r="B65" s="672"/>
      <c r="C65" s="670"/>
      <c r="D65" s="670"/>
      <c r="E65" s="670"/>
      <c r="F65" s="670"/>
      <c r="G65" s="670"/>
      <c r="H65" s="670"/>
      <c r="I65" s="670"/>
      <c r="J65" s="670"/>
      <c r="K65" s="670"/>
      <c r="L65" s="670"/>
      <c r="M65" s="670"/>
      <c r="N65" s="670"/>
      <c r="O65" s="670"/>
      <c r="P65" s="670"/>
      <c r="Q65" s="670"/>
      <c r="R65" s="670"/>
    </row>
    <row r="66" spans="1:18" ht="18.75">
      <c r="A66" s="673" t="s">
        <v>337</v>
      </c>
      <c r="B66" s="673"/>
      <c r="C66" s="646"/>
      <c r="D66" s="674"/>
      <c r="E66" s="646"/>
      <c r="F66" s="646"/>
      <c r="G66" s="646"/>
      <c r="H66" s="646"/>
      <c r="I66" s="646"/>
      <c r="J66" s="646"/>
      <c r="K66" s="646"/>
      <c r="L66" s="646"/>
      <c r="M66" s="646"/>
      <c r="N66" s="646"/>
      <c r="O66" s="646"/>
      <c r="P66" s="675"/>
      <c r="Q66" s="675"/>
      <c r="R66" s="675"/>
    </row>
    <row r="67" spans="1:18">
      <c r="A67" s="1046"/>
      <c r="B67" s="1046"/>
      <c r="C67" s="1046"/>
      <c r="D67" s="1046"/>
      <c r="E67" s="1046"/>
      <c r="F67" s="1046"/>
      <c r="G67" s="1046"/>
      <c r="H67" s="1046"/>
      <c r="I67" s="1046"/>
      <c r="J67" s="1046"/>
      <c r="K67" s="1046"/>
      <c r="L67" s="1046"/>
      <c r="M67" s="1046"/>
      <c r="N67" s="1046"/>
      <c r="O67" s="1046"/>
      <c r="P67" s="1046"/>
      <c r="Q67" s="1046"/>
      <c r="R67" s="676"/>
    </row>
    <row r="68" spans="1:18" ht="16.5" customHeight="1" thickBot="1">
      <c r="A68" s="649"/>
      <c r="B68" s="649"/>
      <c r="C68" s="650"/>
      <c r="D68" s="650"/>
      <c r="E68" s="650"/>
      <c r="F68" s="650"/>
      <c r="G68" s="650"/>
      <c r="H68" s="650"/>
      <c r="I68" s="650"/>
      <c r="J68" s="650"/>
      <c r="K68" s="650"/>
      <c r="L68" s="650"/>
      <c r="M68" s="650"/>
      <c r="N68" s="650"/>
      <c r="O68" s="650"/>
      <c r="P68" s="650"/>
      <c r="Q68" s="650"/>
      <c r="R68" s="650"/>
    </row>
    <row r="69" spans="1:18" ht="48.75" customHeight="1" thickTop="1" thickBot="1">
      <c r="A69" s="1047" t="s">
        <v>230</v>
      </c>
      <c r="B69" s="1025" t="s">
        <v>338</v>
      </c>
      <c r="C69" s="1026"/>
      <c r="D69" s="1069" t="s">
        <v>339</v>
      </c>
      <c r="E69" s="1070"/>
      <c r="F69" s="1070"/>
      <c r="G69" s="1070"/>
      <c r="H69" s="1070"/>
      <c r="I69" s="1070"/>
      <c r="J69" s="1070"/>
      <c r="K69" s="1070"/>
      <c r="L69" s="1070"/>
      <c r="M69" s="1070"/>
      <c r="N69" s="1070"/>
      <c r="O69" s="1071"/>
      <c r="P69" s="942" t="s">
        <v>607</v>
      </c>
      <c r="Q69" s="1072" t="s">
        <v>606</v>
      </c>
      <c r="R69" s="1073"/>
    </row>
    <row r="70" spans="1:18" ht="61.5" thickTop="1" thickBot="1">
      <c r="A70" s="1048"/>
      <c r="B70" s="1067"/>
      <c r="C70" s="1068"/>
      <c r="D70" s="1074" t="s">
        <v>190</v>
      </c>
      <c r="E70" s="1075"/>
      <c r="F70" s="1075"/>
      <c r="G70" s="1075"/>
      <c r="H70" s="1076"/>
      <c r="I70" s="913" t="s">
        <v>235</v>
      </c>
      <c r="J70" s="913" t="s">
        <v>223</v>
      </c>
      <c r="K70" s="913" t="s">
        <v>202</v>
      </c>
      <c r="L70" s="913" t="s">
        <v>203</v>
      </c>
      <c r="M70" s="677" t="s">
        <v>234</v>
      </c>
      <c r="N70" s="913" t="s">
        <v>236</v>
      </c>
      <c r="O70" s="915" t="s">
        <v>120</v>
      </c>
      <c r="P70" s="943"/>
      <c r="Q70" s="783"/>
      <c r="R70" s="784"/>
    </row>
    <row r="71" spans="1:18" ht="95.25" customHeight="1" thickTop="1" thickBot="1">
      <c r="A71" s="1049"/>
      <c r="B71" s="918" t="s">
        <v>605</v>
      </c>
      <c r="C71" s="918" t="s">
        <v>790</v>
      </c>
      <c r="D71" s="944" t="s">
        <v>192</v>
      </c>
      <c r="E71" s="945" t="s">
        <v>193</v>
      </c>
      <c r="F71" s="913" t="s">
        <v>194</v>
      </c>
      <c r="G71" s="910" t="s">
        <v>196</v>
      </c>
      <c r="H71" s="946" t="s">
        <v>197</v>
      </c>
      <c r="I71" s="914"/>
      <c r="J71" s="914"/>
      <c r="K71" s="914"/>
      <c r="L71" s="914"/>
      <c r="M71" s="911"/>
      <c r="N71" s="914"/>
      <c r="O71" s="919"/>
      <c r="P71" s="947"/>
      <c r="Q71" s="921" t="s">
        <v>608</v>
      </c>
      <c r="R71" s="919" t="s">
        <v>609</v>
      </c>
    </row>
    <row r="72" spans="1:18" ht="15.75" thickTop="1">
      <c r="A72" s="678" t="s">
        <v>238</v>
      </c>
      <c r="B72" s="770">
        <f>'lokale energieproductie'!B4</f>
        <v>0</v>
      </c>
      <c r="C72" s="1065"/>
      <c r="D72" s="1065"/>
      <c r="E72" s="1066"/>
      <c r="F72" s="1066"/>
      <c r="G72" s="1056"/>
      <c r="H72" s="1059"/>
      <c r="I72" s="1062"/>
      <c r="J72" s="916"/>
      <c r="K72" s="1040"/>
      <c r="L72" s="1040"/>
      <c r="M72" s="1040"/>
      <c r="N72" s="1040"/>
      <c r="O72" s="1043"/>
      <c r="P72" s="778">
        <v>0</v>
      </c>
      <c r="Q72" s="948"/>
      <c r="R72" s="778">
        <v>0</v>
      </c>
    </row>
    <row r="73" spans="1:18" ht="15">
      <c r="A73" s="679" t="s">
        <v>239</v>
      </c>
      <c r="B73" s="678">
        <f>'lokale energieproductie'!B5</f>
        <v>0</v>
      </c>
      <c r="C73" s="1063"/>
      <c r="D73" s="1063"/>
      <c r="E73" s="1041"/>
      <c r="F73" s="1041"/>
      <c r="G73" s="1057"/>
      <c r="H73" s="1060"/>
      <c r="I73" s="1063"/>
      <c r="J73" s="917"/>
      <c r="K73" s="1041"/>
      <c r="L73" s="1041"/>
      <c r="M73" s="1041"/>
      <c r="N73" s="1041"/>
      <c r="O73" s="1044"/>
      <c r="P73" s="779">
        <v>0</v>
      </c>
      <c r="Q73" s="785"/>
      <c r="R73" s="779">
        <v>0</v>
      </c>
    </row>
    <row r="74" spans="1:18" ht="15">
      <c r="A74" s="679" t="s">
        <v>240</v>
      </c>
      <c r="B74" s="678">
        <f>'lokale energieproductie'!B6</f>
        <v>9873.0698056986694</v>
      </c>
      <c r="C74" s="1063"/>
      <c r="D74" s="1063"/>
      <c r="E74" s="1041"/>
      <c r="F74" s="1041"/>
      <c r="G74" s="1057"/>
      <c r="H74" s="1060"/>
      <c r="I74" s="1063"/>
      <c r="J74" s="917"/>
      <c r="K74" s="1041"/>
      <c r="L74" s="1041"/>
      <c r="M74" s="1041"/>
      <c r="N74" s="1041"/>
      <c r="O74" s="1044"/>
      <c r="P74" s="779">
        <v>0</v>
      </c>
      <c r="Q74" s="785"/>
      <c r="R74" s="779">
        <v>0</v>
      </c>
    </row>
    <row r="75" spans="1:18" ht="15.75" thickBot="1">
      <c r="A75" s="679" t="s">
        <v>791</v>
      </c>
      <c r="B75" s="678">
        <f>'lokale energieproductie'!B7</f>
        <v>0</v>
      </c>
      <c r="C75" s="1064"/>
      <c r="D75" s="1064"/>
      <c r="E75" s="1042"/>
      <c r="F75" s="1042"/>
      <c r="G75" s="1058"/>
      <c r="H75" s="1061"/>
      <c r="I75" s="1064"/>
      <c r="J75" s="949"/>
      <c r="K75" s="1042"/>
      <c r="L75" s="1042"/>
      <c r="M75" s="1042"/>
      <c r="N75" s="1042"/>
      <c r="O75" s="1045"/>
      <c r="P75" s="779">
        <v>0</v>
      </c>
      <c r="Q75" s="950"/>
      <c r="R75" s="779">
        <v>0</v>
      </c>
    </row>
    <row r="76" spans="1:18" ht="15">
      <c r="A76" s="680" t="s">
        <v>241</v>
      </c>
      <c r="B76" s="678">
        <f>'lokale energieproductie'!B8*IFERROR(SUM(I76:O76)/SUM(D76:O76),0)</f>
        <v>0</v>
      </c>
      <c r="C76" s="678">
        <f>'lokale energieproductie'!B8*IFERROR(SUM(D76:H76)/SUM(D76:O76),0)</f>
        <v>1166.8499999999999</v>
      </c>
      <c r="D76" s="951">
        <f>'lokale energieproductie'!C8</f>
        <v>1372.7647058823529</v>
      </c>
      <c r="E76" s="952">
        <f>'lokale energieproductie'!D8</f>
        <v>0</v>
      </c>
      <c r="F76" s="952">
        <f>'lokale energieproductie'!E8</f>
        <v>0</v>
      </c>
      <c r="G76" s="952">
        <f>'lokale energieproductie'!F8</f>
        <v>0</v>
      </c>
      <c r="H76" s="952">
        <f>'lokale energieproductie'!G8</f>
        <v>0</v>
      </c>
      <c r="I76" s="952">
        <f>'lokale energieproductie'!I8</f>
        <v>0</v>
      </c>
      <c r="J76" s="952">
        <f>'lokale energieproductie'!J8</f>
        <v>0</v>
      </c>
      <c r="K76" s="952">
        <f>'lokale energieproductie'!M8</f>
        <v>0</v>
      </c>
      <c r="L76" s="952">
        <f>'lokale energieproductie'!N8</f>
        <v>0</v>
      </c>
      <c r="M76" s="952">
        <f>'lokale energieproductie'!H8</f>
        <v>0</v>
      </c>
      <c r="N76" s="952">
        <f>'lokale energieproductie'!K8</f>
        <v>0</v>
      </c>
      <c r="O76" s="953">
        <f>'lokale energieproductie'!L8</f>
        <v>0</v>
      </c>
      <c r="P76" s="954"/>
      <c r="Q76" s="780">
        <f>D76*EF_CO2_aardgas+E76*EF_VLgas_CO2+'SEAP template'!F76*EF_stookolie_CO2+EF_bruinkool_CO2*'SEAP template'!G76+'SEAP template'!H76*EF_steenkool_CO2+'EF brandstof'!M4*'SEAP template'!M76+'SEAP template'!O76*EF_anderfossiel_CO2</f>
        <v>277.29847058823532</v>
      </c>
      <c r="R76" s="779">
        <v>0</v>
      </c>
    </row>
    <row r="77" spans="1:18" ht="30.75" thickBot="1">
      <c r="A77" s="681" t="s">
        <v>340</v>
      </c>
      <c r="B77" s="678">
        <f>'lokale energieproductie'!B9*IFERROR(SUM(I77:O77)/SUM(D77:O77),0)</f>
        <v>0</v>
      </c>
      <c r="C77" s="678">
        <f>'lokale energieproductie'!B9*IFERROR(SUM(D77:H77)/SUM(D77:O77),0)</f>
        <v>0</v>
      </c>
      <c r="D77" s="703">
        <f>'lokale energieproductie'!C9</f>
        <v>0</v>
      </c>
      <c r="E77" s="704">
        <f>'lokale energieproductie'!D9</f>
        <v>0</v>
      </c>
      <c r="F77" s="704">
        <f>'lokale energieproductie'!E9</f>
        <v>0</v>
      </c>
      <c r="G77" s="704">
        <f>'lokale energieproductie'!F9</f>
        <v>0</v>
      </c>
      <c r="H77" s="704">
        <f>'lokale energieproductie'!G9</f>
        <v>0</v>
      </c>
      <c r="I77" s="952">
        <f>'lokale energieproductie'!I9</f>
        <v>0</v>
      </c>
      <c r="J77" s="952">
        <f>'lokale energieproductie'!J9</f>
        <v>0</v>
      </c>
      <c r="K77" s="952">
        <f>'lokale energieproductie'!M9</f>
        <v>0</v>
      </c>
      <c r="L77" s="952">
        <f>'lokale energieproductie'!N9</f>
        <v>0</v>
      </c>
      <c r="M77" s="952">
        <f>'lokale energieproductie'!H9</f>
        <v>0</v>
      </c>
      <c r="N77" s="952">
        <f>'lokale energieproductie'!K9</f>
        <v>0</v>
      </c>
      <c r="O77" s="953">
        <f>'lokale energieproductie'!L9</f>
        <v>0</v>
      </c>
      <c r="P77" s="772"/>
      <c r="Q77" s="780">
        <f>D77*EF_CO2_aardgas+E77*EF_VLgas_CO2+'SEAP template'!F77*EF_stookolie_CO2+EF_bruinkool_CO2*'SEAP template'!G77+'SEAP template'!H77*EF_steenkool_CO2+'EF brandstof'!M4*'SEAP template'!M77+'SEAP template'!O77*EF_anderfossiel_CO2</f>
        <v>0</v>
      </c>
      <c r="R77" s="782">
        <v>0</v>
      </c>
    </row>
    <row r="78" spans="1:18" ht="16.5" thickTop="1" thickBot="1">
      <c r="A78" s="682" t="s">
        <v>109</v>
      </c>
      <c r="B78" s="683">
        <f>SUM(B72:B77)</f>
        <v>9873.0698056986694</v>
      </c>
      <c r="C78" s="683">
        <f>SUM(C72:C77)</f>
        <v>1166.8499999999999</v>
      </c>
      <c r="D78" s="684">
        <f t="shared" ref="D78:H78" si="10">SUM(D76:D77)</f>
        <v>1372.7647058823529</v>
      </c>
      <c r="E78" s="684">
        <f t="shared" si="10"/>
        <v>0</v>
      </c>
      <c r="F78" s="684">
        <f t="shared" si="10"/>
        <v>0</v>
      </c>
      <c r="G78" s="684">
        <f t="shared" si="10"/>
        <v>0</v>
      </c>
      <c r="H78" s="684">
        <f t="shared" si="10"/>
        <v>0</v>
      </c>
      <c r="I78" s="684">
        <f>SUM(I76:I77)</f>
        <v>0</v>
      </c>
      <c r="J78" s="684">
        <f>SUM(J76:J77)</f>
        <v>0</v>
      </c>
      <c r="K78" s="684">
        <f t="shared" ref="K78:L78" si="11">SUM(K76:K77)</f>
        <v>0</v>
      </c>
      <c r="L78" s="684">
        <f t="shared" si="11"/>
        <v>0</v>
      </c>
      <c r="M78" s="684">
        <f>SUM(M76:M77)</f>
        <v>0</v>
      </c>
      <c r="N78" s="684">
        <f>SUM(N76:N77)</f>
        <v>0</v>
      </c>
      <c r="O78" s="787">
        <f>SUM(O76:O77)</f>
        <v>0</v>
      </c>
      <c r="P78" s="685">
        <v>0</v>
      </c>
      <c r="Q78" s="685">
        <f>SUM(Q76:Q77)</f>
        <v>277.29847058823532</v>
      </c>
      <c r="R78" s="685">
        <f>SUM(R72:R77)</f>
        <v>0</v>
      </c>
    </row>
    <row r="79" spans="1:18" ht="15.75" thickTop="1">
      <c r="A79" s="686"/>
      <c r="B79" s="734"/>
      <c r="C79" s="687"/>
      <c r="D79" s="687"/>
      <c r="E79" s="647"/>
      <c r="F79" s="646"/>
      <c r="G79" s="646"/>
      <c r="H79" s="646"/>
      <c r="I79" s="688"/>
      <c r="J79" s="646"/>
      <c r="K79" s="646"/>
      <c r="L79" s="646"/>
      <c r="M79" s="646"/>
      <c r="N79" s="689"/>
      <c r="O79" s="646"/>
      <c r="P79" s="646"/>
      <c r="Q79" s="646"/>
      <c r="R79" s="646"/>
    </row>
    <row r="80" spans="1:18" ht="15">
      <c r="A80" s="920"/>
      <c r="B80" s="920"/>
      <c r="C80" s="687"/>
      <c r="D80" s="687"/>
      <c r="E80" s="646"/>
      <c r="F80" s="646"/>
      <c r="G80" s="646"/>
      <c r="H80" s="646"/>
      <c r="I80" s="646"/>
      <c r="J80" s="646"/>
      <c r="K80" s="646"/>
      <c r="L80" s="646"/>
      <c r="M80" s="646"/>
      <c r="N80" s="646"/>
      <c r="O80" s="646"/>
      <c r="P80" s="646"/>
      <c r="Q80" s="646"/>
      <c r="R80" s="646"/>
    </row>
    <row r="81" spans="1:19" ht="18.75">
      <c r="A81" s="690" t="s">
        <v>341</v>
      </c>
      <c r="B81" s="690"/>
      <c r="C81" s="691"/>
      <c r="D81" s="674"/>
      <c r="E81" s="646"/>
      <c r="F81" s="646"/>
      <c r="G81" s="646"/>
      <c r="H81" s="646"/>
      <c r="I81" s="646"/>
      <c r="J81" s="646"/>
      <c r="K81" s="646"/>
      <c r="L81" s="646"/>
      <c r="M81" s="646"/>
      <c r="N81" s="646"/>
      <c r="O81" s="646"/>
      <c r="P81" s="646"/>
      <c r="Q81" s="646"/>
      <c r="R81" s="646"/>
    </row>
    <row r="82" spans="1:19">
      <c r="A82" s="1046"/>
      <c r="B82" s="1046"/>
      <c r="C82" s="1046"/>
      <c r="D82" s="1046"/>
      <c r="E82" s="1046"/>
      <c r="F82" s="1046"/>
      <c r="G82" s="1046"/>
      <c r="H82" s="1046"/>
      <c r="I82" s="1046"/>
      <c r="J82" s="1046"/>
      <c r="K82" s="1046"/>
      <c r="L82" s="1046"/>
      <c r="M82" s="1046"/>
      <c r="N82" s="1046"/>
      <c r="O82" s="1046"/>
      <c r="P82" s="1046"/>
      <c r="Q82" s="676"/>
      <c r="R82" s="676"/>
    </row>
    <row r="83" spans="1:19" ht="15.75" thickBot="1">
      <c r="A83" s="649"/>
      <c r="B83" s="649"/>
      <c r="C83" s="650"/>
      <c r="D83" s="650"/>
      <c r="E83" s="650"/>
      <c r="F83" s="650"/>
      <c r="G83" s="650"/>
      <c r="H83" s="650"/>
      <c r="I83" s="650"/>
      <c r="J83" s="650"/>
      <c r="K83" s="650"/>
      <c r="L83" s="650"/>
      <c r="M83" s="650"/>
      <c r="N83" s="650"/>
      <c r="O83" s="650"/>
      <c r="P83" s="650"/>
      <c r="Q83" s="650"/>
      <c r="R83" s="650"/>
    </row>
    <row r="84" spans="1:19" ht="48.2" customHeight="1" thickTop="1" thickBot="1">
      <c r="A84" s="1047" t="s">
        <v>242</v>
      </c>
      <c r="B84" s="1025" t="s">
        <v>342</v>
      </c>
      <c r="C84" s="1050"/>
      <c r="D84" s="1053" t="s">
        <v>343</v>
      </c>
      <c r="E84" s="1054"/>
      <c r="F84" s="1054"/>
      <c r="G84" s="1054"/>
      <c r="H84" s="1054"/>
      <c r="I84" s="1054"/>
      <c r="J84" s="1054"/>
      <c r="K84" s="1054"/>
      <c r="L84" s="1054"/>
      <c r="M84" s="1054"/>
      <c r="N84" s="1054"/>
      <c r="O84" s="1055"/>
      <c r="P84" s="942" t="s">
        <v>607</v>
      </c>
      <c r="Q84" s="1025" t="s">
        <v>606</v>
      </c>
      <c r="R84" s="1026"/>
    </row>
    <row r="85" spans="1:19" ht="16.5" customHeight="1" thickTop="1" thickBot="1">
      <c r="A85" s="1048"/>
      <c r="B85" s="1051"/>
      <c r="C85" s="1052"/>
      <c r="D85" s="1027" t="s">
        <v>190</v>
      </c>
      <c r="E85" s="1028"/>
      <c r="F85" s="1028"/>
      <c r="G85" s="1028"/>
      <c r="H85" s="1029"/>
      <c r="I85" s="1030" t="s">
        <v>235</v>
      </c>
      <c r="J85" s="1032" t="s">
        <v>223</v>
      </c>
      <c r="K85" s="1034" t="s">
        <v>202</v>
      </c>
      <c r="L85" s="1034" t="s">
        <v>203</v>
      </c>
      <c r="M85" s="1036" t="s">
        <v>234</v>
      </c>
      <c r="N85" s="1034" t="s">
        <v>246</v>
      </c>
      <c r="O85" s="1038" t="s">
        <v>120</v>
      </c>
      <c r="P85" s="943"/>
      <c r="Q85" s="783"/>
      <c r="R85" s="784"/>
    </row>
    <row r="86" spans="1:19" ht="110.25" customHeight="1" thickTop="1" thickBot="1">
      <c r="A86" s="1049"/>
      <c r="B86" s="771" t="s">
        <v>605</v>
      </c>
      <c r="C86" s="771" t="s">
        <v>790</v>
      </c>
      <c r="D86" s="921" t="s">
        <v>192</v>
      </c>
      <c r="E86" s="914" t="s">
        <v>193</v>
      </c>
      <c r="F86" s="912" t="s">
        <v>194</v>
      </c>
      <c r="G86" s="914" t="s">
        <v>196</v>
      </c>
      <c r="H86" s="692" t="s">
        <v>197</v>
      </c>
      <c r="I86" s="1031"/>
      <c r="J86" s="1033"/>
      <c r="K86" s="1035"/>
      <c r="L86" s="1035"/>
      <c r="M86" s="1037"/>
      <c r="N86" s="1035"/>
      <c r="O86" s="1039"/>
      <c r="P86" s="947"/>
      <c r="Q86" s="921" t="s">
        <v>608</v>
      </c>
      <c r="R86" s="919" t="s">
        <v>609</v>
      </c>
    </row>
    <row r="87" spans="1:19" ht="15.75" thickTop="1">
      <c r="A87" s="693" t="s">
        <v>241</v>
      </c>
      <c r="B87" s="694">
        <f>'lokale energieproductie'!B17*IFERROR(SUM(I87:O87)/SUM(D87:O87),0)</f>
        <v>0</v>
      </c>
      <c r="C87" s="694">
        <f>'lokale energieproductie'!B17*IFERROR(SUM(D87:H87)/SUM(D87:O87),0)</f>
        <v>1666.9285714285716</v>
      </c>
      <c r="D87" s="705">
        <f>'lokale energieproductie'!C17</f>
        <v>1961.0924369747902</v>
      </c>
      <c r="E87" s="705">
        <f>'lokale energieproductie'!D17</f>
        <v>0</v>
      </c>
      <c r="F87" s="705">
        <f>'lokale energieproductie'!E17</f>
        <v>0</v>
      </c>
      <c r="G87" s="705">
        <f>'lokale energieproductie'!F17</f>
        <v>0</v>
      </c>
      <c r="H87" s="705">
        <f>'lokale energieproductie'!G17</f>
        <v>0</v>
      </c>
      <c r="I87" s="705">
        <f>'lokale energieproductie'!I17</f>
        <v>0</v>
      </c>
      <c r="J87" s="705">
        <f>'lokale energieproductie'!J17</f>
        <v>0</v>
      </c>
      <c r="K87" s="705">
        <f>'lokale energieproductie'!M17</f>
        <v>0</v>
      </c>
      <c r="L87" s="705">
        <f>'lokale energieproductie'!N17</f>
        <v>0</v>
      </c>
      <c r="M87" s="705">
        <f>'lokale energieproductie'!H17</f>
        <v>0</v>
      </c>
      <c r="N87" s="705">
        <f>'lokale energieproductie'!K17</f>
        <v>0</v>
      </c>
      <c r="O87" s="705">
        <f>'lokale energieproductie'!L17</f>
        <v>0</v>
      </c>
      <c r="P87" s="1022"/>
      <c r="Q87" s="786">
        <f>D87*EF_CO2_aardgas+E87*EF_VLgas_CO2+'SEAP template'!F87*EF_stookolie_CO2+EF_bruinkool_CO2*'SEAP template'!G87+'SEAP template'!H87*EF_steenkool_CO2+'EF brandstof'!M4*'SEAP template'!M87+'SEAP template'!O87*EF_anderfossiel_CO2</f>
        <v>396.14067226890762</v>
      </c>
      <c r="R87" s="773">
        <v>0</v>
      </c>
    </row>
    <row r="88" spans="1:19" ht="15">
      <c r="A88" s="695" t="s">
        <v>247</v>
      </c>
      <c r="B88" s="694">
        <f>'lokale energieproductie'!B18*IFERROR(SUM(I88:O88)/SUM(D88:O88),0)</f>
        <v>0</v>
      </c>
      <c r="C88" s="694">
        <f>'lokale energieproductie'!B18*IFERROR(SUM(D88:H88)/SUM(D88:O88),0)</f>
        <v>0</v>
      </c>
      <c r="D88" s="705">
        <f>'lokale energieproductie'!C18</f>
        <v>0</v>
      </c>
      <c r="E88" s="705">
        <f>'lokale energieproductie'!D18</f>
        <v>0</v>
      </c>
      <c r="F88" s="705">
        <f>'lokale energieproductie'!E18</f>
        <v>0</v>
      </c>
      <c r="G88" s="705">
        <f>'lokale energieproductie'!F18</f>
        <v>0</v>
      </c>
      <c r="H88" s="705">
        <f>'lokale energieproductie'!G18</f>
        <v>0</v>
      </c>
      <c r="I88" s="705">
        <f>'lokale energieproductie'!I18</f>
        <v>0</v>
      </c>
      <c r="J88" s="705">
        <f>'lokale energieproductie'!J18</f>
        <v>0</v>
      </c>
      <c r="K88" s="705">
        <f>'lokale energieproductie'!M18</f>
        <v>0</v>
      </c>
      <c r="L88" s="705">
        <f>'lokale energieproductie'!N18</f>
        <v>0</v>
      </c>
      <c r="M88" s="705">
        <f>'lokale energieproductie'!H18</f>
        <v>0</v>
      </c>
      <c r="N88" s="705">
        <f>'lokale energieproductie'!K18</f>
        <v>0</v>
      </c>
      <c r="O88" s="705">
        <f>'lokale energieproductie'!L18</f>
        <v>0</v>
      </c>
      <c r="P88" s="1023"/>
      <c r="Q88" s="780">
        <f>D88*EF_CO2_aardgas+E88*EF_VLgas_CO2+'SEAP template'!F88*EF_stookolie_CO2+EF_bruinkool_CO2*'SEAP template'!G88+'SEAP template'!H88*EF_steenkool_CO2+'EF brandstof'!M4*'SEAP template'!M88+'SEAP template'!O88*EF_anderfossiel_CO2</f>
        <v>0</v>
      </c>
      <c r="R88" s="774">
        <v>0</v>
      </c>
    </row>
    <row r="89" spans="1:19" ht="30" thickBot="1">
      <c r="A89" s="681" t="s">
        <v>340</v>
      </c>
      <c r="B89" s="694">
        <f>'lokale energieproductie'!B19*IFERROR(SUM(I89:O89)/SUM(D89:O89),0)</f>
        <v>0</v>
      </c>
      <c r="C89" s="694">
        <f>'lokale energieproductie'!B19*IFERROR(SUM(D89:H89)/SUM(D89:O89),0)</f>
        <v>0</v>
      </c>
      <c r="D89" s="705">
        <f>'lokale energieproductie'!C19</f>
        <v>0</v>
      </c>
      <c r="E89" s="705">
        <f>'lokale energieproductie'!D19</f>
        <v>0</v>
      </c>
      <c r="F89" s="705">
        <f>'lokale energieproductie'!E19</f>
        <v>0</v>
      </c>
      <c r="G89" s="705">
        <f>'lokale energieproductie'!F19</f>
        <v>0</v>
      </c>
      <c r="H89" s="705">
        <f>'lokale energieproductie'!G19</f>
        <v>0</v>
      </c>
      <c r="I89" s="705">
        <f>'lokale energieproductie'!I19</f>
        <v>0</v>
      </c>
      <c r="J89" s="705">
        <f>'lokale energieproductie'!J19</f>
        <v>0</v>
      </c>
      <c r="K89" s="705">
        <f>'lokale energieproductie'!M19</f>
        <v>0</v>
      </c>
      <c r="L89" s="705">
        <f>'lokale energieproductie'!N19</f>
        <v>0</v>
      </c>
      <c r="M89" s="705">
        <f>'lokale energieproductie'!H19</f>
        <v>0</v>
      </c>
      <c r="N89" s="705">
        <f>'lokale energieproductie'!K19</f>
        <v>0</v>
      </c>
      <c r="O89" s="705">
        <f>'lokale energieproductie'!L19</f>
        <v>0</v>
      </c>
      <c r="P89" s="1024"/>
      <c r="Q89" s="781">
        <f>D89*EF_CO2_aardgas+E89*EF_VLgas_CO2+'SEAP template'!F89*EF_stookolie_CO2+EF_bruinkool_CO2*'SEAP template'!G89+'SEAP template'!H89*EF_steenkool_CO2+'EF brandstof'!M4*'SEAP template'!M89+'SEAP template'!O89*EF_anderfossiel_CO2</f>
        <v>0</v>
      </c>
      <c r="R89" s="775">
        <v>0</v>
      </c>
    </row>
    <row r="90" spans="1:19" ht="16.5" thickTop="1" thickBot="1">
      <c r="A90" s="696" t="s">
        <v>109</v>
      </c>
      <c r="B90" s="683">
        <f>SUM(B87:B89)</f>
        <v>0</v>
      </c>
      <c r="C90" s="683">
        <f>SUM(C87:C89)</f>
        <v>1666.9285714285716</v>
      </c>
      <c r="D90" s="683">
        <f t="shared" ref="D90:H90" si="12">SUM(D87:D89)</f>
        <v>1961.0924369747902</v>
      </c>
      <c r="E90" s="683">
        <f t="shared" si="12"/>
        <v>0</v>
      </c>
      <c r="F90" s="683">
        <f t="shared" si="12"/>
        <v>0</v>
      </c>
      <c r="G90" s="683">
        <f t="shared" si="12"/>
        <v>0</v>
      </c>
      <c r="H90" s="683">
        <f t="shared" si="12"/>
        <v>0</v>
      </c>
      <c r="I90" s="683">
        <f>SUM(I87:I89)</f>
        <v>0</v>
      </c>
      <c r="J90" s="683">
        <f>SUM(J87:J89)</f>
        <v>0</v>
      </c>
      <c r="K90" s="683">
        <f t="shared" ref="K90:L90" si="13">SUM(K87:K89)</f>
        <v>0</v>
      </c>
      <c r="L90" s="683">
        <f t="shared" si="13"/>
        <v>0</v>
      </c>
      <c r="M90" s="683">
        <f>SUM(M87:M89)</f>
        <v>0</v>
      </c>
      <c r="N90" s="683">
        <f>SUM(N87:N89)</f>
        <v>0</v>
      </c>
      <c r="O90" s="683">
        <f>SUM(O87:O89)</f>
        <v>0</v>
      </c>
      <c r="P90" s="683">
        <v>0</v>
      </c>
      <c r="Q90" s="683">
        <f>SUM(Q87:Q89)</f>
        <v>396.14067226890762</v>
      </c>
      <c r="R90" s="787">
        <f>SUM(R87:R89)</f>
        <v>0</v>
      </c>
    </row>
    <row r="91" spans="1:19" ht="15.75" thickTop="1">
      <c r="A91" s="697"/>
      <c r="B91" s="697"/>
      <c r="C91" s="698"/>
      <c r="D91" s="699"/>
      <c r="E91" s="700"/>
      <c r="F91" s="688"/>
      <c r="G91" s="688"/>
      <c r="H91" s="688"/>
      <c r="I91" s="688"/>
      <c r="J91" s="688"/>
      <c r="K91" s="688"/>
      <c r="L91" s="688"/>
      <c r="M91" s="646"/>
      <c r="Q91" s="688"/>
      <c r="R91" s="646"/>
      <c r="S91" s="67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39" bestFit="1" customWidth="1"/>
    <col min="2" max="2" width="11.28515625" style="439" bestFit="1" customWidth="1"/>
    <col min="3" max="3" width="15.42578125" style="439" bestFit="1" customWidth="1"/>
    <col min="4" max="4" width="9.140625" style="439"/>
    <col min="5" max="5" width="16.28515625" style="439" customWidth="1"/>
    <col min="6" max="8" width="9.140625" style="439"/>
    <col min="9" max="9" width="14.28515625" style="439" customWidth="1"/>
    <col min="10" max="10" width="18.5703125" style="439" customWidth="1"/>
    <col min="11" max="11" width="15.140625" style="439" customWidth="1"/>
    <col min="12" max="12" width="15.42578125" style="439" customWidth="1"/>
    <col min="13" max="13" width="17" style="439" customWidth="1"/>
    <col min="14" max="14" width="16.42578125" style="439" customWidth="1"/>
    <col min="15" max="15" width="13.42578125" style="439" customWidth="1"/>
    <col min="16" max="16" width="18.28515625" style="439" customWidth="1"/>
    <col min="17" max="17" width="10.5703125" style="439" bestFit="1" customWidth="1"/>
    <col min="18" max="18" width="9.5703125" style="439" bestFit="1" customWidth="1"/>
    <col min="19" max="16384" width="9.140625" style="439"/>
  </cols>
  <sheetData>
    <row r="1" spans="1:17" ht="15.75">
      <c r="A1" s="1111" t="s">
        <v>538</v>
      </c>
      <c r="B1" s="1112" t="s">
        <v>534</v>
      </c>
      <c r="C1" s="1112"/>
      <c r="D1" s="1112"/>
      <c r="E1" s="1112"/>
      <c r="F1" s="1112"/>
      <c r="G1" s="1112"/>
      <c r="H1" s="1112"/>
      <c r="I1" s="1112"/>
      <c r="J1" s="1112"/>
      <c r="K1" s="1112"/>
      <c r="L1" s="1112"/>
      <c r="M1" s="1112"/>
      <c r="N1" s="1112"/>
      <c r="O1" s="1112"/>
      <c r="P1" s="1113"/>
      <c r="Q1" s="955"/>
    </row>
    <row r="2" spans="1:17">
      <c r="A2" s="1111"/>
      <c r="B2" s="1114" t="s">
        <v>20</v>
      </c>
      <c r="C2" s="1116" t="s">
        <v>189</v>
      </c>
      <c r="D2" s="1118" t="s">
        <v>190</v>
      </c>
      <c r="E2" s="1119"/>
      <c r="F2" s="1119"/>
      <c r="G2" s="1119"/>
      <c r="H2" s="1119"/>
      <c r="I2" s="1119"/>
      <c r="J2" s="1119"/>
      <c r="K2" s="1115"/>
      <c r="L2" s="1118" t="s">
        <v>191</v>
      </c>
      <c r="M2" s="1119"/>
      <c r="N2" s="1119"/>
      <c r="O2" s="1119"/>
      <c r="P2" s="1115"/>
      <c r="Q2" s="955"/>
    </row>
    <row r="3" spans="1:17" ht="45">
      <c r="A3" s="1111"/>
      <c r="B3" s="1115"/>
      <c r="C3" s="1117"/>
      <c r="D3" s="955" t="s">
        <v>192</v>
      </c>
      <c r="E3" s="955" t="s">
        <v>193</v>
      </c>
      <c r="F3" s="955" t="s">
        <v>194</v>
      </c>
      <c r="G3" s="955" t="s">
        <v>195</v>
      </c>
      <c r="H3" s="955" t="s">
        <v>113</v>
      </c>
      <c r="I3" s="955" t="s">
        <v>196</v>
      </c>
      <c r="J3" s="955" t="s">
        <v>197</v>
      </c>
      <c r="K3" s="955" t="s">
        <v>198</v>
      </c>
      <c r="L3" s="955" t="s">
        <v>199</v>
      </c>
      <c r="M3" s="955" t="s">
        <v>200</v>
      </c>
      <c r="N3" s="955" t="s">
        <v>201</v>
      </c>
      <c r="O3" s="955" t="s">
        <v>202</v>
      </c>
      <c r="P3" s="955" t="s">
        <v>203</v>
      </c>
      <c r="Q3" s="955" t="s">
        <v>109</v>
      </c>
    </row>
    <row r="4" spans="1:17">
      <c r="A4" s="440" t="s">
        <v>148</v>
      </c>
      <c r="B4" s="441">
        <f>huishoudens!B8</f>
        <v>30284.34731124821</v>
      </c>
      <c r="C4" s="441">
        <f>huishoudens!C8</f>
        <v>0</v>
      </c>
      <c r="D4" s="441">
        <f>huishoudens!D8</f>
        <v>28843.549122674001</v>
      </c>
      <c r="E4" s="441">
        <f>huishoudens!E8</f>
        <v>2226.6355141328413</v>
      </c>
      <c r="F4" s="441">
        <f>huishoudens!F8</f>
        <v>60537.812290076487</v>
      </c>
      <c r="G4" s="441">
        <f>huishoudens!G8</f>
        <v>0</v>
      </c>
      <c r="H4" s="441">
        <f>huishoudens!H8</f>
        <v>0</v>
      </c>
      <c r="I4" s="441">
        <f>huishoudens!I8</f>
        <v>0</v>
      </c>
      <c r="J4" s="441">
        <f>huishoudens!J8</f>
        <v>1116.4253867123598</v>
      </c>
      <c r="K4" s="441">
        <f>huishoudens!K8</f>
        <v>0</v>
      </c>
      <c r="L4" s="441">
        <f>huishoudens!L8</f>
        <v>0</v>
      </c>
      <c r="M4" s="441">
        <f>huishoudens!M8</f>
        <v>0</v>
      </c>
      <c r="N4" s="441">
        <f>huishoudens!N8</f>
        <v>8950.9038747338345</v>
      </c>
      <c r="O4" s="441">
        <f>huishoudens!O8</f>
        <v>314.23</v>
      </c>
      <c r="P4" s="442">
        <f>huishoudens!P8</f>
        <v>1201.2</v>
      </c>
      <c r="Q4" s="443">
        <f>SUM(B4:P4)</f>
        <v>133475.10349957776</v>
      </c>
    </row>
    <row r="5" spans="1:17">
      <c r="A5" s="440" t="s">
        <v>149</v>
      </c>
      <c r="B5" s="441">
        <f ca="1">tertiair!B16</f>
        <v>15429.5138885</v>
      </c>
      <c r="C5" s="441">
        <f ca="1">tertiair!C16</f>
        <v>34.071428571428577</v>
      </c>
      <c r="D5" s="441">
        <f ca="1">tertiair!D16</f>
        <v>14476.44255672836</v>
      </c>
      <c r="E5" s="441">
        <f>tertiair!E16</f>
        <v>270.27310109584118</v>
      </c>
      <c r="F5" s="441">
        <f ca="1">tertiair!F16</f>
        <v>3103.1182549972491</v>
      </c>
      <c r="G5" s="441">
        <f>tertiair!G16</f>
        <v>0</v>
      </c>
      <c r="H5" s="441">
        <f>tertiair!H16</f>
        <v>0</v>
      </c>
      <c r="I5" s="441">
        <f>tertiair!I16</f>
        <v>0</v>
      </c>
      <c r="J5" s="441">
        <f>tertiair!J16</f>
        <v>1.9099614228215885E-2</v>
      </c>
      <c r="K5" s="441">
        <f>tertiair!K16</f>
        <v>0</v>
      </c>
      <c r="L5" s="441">
        <f ca="1">tertiair!L16</f>
        <v>0</v>
      </c>
      <c r="M5" s="441">
        <f>tertiair!M16</f>
        <v>0</v>
      </c>
      <c r="N5" s="441">
        <f ca="1">tertiair!N16</f>
        <v>685.64273716879211</v>
      </c>
      <c r="O5" s="441">
        <f>tertiair!O16</f>
        <v>7.8166666666666664</v>
      </c>
      <c r="P5" s="442">
        <f>tertiair!P16</f>
        <v>114.4</v>
      </c>
      <c r="Q5" s="440">
        <f t="shared" ref="Q5:Q14" ca="1" si="0">SUM(B5:P5)</f>
        <v>34121.297733342559</v>
      </c>
    </row>
    <row r="6" spans="1:17">
      <c r="A6" s="440" t="s">
        <v>187</v>
      </c>
      <c r="B6" s="441">
        <f>'openbare verlichting'!B8</f>
        <v>1273.327</v>
      </c>
      <c r="C6" s="441"/>
      <c r="D6" s="441"/>
      <c r="E6" s="441"/>
      <c r="F6" s="441"/>
      <c r="G6" s="441"/>
      <c r="H6" s="441"/>
      <c r="I6" s="441"/>
      <c r="J6" s="441"/>
      <c r="K6" s="441"/>
      <c r="L6" s="441"/>
      <c r="M6" s="441"/>
      <c r="N6" s="441"/>
      <c r="O6" s="441"/>
      <c r="P6" s="442"/>
      <c r="Q6" s="440">
        <f t="shared" si="0"/>
        <v>1273.327</v>
      </c>
    </row>
    <row r="7" spans="1:17">
      <c r="A7" s="440" t="s">
        <v>105</v>
      </c>
      <c r="B7" s="441">
        <f>landbouw!B8</f>
        <v>3173.7860357832997</v>
      </c>
      <c r="C7" s="441">
        <f>landbouw!C8</f>
        <v>0</v>
      </c>
      <c r="D7" s="441">
        <f>landbouw!D8</f>
        <v>567.14228921387394</v>
      </c>
      <c r="E7" s="441">
        <f>landbouw!E8</f>
        <v>62.875430848163603</v>
      </c>
      <c r="F7" s="441">
        <f>landbouw!F8</f>
        <v>11573.902532422209</v>
      </c>
      <c r="G7" s="441">
        <f>landbouw!G8</f>
        <v>0</v>
      </c>
      <c r="H7" s="441">
        <f>landbouw!H8</f>
        <v>0</v>
      </c>
      <c r="I7" s="441">
        <f>landbouw!I8</f>
        <v>0</v>
      </c>
      <c r="J7" s="441">
        <f>landbouw!J8</f>
        <v>753.58467384212383</v>
      </c>
      <c r="K7" s="441">
        <f>landbouw!K8</f>
        <v>0</v>
      </c>
      <c r="L7" s="441">
        <f>landbouw!L8</f>
        <v>0</v>
      </c>
      <c r="M7" s="441">
        <f>landbouw!M8</f>
        <v>0</v>
      </c>
      <c r="N7" s="441">
        <f>landbouw!N8</f>
        <v>0</v>
      </c>
      <c r="O7" s="441">
        <f>landbouw!O8</f>
        <v>0</v>
      </c>
      <c r="P7" s="442">
        <f>landbouw!P8</f>
        <v>0</v>
      </c>
      <c r="Q7" s="440">
        <f t="shared" si="0"/>
        <v>16131.29096210967</v>
      </c>
    </row>
    <row r="8" spans="1:17">
      <c r="A8" s="440" t="s">
        <v>600</v>
      </c>
      <c r="B8" s="441">
        <f>industrie!B18</f>
        <v>143734.15479064401</v>
      </c>
      <c r="C8" s="441">
        <f>industrie!C18</f>
        <v>1632.8571428571429</v>
      </c>
      <c r="D8" s="441">
        <f>industrie!D18</f>
        <v>131450.28294738155</v>
      </c>
      <c r="E8" s="441">
        <f>industrie!E18</f>
        <v>2566.2642597595623</v>
      </c>
      <c r="F8" s="441">
        <f>industrie!F18</f>
        <v>16072.69528830444</v>
      </c>
      <c r="G8" s="441">
        <f>industrie!G18</f>
        <v>0</v>
      </c>
      <c r="H8" s="441">
        <f>industrie!H18</f>
        <v>0</v>
      </c>
      <c r="I8" s="441">
        <f>industrie!I18</f>
        <v>0</v>
      </c>
      <c r="J8" s="441">
        <f>industrie!J18</f>
        <v>201.49102366325025</v>
      </c>
      <c r="K8" s="441">
        <f>industrie!K18</f>
        <v>0</v>
      </c>
      <c r="L8" s="441">
        <f>industrie!L18</f>
        <v>0</v>
      </c>
      <c r="M8" s="441">
        <f>industrie!M18</f>
        <v>0</v>
      </c>
      <c r="N8" s="441">
        <f>industrie!N18</f>
        <v>6203.0662849267264</v>
      </c>
      <c r="O8" s="441">
        <f>industrie!O18</f>
        <v>0</v>
      </c>
      <c r="P8" s="442">
        <f>industrie!P18</f>
        <v>0</v>
      </c>
      <c r="Q8" s="440">
        <f t="shared" si="0"/>
        <v>301860.81173753669</v>
      </c>
    </row>
    <row r="9" spans="1:17" s="446" customFormat="1">
      <c r="A9" s="444" t="s">
        <v>549</v>
      </c>
      <c r="B9" s="445">
        <f>transport!B14</f>
        <v>83.131216490888164</v>
      </c>
      <c r="C9" s="445">
        <f>transport!C14</f>
        <v>0</v>
      </c>
      <c r="D9" s="445">
        <f>transport!D14</f>
        <v>118.80566294775622</v>
      </c>
      <c r="E9" s="445">
        <f>transport!E14</f>
        <v>608.4339289629221</v>
      </c>
      <c r="F9" s="445">
        <f>transport!F14</f>
        <v>0</v>
      </c>
      <c r="G9" s="445">
        <f>transport!G14</f>
        <v>304189.21403308096</v>
      </c>
      <c r="H9" s="445">
        <f>transport!H14</f>
        <v>42304.706828656228</v>
      </c>
      <c r="I9" s="445">
        <f>transport!I14</f>
        <v>0</v>
      </c>
      <c r="J9" s="445">
        <f>transport!J14</f>
        <v>0</v>
      </c>
      <c r="K9" s="445">
        <f>transport!K14</f>
        <v>0</v>
      </c>
      <c r="L9" s="445">
        <f>transport!L14</f>
        <v>0</v>
      </c>
      <c r="M9" s="445">
        <f>transport!M14</f>
        <v>10837.609949544143</v>
      </c>
      <c r="N9" s="445">
        <f>transport!N14</f>
        <v>0</v>
      </c>
      <c r="O9" s="445">
        <f>transport!O14</f>
        <v>0</v>
      </c>
      <c r="P9" s="445">
        <f>transport!P14</f>
        <v>0</v>
      </c>
      <c r="Q9" s="444">
        <f>SUM(B9:P9)</f>
        <v>358141.90161968285</v>
      </c>
    </row>
    <row r="10" spans="1:17">
      <c r="A10" s="440" t="s">
        <v>539</v>
      </c>
      <c r="B10" s="441">
        <f>transport!B54</f>
        <v>3.8086695276187594</v>
      </c>
      <c r="C10" s="441">
        <f>transport!C54</f>
        <v>0</v>
      </c>
      <c r="D10" s="441">
        <f>transport!D54</f>
        <v>0</v>
      </c>
      <c r="E10" s="441">
        <f>transport!E54</f>
        <v>0</v>
      </c>
      <c r="F10" s="441">
        <f>transport!F54</f>
        <v>0</v>
      </c>
      <c r="G10" s="441">
        <f>transport!G54</f>
        <v>679.09384023303187</v>
      </c>
      <c r="H10" s="441">
        <f>transport!H54</f>
        <v>0</v>
      </c>
      <c r="I10" s="441">
        <f>transport!I54</f>
        <v>0</v>
      </c>
      <c r="J10" s="441">
        <f>transport!J54</f>
        <v>0</v>
      </c>
      <c r="K10" s="441">
        <f>transport!K54</f>
        <v>0</v>
      </c>
      <c r="L10" s="441">
        <f>transport!L54</f>
        <v>0</v>
      </c>
      <c r="M10" s="441">
        <f>transport!M54</f>
        <v>21.198678452014214</v>
      </c>
      <c r="N10" s="441">
        <f>transport!N54</f>
        <v>0</v>
      </c>
      <c r="O10" s="441">
        <f>transport!O54</f>
        <v>0</v>
      </c>
      <c r="P10" s="442">
        <f>transport!P54</f>
        <v>0</v>
      </c>
      <c r="Q10" s="440">
        <f t="shared" si="0"/>
        <v>704.10118821266485</v>
      </c>
    </row>
    <row r="11" spans="1:17">
      <c r="A11" s="440" t="s">
        <v>540</v>
      </c>
      <c r="B11" s="441">
        <f>'Eigen gebouwen'!B15</f>
        <v>0</v>
      </c>
      <c r="C11" s="441">
        <f>'Eigen gebouwen'!C15</f>
        <v>0</v>
      </c>
      <c r="D11" s="441">
        <f>'Eigen gebouwen'!D15</f>
        <v>0</v>
      </c>
      <c r="E11" s="441">
        <f>'Eigen gebouwen'!E15</f>
        <v>0</v>
      </c>
      <c r="F11" s="441">
        <f>'Eigen gebouwen'!F15</f>
        <v>0</v>
      </c>
      <c r="G11" s="441">
        <f>'Eigen gebouwen'!G15</f>
        <v>0</v>
      </c>
      <c r="H11" s="441">
        <f>'Eigen gebouwen'!H15</f>
        <v>0</v>
      </c>
      <c r="I11" s="441">
        <f>'Eigen gebouwen'!I15</f>
        <v>0</v>
      </c>
      <c r="J11" s="441">
        <f>'Eigen gebouwen'!J15</f>
        <v>0</v>
      </c>
      <c r="K11" s="441">
        <f>'Eigen gebouwen'!K15</f>
        <v>0</v>
      </c>
      <c r="L11" s="441">
        <f>'Eigen gebouwen'!L15</f>
        <v>0</v>
      </c>
      <c r="M11" s="441">
        <f>'Eigen gebouwen'!M15</f>
        <v>0</v>
      </c>
      <c r="N11" s="441">
        <f>'Eigen gebouwen'!N15</f>
        <v>0</v>
      </c>
      <c r="O11" s="441">
        <f>'Eigen gebouwen'!O15</f>
        <v>0</v>
      </c>
      <c r="P11" s="442">
        <f>'Eigen gebouwen'!P15</f>
        <v>0</v>
      </c>
      <c r="Q11" s="440">
        <f t="shared" si="0"/>
        <v>0</v>
      </c>
    </row>
    <row r="12" spans="1:17">
      <c r="A12" s="440" t="s">
        <v>541</v>
      </c>
      <c r="B12" s="441">
        <f>'Eigen openbare verlichting'!B15</f>
        <v>0</v>
      </c>
      <c r="C12" s="441"/>
      <c r="D12" s="441"/>
      <c r="E12" s="441"/>
      <c r="F12" s="441"/>
      <c r="G12" s="441"/>
      <c r="H12" s="441"/>
      <c r="I12" s="441"/>
      <c r="J12" s="441"/>
      <c r="K12" s="441"/>
      <c r="L12" s="441"/>
      <c r="M12" s="441"/>
      <c r="N12" s="441"/>
      <c r="O12" s="441"/>
      <c r="P12" s="442"/>
      <c r="Q12" s="440">
        <f t="shared" si="0"/>
        <v>0</v>
      </c>
    </row>
    <row r="13" spans="1:17">
      <c r="A13" s="440" t="s">
        <v>542</v>
      </c>
      <c r="B13" s="441">
        <f>'Eigen vloot'!B27</f>
        <v>0</v>
      </c>
      <c r="C13" s="441">
        <f>'Eigen vloot'!C27</f>
        <v>0</v>
      </c>
      <c r="D13" s="441">
        <f>'Eigen vloot'!D27</f>
        <v>0</v>
      </c>
      <c r="E13" s="441">
        <f>'Eigen vloot'!E27</f>
        <v>0</v>
      </c>
      <c r="F13" s="441">
        <f>'Eigen vloot'!F27</f>
        <v>0</v>
      </c>
      <c r="G13" s="441">
        <f>'Eigen vloot'!G27</f>
        <v>0</v>
      </c>
      <c r="H13" s="441">
        <f>'Eigen vloot'!H27</f>
        <v>0</v>
      </c>
      <c r="I13" s="441">
        <f>'Eigen vloot'!I27</f>
        <v>0</v>
      </c>
      <c r="J13" s="441">
        <f>'Eigen vloot'!J27</f>
        <v>0</v>
      </c>
      <c r="K13" s="441">
        <f>'Eigen vloot'!K27</f>
        <v>0</v>
      </c>
      <c r="L13" s="441">
        <f>'Eigen vloot'!L27</f>
        <v>0</v>
      </c>
      <c r="M13" s="441">
        <f>'Eigen vloot'!M27</f>
        <v>0</v>
      </c>
      <c r="N13" s="441">
        <f>'Eigen vloot'!N27</f>
        <v>0</v>
      </c>
      <c r="O13" s="441">
        <f>'Eigen vloot'!O27</f>
        <v>0</v>
      </c>
      <c r="P13" s="442">
        <f>'Eigen vloot'!P27</f>
        <v>0</v>
      </c>
      <c r="Q13" s="440">
        <f t="shared" si="0"/>
        <v>0</v>
      </c>
    </row>
    <row r="14" spans="1:17">
      <c r="A14" s="447" t="s">
        <v>792</v>
      </c>
      <c r="B14" s="448">
        <f>'SEAP template'!C25</f>
        <v>885.77915142000006</v>
      </c>
      <c r="C14" s="448"/>
      <c r="D14" s="448">
        <f>'SEAP template'!E25</f>
        <v>641.42139244999987</v>
      </c>
      <c r="E14" s="448"/>
      <c r="F14" s="448"/>
      <c r="G14" s="448"/>
      <c r="H14" s="448"/>
      <c r="I14" s="448"/>
      <c r="J14" s="448"/>
      <c r="K14" s="448"/>
      <c r="L14" s="448"/>
      <c r="M14" s="448"/>
      <c r="N14" s="448"/>
      <c r="O14" s="448"/>
      <c r="P14" s="449"/>
      <c r="Q14" s="440">
        <f t="shared" si="0"/>
        <v>1527.2005438699998</v>
      </c>
    </row>
    <row r="15" spans="1:17" s="450" customFormat="1">
      <c r="A15" s="956" t="s">
        <v>543</v>
      </c>
      <c r="B15" s="896">
        <f ca="1">SUM(B4:B14)</f>
        <v>194867.84806361399</v>
      </c>
      <c r="C15" s="896">
        <f t="shared" ref="C15:Q15" ca="1" si="1">SUM(C4:C14)</f>
        <v>1666.9285714285716</v>
      </c>
      <c r="D15" s="896">
        <f t="shared" ca="1" si="1"/>
        <v>176097.64397139553</v>
      </c>
      <c r="E15" s="896">
        <f t="shared" si="1"/>
        <v>5734.4822347993304</v>
      </c>
      <c r="F15" s="896">
        <f t="shared" ca="1" si="1"/>
        <v>91287.52836580039</v>
      </c>
      <c r="G15" s="896">
        <f t="shared" si="1"/>
        <v>304868.30787331401</v>
      </c>
      <c r="H15" s="896">
        <f t="shared" si="1"/>
        <v>42304.706828656228</v>
      </c>
      <c r="I15" s="896">
        <f t="shared" si="1"/>
        <v>0</v>
      </c>
      <c r="J15" s="896">
        <f t="shared" si="1"/>
        <v>2071.5201838319622</v>
      </c>
      <c r="K15" s="896">
        <f t="shared" si="1"/>
        <v>0</v>
      </c>
      <c r="L15" s="896">
        <f t="shared" ca="1" si="1"/>
        <v>0</v>
      </c>
      <c r="M15" s="896">
        <f t="shared" si="1"/>
        <v>10858.808627996157</v>
      </c>
      <c r="N15" s="896">
        <f t="shared" ca="1" si="1"/>
        <v>15839.612896829352</v>
      </c>
      <c r="O15" s="896">
        <f t="shared" si="1"/>
        <v>322.04666666666668</v>
      </c>
      <c r="P15" s="896">
        <f t="shared" si="1"/>
        <v>1315.6000000000001</v>
      </c>
      <c r="Q15" s="896">
        <f t="shared" ca="1" si="1"/>
        <v>847235.03428433207</v>
      </c>
    </row>
    <row r="17" spans="1:17">
      <c r="A17" s="451" t="s">
        <v>544</v>
      </c>
      <c r="B17" s="714">
        <f ca="1">huishoudens!B10</f>
        <v>0.20990261360219245</v>
      </c>
      <c r="C17" s="714">
        <f ca="1">huishoudens!C10</f>
        <v>0.23764705882352943</v>
      </c>
      <c r="D17" s="714">
        <f>huishoudens!D10</f>
        <v>0.20200000000000001</v>
      </c>
      <c r="E17" s="714">
        <f>huishoudens!E10</f>
        <v>0.22700000000000001</v>
      </c>
      <c r="F17" s="714">
        <f>huishoudens!F10</f>
        <v>0.26700000000000002</v>
      </c>
      <c r="G17" s="714">
        <f>huishoudens!G10</f>
        <v>0.26700000000000002</v>
      </c>
      <c r="H17" s="714">
        <f>huishoudens!H10</f>
        <v>0.249</v>
      </c>
      <c r="I17" s="714">
        <f>huishoudens!I10</f>
        <v>0.35099999999999998</v>
      </c>
      <c r="J17" s="714">
        <f>huishoudens!J10</f>
        <v>0.35399999999999998</v>
      </c>
      <c r="K17" s="714">
        <f>huishoudens!K10</f>
        <v>0.26400000000000001</v>
      </c>
      <c r="L17" s="714">
        <f>huishoudens!L10</f>
        <v>0</v>
      </c>
      <c r="M17" s="714">
        <f>huishoudens!M10</f>
        <v>0</v>
      </c>
      <c r="N17" s="714">
        <f>huishoudens!N10</f>
        <v>0</v>
      </c>
      <c r="O17" s="714">
        <f>huishoudens!O10</f>
        <v>0</v>
      </c>
      <c r="P17" s="714">
        <f>huishoudens!P10</f>
        <v>0</v>
      </c>
    </row>
    <row r="18" spans="1:17" ht="15.75" customHeight="1"/>
    <row r="19" spans="1:17" ht="15" customHeight="1">
      <c r="A19" s="1111" t="s">
        <v>546</v>
      </c>
      <c r="B19" s="1112" t="s">
        <v>545</v>
      </c>
      <c r="C19" s="1112"/>
      <c r="D19" s="1112"/>
      <c r="E19" s="1112"/>
      <c r="F19" s="1112"/>
      <c r="G19" s="1112"/>
      <c r="H19" s="1112"/>
      <c r="I19" s="1112"/>
      <c r="J19" s="1112"/>
      <c r="K19" s="1112"/>
      <c r="L19" s="1112"/>
      <c r="M19" s="1112"/>
      <c r="N19" s="1112"/>
      <c r="O19" s="1112"/>
      <c r="P19" s="1113"/>
      <c r="Q19" s="955"/>
    </row>
    <row r="20" spans="1:17" ht="15" customHeight="1">
      <c r="A20" s="1111"/>
      <c r="B20" s="1114" t="s">
        <v>20</v>
      </c>
      <c r="C20" s="1116" t="s">
        <v>189</v>
      </c>
      <c r="D20" s="1118" t="s">
        <v>190</v>
      </c>
      <c r="E20" s="1119"/>
      <c r="F20" s="1119"/>
      <c r="G20" s="1119"/>
      <c r="H20" s="1119"/>
      <c r="I20" s="1119"/>
      <c r="J20" s="1119"/>
      <c r="K20" s="1115"/>
      <c r="L20" s="1118" t="s">
        <v>191</v>
      </c>
      <c r="M20" s="1119"/>
      <c r="N20" s="1119"/>
      <c r="O20" s="1119"/>
      <c r="P20" s="1115"/>
      <c r="Q20" s="955"/>
    </row>
    <row r="21" spans="1:17" ht="45">
      <c r="A21" s="1111"/>
      <c r="B21" s="1115"/>
      <c r="C21" s="1117"/>
      <c r="D21" s="955" t="s">
        <v>192</v>
      </c>
      <c r="E21" s="955" t="s">
        <v>193</v>
      </c>
      <c r="F21" s="955" t="s">
        <v>194</v>
      </c>
      <c r="G21" s="955" t="s">
        <v>195</v>
      </c>
      <c r="H21" s="955" t="s">
        <v>113</v>
      </c>
      <c r="I21" s="955" t="s">
        <v>196</v>
      </c>
      <c r="J21" s="955" t="s">
        <v>197</v>
      </c>
      <c r="K21" s="955" t="s">
        <v>198</v>
      </c>
      <c r="L21" s="955" t="s">
        <v>199</v>
      </c>
      <c r="M21" s="955" t="s">
        <v>200</v>
      </c>
      <c r="N21" s="955" t="s">
        <v>201</v>
      </c>
      <c r="O21" s="955" t="s">
        <v>202</v>
      </c>
      <c r="P21" s="955" t="s">
        <v>203</v>
      </c>
      <c r="Q21" s="955" t="s">
        <v>109</v>
      </c>
    </row>
    <row r="22" spans="1:17">
      <c r="A22" s="440" t="s">
        <v>148</v>
      </c>
      <c r="B22" s="441">
        <f t="shared" ref="B22:B32" ca="1" si="2">B4*$B$17</f>
        <v>6356.763651867529</v>
      </c>
      <c r="C22" s="441">
        <f t="shared" ref="C22:C32" ca="1" si="3">C4*$C$17</f>
        <v>0</v>
      </c>
      <c r="D22" s="441">
        <f t="shared" ref="D22:D32" si="4">D4*$D$17</f>
        <v>5826.396922780149</v>
      </c>
      <c r="E22" s="441">
        <f t="shared" ref="E22:E32" si="5">E4*$E$17</f>
        <v>505.44626170815502</v>
      </c>
      <c r="F22" s="441">
        <f t="shared" ref="F22:F32" si="6">F4*$F$17</f>
        <v>16163.595881450423</v>
      </c>
      <c r="G22" s="441">
        <f t="shared" ref="G22:G32" si="7">G4*$G$17</f>
        <v>0</v>
      </c>
      <c r="H22" s="441">
        <f t="shared" ref="H22:H32" si="8">H4*$H$17</f>
        <v>0</v>
      </c>
      <c r="I22" s="441">
        <f t="shared" ref="I22:I32" si="9">I4*$I$17</f>
        <v>0</v>
      </c>
      <c r="J22" s="441">
        <f t="shared" ref="J22:J32" si="10">J4*$J$17</f>
        <v>395.21458689617532</v>
      </c>
      <c r="K22" s="441">
        <f t="shared" ref="K22:K32" si="11">K4*$K$17</f>
        <v>0</v>
      </c>
      <c r="L22" s="441">
        <f t="shared" ref="L22:L32" si="12">L4*$L$17</f>
        <v>0</v>
      </c>
      <c r="M22" s="441">
        <f t="shared" ref="M22:M32" si="13">M4*$M$17</f>
        <v>0</v>
      </c>
      <c r="N22" s="441">
        <f t="shared" ref="N22:N32" si="14">N4*$N$17</f>
        <v>0</v>
      </c>
      <c r="O22" s="441">
        <f t="shared" ref="O22:O32" si="15">O4*$O$17</f>
        <v>0</v>
      </c>
      <c r="P22" s="452">
        <f t="shared" ref="P22:P32" si="16">P4*$P$17</f>
        <v>0</v>
      </c>
      <c r="Q22" s="443">
        <f ca="1">SUM(B22:P22)</f>
        <v>29247.417304702431</v>
      </c>
    </row>
    <row r="23" spans="1:17">
      <c r="A23" s="440" t="s">
        <v>149</v>
      </c>
      <c r="B23" s="441">
        <f t="shared" ca="1" si="2"/>
        <v>3238.6952918074771</v>
      </c>
      <c r="C23" s="441">
        <f t="shared" ca="1" si="3"/>
        <v>8.0969747899159685</v>
      </c>
      <c r="D23" s="441">
        <f t="shared" ca="1" si="4"/>
        <v>2924.2413964591287</v>
      </c>
      <c r="E23" s="441">
        <f t="shared" si="5"/>
        <v>61.351993948755954</v>
      </c>
      <c r="F23" s="441">
        <f t="shared" ca="1" si="6"/>
        <v>828.53257408426555</v>
      </c>
      <c r="G23" s="441">
        <f t="shared" si="7"/>
        <v>0</v>
      </c>
      <c r="H23" s="441">
        <f t="shared" si="8"/>
        <v>0</v>
      </c>
      <c r="I23" s="441">
        <f t="shared" si="9"/>
        <v>0</v>
      </c>
      <c r="J23" s="441">
        <f t="shared" si="10"/>
        <v>6.7612634367884231E-3</v>
      </c>
      <c r="K23" s="441">
        <f t="shared" si="11"/>
        <v>0</v>
      </c>
      <c r="L23" s="441">
        <f t="shared" ca="1" si="12"/>
        <v>0</v>
      </c>
      <c r="M23" s="441">
        <f t="shared" si="13"/>
        <v>0</v>
      </c>
      <c r="N23" s="441">
        <f t="shared" ca="1" si="14"/>
        <v>0</v>
      </c>
      <c r="O23" s="441">
        <f t="shared" si="15"/>
        <v>0</v>
      </c>
      <c r="P23" s="442">
        <f t="shared" si="16"/>
        <v>0</v>
      </c>
      <c r="Q23" s="440">
        <f t="shared" ref="Q23:Q32" ca="1" si="17">SUM(B23:P23)</f>
        <v>7060.9249923529796</v>
      </c>
    </row>
    <row r="24" spans="1:17">
      <c r="A24" s="440" t="s">
        <v>187</v>
      </c>
      <c r="B24" s="441">
        <f t="shared" ca="1" si="2"/>
        <v>267.27466527023893</v>
      </c>
      <c r="C24" s="441">
        <f t="shared" ca="1" si="3"/>
        <v>0</v>
      </c>
      <c r="D24" s="441">
        <f t="shared" si="4"/>
        <v>0</v>
      </c>
      <c r="E24" s="441">
        <f t="shared" si="5"/>
        <v>0</v>
      </c>
      <c r="F24" s="441">
        <f t="shared" si="6"/>
        <v>0</v>
      </c>
      <c r="G24" s="441">
        <f t="shared" si="7"/>
        <v>0</v>
      </c>
      <c r="H24" s="441">
        <f t="shared" si="8"/>
        <v>0</v>
      </c>
      <c r="I24" s="441">
        <f t="shared" si="9"/>
        <v>0</v>
      </c>
      <c r="J24" s="441">
        <f t="shared" si="10"/>
        <v>0</v>
      </c>
      <c r="K24" s="441">
        <f t="shared" si="11"/>
        <v>0</v>
      </c>
      <c r="L24" s="441">
        <f t="shared" si="12"/>
        <v>0</v>
      </c>
      <c r="M24" s="441">
        <f t="shared" si="13"/>
        <v>0</v>
      </c>
      <c r="N24" s="441">
        <f t="shared" si="14"/>
        <v>0</v>
      </c>
      <c r="O24" s="441">
        <f t="shared" si="15"/>
        <v>0</v>
      </c>
      <c r="P24" s="442">
        <f t="shared" si="16"/>
        <v>0</v>
      </c>
      <c r="Q24" s="440">
        <f t="shared" ca="1" si="17"/>
        <v>267.27466527023893</v>
      </c>
    </row>
    <row r="25" spans="1:17">
      <c r="A25" s="440" t="s">
        <v>105</v>
      </c>
      <c r="B25" s="441">
        <f t="shared" ca="1" si="2"/>
        <v>666.18598392505612</v>
      </c>
      <c r="C25" s="441">
        <f t="shared" ca="1" si="3"/>
        <v>0</v>
      </c>
      <c r="D25" s="441">
        <f t="shared" si="4"/>
        <v>114.56274242120254</v>
      </c>
      <c r="E25" s="441">
        <f t="shared" si="5"/>
        <v>14.272722802533139</v>
      </c>
      <c r="F25" s="441">
        <f t="shared" si="6"/>
        <v>3090.2319761567301</v>
      </c>
      <c r="G25" s="441">
        <f t="shared" si="7"/>
        <v>0</v>
      </c>
      <c r="H25" s="441">
        <f t="shared" si="8"/>
        <v>0</v>
      </c>
      <c r="I25" s="441">
        <f t="shared" si="9"/>
        <v>0</v>
      </c>
      <c r="J25" s="441">
        <f t="shared" si="10"/>
        <v>266.7689745401118</v>
      </c>
      <c r="K25" s="441">
        <f t="shared" si="11"/>
        <v>0</v>
      </c>
      <c r="L25" s="441">
        <f t="shared" si="12"/>
        <v>0</v>
      </c>
      <c r="M25" s="441">
        <f t="shared" si="13"/>
        <v>0</v>
      </c>
      <c r="N25" s="441">
        <f t="shared" si="14"/>
        <v>0</v>
      </c>
      <c r="O25" s="441">
        <f t="shared" si="15"/>
        <v>0</v>
      </c>
      <c r="P25" s="442">
        <f t="shared" si="16"/>
        <v>0</v>
      </c>
      <c r="Q25" s="440">
        <f t="shared" ca="1" si="17"/>
        <v>4152.022399845634</v>
      </c>
    </row>
    <row r="26" spans="1:17">
      <c r="A26" s="440" t="s">
        <v>600</v>
      </c>
      <c r="B26" s="441">
        <f t="shared" ca="1" si="2"/>
        <v>30170.174754458269</v>
      </c>
      <c r="C26" s="441">
        <f t="shared" ca="1" si="3"/>
        <v>388.04369747899165</v>
      </c>
      <c r="D26" s="441">
        <f t="shared" si="4"/>
        <v>26552.957155371074</v>
      </c>
      <c r="E26" s="441">
        <f t="shared" si="5"/>
        <v>582.54198696542062</v>
      </c>
      <c r="F26" s="441">
        <f t="shared" si="6"/>
        <v>4291.4096419772859</v>
      </c>
      <c r="G26" s="441">
        <f t="shared" si="7"/>
        <v>0</v>
      </c>
      <c r="H26" s="441">
        <f t="shared" si="8"/>
        <v>0</v>
      </c>
      <c r="I26" s="441">
        <f t="shared" si="9"/>
        <v>0</v>
      </c>
      <c r="J26" s="441">
        <f t="shared" si="10"/>
        <v>71.327822376790579</v>
      </c>
      <c r="K26" s="441">
        <f t="shared" si="11"/>
        <v>0</v>
      </c>
      <c r="L26" s="441">
        <f t="shared" si="12"/>
        <v>0</v>
      </c>
      <c r="M26" s="441">
        <f t="shared" si="13"/>
        <v>0</v>
      </c>
      <c r="N26" s="441">
        <f t="shared" si="14"/>
        <v>0</v>
      </c>
      <c r="O26" s="441">
        <f t="shared" si="15"/>
        <v>0</v>
      </c>
      <c r="P26" s="442">
        <f t="shared" si="16"/>
        <v>0</v>
      </c>
      <c r="Q26" s="440">
        <f t="shared" ca="1" si="17"/>
        <v>62056.455058627835</v>
      </c>
    </row>
    <row r="27" spans="1:17" s="446" customFormat="1">
      <c r="A27" s="444" t="s">
        <v>549</v>
      </c>
      <c r="B27" s="708">
        <f t="shared" ca="1" si="2"/>
        <v>17.449459613367107</v>
      </c>
      <c r="C27" s="445">
        <f t="shared" ca="1" si="3"/>
        <v>0</v>
      </c>
      <c r="D27" s="445">
        <f t="shared" si="4"/>
        <v>23.998743915446756</v>
      </c>
      <c r="E27" s="445">
        <f t="shared" si="5"/>
        <v>138.11450187458331</v>
      </c>
      <c r="F27" s="445">
        <f t="shared" si="6"/>
        <v>0</v>
      </c>
      <c r="G27" s="445">
        <f t="shared" si="7"/>
        <v>81218.520146832627</v>
      </c>
      <c r="H27" s="445">
        <f t="shared" si="8"/>
        <v>10533.872000335401</v>
      </c>
      <c r="I27" s="445">
        <f t="shared" si="9"/>
        <v>0</v>
      </c>
      <c r="J27" s="445">
        <f t="shared" si="10"/>
        <v>0</v>
      </c>
      <c r="K27" s="445">
        <f t="shared" si="11"/>
        <v>0</v>
      </c>
      <c r="L27" s="445">
        <f t="shared" si="12"/>
        <v>0</v>
      </c>
      <c r="M27" s="445">
        <f t="shared" si="13"/>
        <v>0</v>
      </c>
      <c r="N27" s="445">
        <f t="shared" si="14"/>
        <v>0</v>
      </c>
      <c r="O27" s="445">
        <f t="shared" si="15"/>
        <v>0</v>
      </c>
      <c r="P27" s="453">
        <f t="shared" si="16"/>
        <v>0</v>
      </c>
      <c r="Q27" s="444">
        <f t="shared" ca="1" si="17"/>
        <v>91931.95485257142</v>
      </c>
    </row>
    <row r="28" spans="1:17">
      <c r="A28" s="440" t="s">
        <v>539</v>
      </c>
      <c r="B28" s="441">
        <f t="shared" ca="1" si="2"/>
        <v>0.79944968819420525</v>
      </c>
      <c r="C28" s="441">
        <f t="shared" ca="1" si="3"/>
        <v>0</v>
      </c>
      <c r="D28" s="441">
        <f t="shared" si="4"/>
        <v>0</v>
      </c>
      <c r="E28" s="441">
        <f t="shared" si="5"/>
        <v>0</v>
      </c>
      <c r="F28" s="441">
        <f t="shared" si="6"/>
        <v>0</v>
      </c>
      <c r="G28" s="441">
        <f t="shared" si="7"/>
        <v>181.31805534221951</v>
      </c>
      <c r="H28" s="441">
        <f t="shared" si="8"/>
        <v>0</v>
      </c>
      <c r="I28" s="441">
        <f t="shared" si="9"/>
        <v>0</v>
      </c>
      <c r="J28" s="441">
        <f t="shared" si="10"/>
        <v>0</v>
      </c>
      <c r="K28" s="441">
        <f t="shared" si="11"/>
        <v>0</v>
      </c>
      <c r="L28" s="441">
        <f t="shared" si="12"/>
        <v>0</v>
      </c>
      <c r="M28" s="441">
        <f t="shared" si="13"/>
        <v>0</v>
      </c>
      <c r="N28" s="441">
        <f t="shared" si="14"/>
        <v>0</v>
      </c>
      <c r="O28" s="441">
        <f t="shared" si="15"/>
        <v>0</v>
      </c>
      <c r="P28" s="442">
        <f t="shared" si="16"/>
        <v>0</v>
      </c>
      <c r="Q28" s="440">
        <f t="shared" ca="1" si="17"/>
        <v>182.11750503041372</v>
      </c>
    </row>
    <row r="29" spans="1:17">
      <c r="A29" s="440" t="s">
        <v>540</v>
      </c>
      <c r="B29" s="441">
        <f t="shared" ca="1" si="2"/>
        <v>0</v>
      </c>
      <c r="C29" s="441">
        <f t="shared" ca="1" si="3"/>
        <v>0</v>
      </c>
      <c r="D29" s="441">
        <f t="shared" si="4"/>
        <v>0</v>
      </c>
      <c r="E29" s="441">
        <f t="shared" si="5"/>
        <v>0</v>
      </c>
      <c r="F29" s="441">
        <f t="shared" si="6"/>
        <v>0</v>
      </c>
      <c r="G29" s="441">
        <f t="shared" si="7"/>
        <v>0</v>
      </c>
      <c r="H29" s="441">
        <f t="shared" si="8"/>
        <v>0</v>
      </c>
      <c r="I29" s="441">
        <f t="shared" si="9"/>
        <v>0</v>
      </c>
      <c r="J29" s="441">
        <f t="shared" si="10"/>
        <v>0</v>
      </c>
      <c r="K29" s="441">
        <f t="shared" si="11"/>
        <v>0</v>
      </c>
      <c r="L29" s="441">
        <f t="shared" si="12"/>
        <v>0</v>
      </c>
      <c r="M29" s="441">
        <f t="shared" si="13"/>
        <v>0</v>
      </c>
      <c r="N29" s="441">
        <f t="shared" si="14"/>
        <v>0</v>
      </c>
      <c r="O29" s="441">
        <f t="shared" si="15"/>
        <v>0</v>
      </c>
      <c r="P29" s="442">
        <f t="shared" si="16"/>
        <v>0</v>
      </c>
      <c r="Q29" s="440">
        <f t="shared" ca="1" si="17"/>
        <v>0</v>
      </c>
    </row>
    <row r="30" spans="1:17">
      <c r="A30" s="440" t="s">
        <v>541</v>
      </c>
      <c r="B30" s="441">
        <f t="shared" ca="1" si="2"/>
        <v>0</v>
      </c>
      <c r="C30" s="441">
        <f t="shared" ca="1" si="3"/>
        <v>0</v>
      </c>
      <c r="D30" s="441">
        <f t="shared" si="4"/>
        <v>0</v>
      </c>
      <c r="E30" s="441">
        <f t="shared" si="5"/>
        <v>0</v>
      </c>
      <c r="F30" s="441">
        <f t="shared" si="6"/>
        <v>0</v>
      </c>
      <c r="G30" s="441">
        <f t="shared" si="7"/>
        <v>0</v>
      </c>
      <c r="H30" s="441">
        <f t="shared" si="8"/>
        <v>0</v>
      </c>
      <c r="I30" s="441">
        <f t="shared" si="9"/>
        <v>0</v>
      </c>
      <c r="J30" s="441">
        <f t="shared" si="10"/>
        <v>0</v>
      </c>
      <c r="K30" s="441">
        <f t="shared" si="11"/>
        <v>0</v>
      </c>
      <c r="L30" s="441">
        <f t="shared" si="12"/>
        <v>0</v>
      </c>
      <c r="M30" s="441">
        <f t="shared" si="13"/>
        <v>0</v>
      </c>
      <c r="N30" s="441">
        <f t="shared" si="14"/>
        <v>0</v>
      </c>
      <c r="O30" s="441">
        <f t="shared" si="15"/>
        <v>0</v>
      </c>
      <c r="P30" s="442">
        <f t="shared" si="16"/>
        <v>0</v>
      </c>
      <c r="Q30" s="440">
        <f t="shared" ca="1" si="17"/>
        <v>0</v>
      </c>
    </row>
    <row r="31" spans="1:17">
      <c r="A31" s="440" t="s">
        <v>542</v>
      </c>
      <c r="B31" s="441">
        <f t="shared" ca="1" si="2"/>
        <v>0</v>
      </c>
      <c r="C31" s="441">
        <f t="shared" ca="1" si="3"/>
        <v>0</v>
      </c>
      <c r="D31" s="441">
        <f t="shared" si="4"/>
        <v>0</v>
      </c>
      <c r="E31" s="441">
        <f t="shared" si="5"/>
        <v>0</v>
      </c>
      <c r="F31" s="441">
        <f t="shared" si="6"/>
        <v>0</v>
      </c>
      <c r="G31" s="441">
        <f t="shared" si="7"/>
        <v>0</v>
      </c>
      <c r="H31" s="441">
        <f t="shared" si="8"/>
        <v>0</v>
      </c>
      <c r="I31" s="441">
        <f t="shared" si="9"/>
        <v>0</v>
      </c>
      <c r="J31" s="441">
        <f t="shared" si="10"/>
        <v>0</v>
      </c>
      <c r="K31" s="441">
        <f t="shared" si="11"/>
        <v>0</v>
      </c>
      <c r="L31" s="441">
        <f t="shared" si="12"/>
        <v>0</v>
      </c>
      <c r="M31" s="441">
        <f t="shared" si="13"/>
        <v>0</v>
      </c>
      <c r="N31" s="441">
        <f t="shared" si="14"/>
        <v>0</v>
      </c>
      <c r="O31" s="441">
        <f t="shared" si="15"/>
        <v>0</v>
      </c>
      <c r="P31" s="442">
        <f t="shared" si="16"/>
        <v>0</v>
      </c>
      <c r="Q31" s="440">
        <f t="shared" ca="1" si="17"/>
        <v>0</v>
      </c>
    </row>
    <row r="32" spans="1:17">
      <c r="A32" s="440" t="s">
        <v>792</v>
      </c>
      <c r="B32" s="441">
        <f t="shared" ca="1" si="2"/>
        <v>185.9273589573902</v>
      </c>
      <c r="C32" s="441">
        <f t="shared" ca="1" si="3"/>
        <v>0</v>
      </c>
      <c r="D32" s="441">
        <f t="shared" si="4"/>
        <v>129.56712127489999</v>
      </c>
      <c r="E32" s="441">
        <f t="shared" si="5"/>
        <v>0</v>
      </c>
      <c r="F32" s="441">
        <f t="shared" si="6"/>
        <v>0</v>
      </c>
      <c r="G32" s="441">
        <f t="shared" si="7"/>
        <v>0</v>
      </c>
      <c r="H32" s="441">
        <f t="shared" si="8"/>
        <v>0</v>
      </c>
      <c r="I32" s="441">
        <f t="shared" si="9"/>
        <v>0</v>
      </c>
      <c r="J32" s="441">
        <f t="shared" si="10"/>
        <v>0</v>
      </c>
      <c r="K32" s="441">
        <f t="shared" si="11"/>
        <v>0</v>
      </c>
      <c r="L32" s="441">
        <f t="shared" si="12"/>
        <v>0</v>
      </c>
      <c r="M32" s="441">
        <f t="shared" si="13"/>
        <v>0</v>
      </c>
      <c r="N32" s="441">
        <f t="shared" si="14"/>
        <v>0</v>
      </c>
      <c r="O32" s="441">
        <f t="shared" si="15"/>
        <v>0</v>
      </c>
      <c r="P32" s="442">
        <f t="shared" si="16"/>
        <v>0</v>
      </c>
      <c r="Q32" s="440">
        <f t="shared" ca="1" si="17"/>
        <v>315.49448023229019</v>
      </c>
    </row>
    <row r="33" spans="1:17" s="450" customFormat="1">
      <c r="A33" s="956" t="s">
        <v>543</v>
      </c>
      <c r="B33" s="896">
        <f ca="1">SUM(B22:B32)</f>
        <v>40903.270615587528</v>
      </c>
      <c r="C33" s="896">
        <f t="shared" ref="C33:Q33" ca="1" si="18">SUM(C22:C32)</f>
        <v>396.14067226890762</v>
      </c>
      <c r="D33" s="896">
        <f t="shared" ca="1" si="18"/>
        <v>35571.724082221903</v>
      </c>
      <c r="E33" s="896">
        <f t="shared" si="18"/>
        <v>1301.7274672994481</v>
      </c>
      <c r="F33" s="896">
        <f t="shared" ca="1" si="18"/>
        <v>24373.770073668707</v>
      </c>
      <c r="G33" s="896">
        <f t="shared" si="18"/>
        <v>81399.83820217484</v>
      </c>
      <c r="H33" s="896">
        <f t="shared" si="18"/>
        <v>10533.872000335401</v>
      </c>
      <c r="I33" s="896">
        <f t="shared" si="18"/>
        <v>0</v>
      </c>
      <c r="J33" s="896">
        <f t="shared" si="18"/>
        <v>733.3181450765145</v>
      </c>
      <c r="K33" s="896">
        <f t="shared" si="18"/>
        <v>0</v>
      </c>
      <c r="L33" s="896">
        <f t="shared" ca="1" si="18"/>
        <v>0</v>
      </c>
      <c r="M33" s="896">
        <f t="shared" si="18"/>
        <v>0</v>
      </c>
      <c r="N33" s="896">
        <f t="shared" ca="1" si="18"/>
        <v>0</v>
      </c>
      <c r="O33" s="896">
        <f t="shared" si="18"/>
        <v>0</v>
      </c>
      <c r="P33" s="896">
        <f t="shared" si="18"/>
        <v>0</v>
      </c>
      <c r="Q33" s="896">
        <f t="shared" ca="1" si="18"/>
        <v>195213.66125863325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codeName="Sheet24">
    <tabColor theme="6"/>
  </sheetPr>
  <dimension ref="A1:Q20"/>
  <sheetViews>
    <sheetView zoomScale="40" zoomScaleNormal="40" workbookViewId="0">
      <selection activeCell="L10" sqref="L10"/>
    </sheetView>
  </sheetViews>
  <sheetFormatPr defaultColWidth="9.140625" defaultRowHeight="15"/>
  <cols>
    <col min="1" max="1" width="51.42578125" style="439" customWidth="1"/>
    <col min="2" max="8" width="26.28515625" style="439" customWidth="1"/>
    <col min="9" max="9" width="32" style="439" customWidth="1"/>
    <col min="10" max="11" width="26.28515625" style="439" customWidth="1"/>
    <col min="12" max="12" width="23.7109375" style="439" customWidth="1"/>
    <col min="13" max="15" width="26.28515625" style="439" customWidth="1"/>
    <col min="16" max="16" width="42" style="439" customWidth="1"/>
    <col min="17" max="17" width="26.28515625" style="439" customWidth="1"/>
    <col min="18" max="18" width="9.5703125" style="439" bestFit="1" customWidth="1"/>
    <col min="19" max="16384" width="9.140625" style="439"/>
  </cols>
  <sheetData>
    <row r="1" spans="1:17" s="863" customFormat="1" ht="21">
      <c r="A1" s="1120" t="s">
        <v>538</v>
      </c>
      <c r="B1" s="1121" t="s">
        <v>750</v>
      </c>
      <c r="C1" s="1121"/>
      <c r="D1" s="1121"/>
      <c r="E1" s="1121"/>
      <c r="F1" s="1121"/>
      <c r="G1" s="1121"/>
      <c r="H1" s="1121"/>
      <c r="I1" s="1121"/>
      <c r="J1" s="1121"/>
      <c r="K1" s="1121"/>
      <c r="L1" s="1121"/>
      <c r="M1" s="1121"/>
      <c r="N1" s="1121"/>
      <c r="O1" s="1121"/>
      <c r="P1" s="1122"/>
      <c r="Q1" s="862"/>
    </row>
    <row r="2" spans="1:17" s="863" customFormat="1" ht="21">
      <c r="A2" s="1120"/>
      <c r="B2" s="1123" t="s">
        <v>20</v>
      </c>
      <c r="C2" s="1125" t="s">
        <v>189</v>
      </c>
      <c r="D2" s="1127" t="s">
        <v>190</v>
      </c>
      <c r="E2" s="1128"/>
      <c r="F2" s="1128"/>
      <c r="G2" s="1128"/>
      <c r="H2" s="1128"/>
      <c r="I2" s="1128"/>
      <c r="J2" s="1128"/>
      <c r="K2" s="1124"/>
      <c r="L2" s="1127" t="s">
        <v>191</v>
      </c>
      <c r="M2" s="1128"/>
      <c r="N2" s="1128"/>
      <c r="O2" s="1128"/>
      <c r="P2" s="1124"/>
      <c r="Q2" s="862"/>
    </row>
    <row r="3" spans="1:17" s="863" customFormat="1" ht="42">
      <c r="A3" s="1120"/>
      <c r="B3" s="1124"/>
      <c r="C3" s="1126"/>
      <c r="D3" s="864" t="s">
        <v>192</v>
      </c>
      <c r="E3" s="864" t="s">
        <v>193</v>
      </c>
      <c r="F3" s="864" t="s">
        <v>194</v>
      </c>
      <c r="G3" s="864" t="s">
        <v>195</v>
      </c>
      <c r="H3" s="864" t="s">
        <v>113</v>
      </c>
      <c r="I3" s="864" t="s">
        <v>196</v>
      </c>
      <c r="J3" s="864" t="s">
        <v>197</v>
      </c>
      <c r="K3" s="864" t="s">
        <v>198</v>
      </c>
      <c r="L3" s="864" t="s">
        <v>199</v>
      </c>
      <c r="M3" s="864" t="s">
        <v>200</v>
      </c>
      <c r="N3" s="864" t="s">
        <v>201</v>
      </c>
      <c r="O3" s="864" t="s">
        <v>202</v>
      </c>
      <c r="P3" s="864" t="s">
        <v>203</v>
      </c>
      <c r="Q3" s="862" t="s">
        <v>109</v>
      </c>
    </row>
    <row r="4" spans="1:17" ht="124.35" customHeight="1">
      <c r="A4" s="865" t="s">
        <v>148</v>
      </c>
      <c r="B4" s="866" t="s">
        <v>751</v>
      </c>
      <c r="C4" s="867" t="s">
        <v>752</v>
      </c>
      <c r="D4" s="868" t="s">
        <v>753</v>
      </c>
      <c r="E4" s="869" t="s">
        <v>754</v>
      </c>
      <c r="F4" s="869" t="s">
        <v>755</v>
      </c>
      <c r="G4" s="870" t="s">
        <v>758</v>
      </c>
      <c r="H4" s="870" t="s">
        <v>758</v>
      </c>
      <c r="I4" s="870" t="s">
        <v>758</v>
      </c>
      <c r="J4" s="869" t="s">
        <v>757</v>
      </c>
      <c r="K4" s="870" t="s">
        <v>758</v>
      </c>
      <c r="L4" s="870" t="s">
        <v>758</v>
      </c>
      <c r="M4" s="870" t="s">
        <v>758</v>
      </c>
      <c r="N4" s="869" t="s">
        <v>759</v>
      </c>
      <c r="O4" s="871" t="s">
        <v>760</v>
      </c>
      <c r="P4" s="872" t="s">
        <v>761</v>
      </c>
      <c r="Q4" s="873"/>
    </row>
    <row r="5" spans="1:17" ht="124.35" customHeight="1">
      <c r="A5" s="874" t="s">
        <v>149</v>
      </c>
      <c r="B5" s="875" t="s">
        <v>762</v>
      </c>
      <c r="C5" s="876" t="s">
        <v>763</v>
      </c>
      <c r="D5" s="876" t="s">
        <v>764</v>
      </c>
      <c r="E5" s="877" t="s">
        <v>765</v>
      </c>
      <c r="F5" s="877" t="s">
        <v>766</v>
      </c>
      <c r="G5" s="878" t="s">
        <v>758</v>
      </c>
      <c r="H5" s="878" t="s">
        <v>758</v>
      </c>
      <c r="I5" s="878" t="s">
        <v>758</v>
      </c>
      <c r="J5" s="877" t="s">
        <v>767</v>
      </c>
      <c r="K5" s="870" t="s">
        <v>758</v>
      </c>
      <c r="L5" s="878" t="s">
        <v>758</v>
      </c>
      <c r="M5" s="878" t="s">
        <v>758</v>
      </c>
      <c r="N5" s="877" t="s">
        <v>768</v>
      </c>
      <c r="O5" s="879" t="s">
        <v>760</v>
      </c>
      <c r="P5" s="880" t="s">
        <v>761</v>
      </c>
      <c r="Q5" s="881"/>
    </row>
    <row r="6" spans="1:17" ht="124.35" customHeight="1">
      <c r="A6" s="874" t="s">
        <v>187</v>
      </c>
      <c r="B6" s="882" t="s">
        <v>769</v>
      </c>
      <c r="C6" s="883" t="s">
        <v>756</v>
      </c>
      <c r="D6" s="878" t="s">
        <v>756</v>
      </c>
      <c r="E6" s="878" t="s">
        <v>756</v>
      </c>
      <c r="F6" s="878" t="s">
        <v>756</v>
      </c>
      <c r="G6" s="878" t="s">
        <v>756</v>
      </c>
      <c r="H6" s="878" t="s">
        <v>756</v>
      </c>
      <c r="I6" s="878" t="s">
        <v>756</v>
      </c>
      <c r="J6" s="878" t="s">
        <v>756</v>
      </c>
      <c r="K6" s="878" t="s">
        <v>756</v>
      </c>
      <c r="L6" s="878" t="s">
        <v>756</v>
      </c>
      <c r="M6" s="878" t="s">
        <v>756</v>
      </c>
      <c r="N6" s="878" t="s">
        <v>756</v>
      </c>
      <c r="O6" s="884" t="s">
        <v>756</v>
      </c>
      <c r="P6" s="885" t="s">
        <v>756</v>
      </c>
      <c r="Q6" s="886"/>
    </row>
    <row r="7" spans="1:17" ht="124.35" customHeight="1">
      <c r="A7" s="874" t="s">
        <v>105</v>
      </c>
      <c r="B7" s="882" t="s">
        <v>769</v>
      </c>
      <c r="C7" s="876" t="s">
        <v>763</v>
      </c>
      <c r="D7" s="876" t="s">
        <v>764</v>
      </c>
      <c r="E7" s="877" t="s">
        <v>765</v>
      </c>
      <c r="F7" s="877" t="s">
        <v>766</v>
      </c>
      <c r="G7" s="878" t="s">
        <v>758</v>
      </c>
      <c r="H7" s="878" t="s">
        <v>758</v>
      </c>
      <c r="I7" s="878" t="s">
        <v>758</v>
      </c>
      <c r="J7" s="877" t="s">
        <v>767</v>
      </c>
      <c r="K7" s="878" t="s">
        <v>758</v>
      </c>
      <c r="L7" s="878" t="s">
        <v>758</v>
      </c>
      <c r="M7" s="878" t="s">
        <v>758</v>
      </c>
      <c r="N7" s="887" t="s">
        <v>758</v>
      </c>
      <c r="O7" s="883" t="s">
        <v>758</v>
      </c>
      <c r="P7" s="888" t="s">
        <v>758</v>
      </c>
      <c r="Q7" s="881"/>
    </row>
    <row r="8" spans="1:17" ht="124.35" customHeight="1">
      <c r="A8" s="874" t="s">
        <v>600</v>
      </c>
      <c r="B8" s="875" t="s">
        <v>770</v>
      </c>
      <c r="C8" s="876" t="s">
        <v>763</v>
      </c>
      <c r="D8" s="876" t="s">
        <v>764</v>
      </c>
      <c r="E8" s="877" t="s">
        <v>765</v>
      </c>
      <c r="F8" s="877" t="s">
        <v>766</v>
      </c>
      <c r="G8" s="878" t="s">
        <v>758</v>
      </c>
      <c r="H8" s="878" t="s">
        <v>758</v>
      </c>
      <c r="I8" s="878" t="s">
        <v>758</v>
      </c>
      <c r="J8" s="877" t="s">
        <v>767</v>
      </c>
      <c r="K8" s="870" t="s">
        <v>758</v>
      </c>
      <c r="L8" s="878" t="s">
        <v>758</v>
      </c>
      <c r="M8" s="878" t="s">
        <v>758</v>
      </c>
      <c r="N8" s="877" t="s">
        <v>768</v>
      </c>
      <c r="O8" s="879" t="s">
        <v>760</v>
      </c>
      <c r="P8" s="880" t="s">
        <v>761</v>
      </c>
      <c r="Q8" s="881"/>
    </row>
    <row r="9" spans="1:17" s="446" customFormat="1" ht="124.35" customHeight="1">
      <c r="A9" s="889" t="s">
        <v>549</v>
      </c>
      <c r="B9" s="877" t="s">
        <v>771</v>
      </c>
      <c r="C9" s="884" t="s">
        <v>756</v>
      </c>
      <c r="D9" s="877" t="s">
        <v>772</v>
      </c>
      <c r="E9" s="877" t="s">
        <v>773</v>
      </c>
      <c r="F9" s="878" t="s">
        <v>756</v>
      </c>
      <c r="G9" s="877" t="s">
        <v>774</v>
      </c>
      <c r="H9" s="877" t="s">
        <v>775</v>
      </c>
      <c r="I9" s="878" t="s">
        <v>756</v>
      </c>
      <c r="J9" s="878" t="s">
        <v>756</v>
      </c>
      <c r="K9" s="878" t="s">
        <v>756</v>
      </c>
      <c r="L9" s="878" t="s">
        <v>756</v>
      </c>
      <c r="M9" s="877" t="s">
        <v>771</v>
      </c>
      <c r="N9" s="878" t="s">
        <v>756</v>
      </c>
      <c r="O9" s="878" t="s">
        <v>756</v>
      </c>
      <c r="P9" s="890" t="s">
        <v>756</v>
      </c>
      <c r="Q9" s="891"/>
    </row>
    <row r="10" spans="1:17" ht="124.35" customHeight="1">
      <c r="A10" s="874" t="s">
        <v>539</v>
      </c>
      <c r="B10" s="875" t="s">
        <v>785</v>
      </c>
      <c r="C10" s="884" t="s">
        <v>756</v>
      </c>
      <c r="D10" s="884" t="s">
        <v>756</v>
      </c>
      <c r="E10" s="884" t="s">
        <v>756</v>
      </c>
      <c r="F10" s="878" t="s">
        <v>756</v>
      </c>
      <c r="G10" s="875" t="s">
        <v>776</v>
      </c>
      <c r="H10" s="878" t="s">
        <v>756</v>
      </c>
      <c r="I10" s="878" t="s">
        <v>756</v>
      </c>
      <c r="J10" s="878" t="s">
        <v>756</v>
      </c>
      <c r="K10" s="878" t="s">
        <v>756</v>
      </c>
      <c r="L10" s="878" t="s">
        <v>756</v>
      </c>
      <c r="M10" s="875" t="s">
        <v>777</v>
      </c>
      <c r="N10" s="878" t="s">
        <v>756</v>
      </c>
      <c r="O10" s="878" t="s">
        <v>756</v>
      </c>
      <c r="P10" s="890" t="s">
        <v>756</v>
      </c>
      <c r="Q10" s="881"/>
    </row>
    <row r="11" spans="1:17" ht="21">
      <c r="A11" s="874" t="s">
        <v>540</v>
      </c>
      <c r="B11" s="892" t="s">
        <v>778</v>
      </c>
      <c r="C11" s="892" t="s">
        <v>778</v>
      </c>
      <c r="D11" s="892" t="s">
        <v>778</v>
      </c>
      <c r="E11" s="892" t="s">
        <v>778</v>
      </c>
      <c r="F11" s="892" t="s">
        <v>778</v>
      </c>
      <c r="G11" s="892" t="s">
        <v>778</v>
      </c>
      <c r="H11" s="892" t="s">
        <v>778</v>
      </c>
      <c r="I11" s="892" t="s">
        <v>778</v>
      </c>
      <c r="J11" s="892" t="s">
        <v>778</v>
      </c>
      <c r="K11" s="892" t="s">
        <v>778</v>
      </c>
      <c r="L11" s="892" t="s">
        <v>778</v>
      </c>
      <c r="M11" s="892" t="s">
        <v>778</v>
      </c>
      <c r="N11" s="892" t="s">
        <v>778</v>
      </c>
      <c r="O11" s="892" t="s">
        <v>778</v>
      </c>
      <c r="P11" s="908" t="s">
        <v>778</v>
      </c>
      <c r="Q11" s="909"/>
    </row>
    <row r="12" spans="1:17" ht="21">
      <c r="A12" s="874" t="s">
        <v>541</v>
      </c>
      <c r="B12" s="892" t="s">
        <v>778</v>
      </c>
      <c r="C12" s="892" t="s">
        <v>756</v>
      </c>
      <c r="D12" s="892" t="s">
        <v>756</v>
      </c>
      <c r="E12" s="892" t="s">
        <v>756</v>
      </c>
      <c r="F12" s="892" t="s">
        <v>756</v>
      </c>
      <c r="G12" s="892" t="s">
        <v>756</v>
      </c>
      <c r="H12" s="892" t="s">
        <v>756</v>
      </c>
      <c r="I12" s="892" t="s">
        <v>756</v>
      </c>
      <c r="J12" s="892" t="s">
        <v>756</v>
      </c>
      <c r="K12" s="892" t="s">
        <v>756</v>
      </c>
      <c r="L12" s="892" t="s">
        <v>756</v>
      </c>
      <c r="M12" s="892" t="s">
        <v>756</v>
      </c>
      <c r="N12" s="892" t="s">
        <v>756</v>
      </c>
      <c r="O12" s="892" t="s">
        <v>756</v>
      </c>
      <c r="P12" s="893" t="s">
        <v>756</v>
      </c>
      <c r="Q12" s="442"/>
    </row>
    <row r="13" spans="1:17" ht="21">
      <c r="A13" s="874" t="s">
        <v>542</v>
      </c>
      <c r="B13" s="892" t="s">
        <v>778</v>
      </c>
      <c r="C13" s="892" t="s">
        <v>756</v>
      </c>
      <c r="D13" s="892" t="s">
        <v>778</v>
      </c>
      <c r="E13" s="892" t="s">
        <v>778</v>
      </c>
      <c r="F13" s="892" t="s">
        <v>756</v>
      </c>
      <c r="G13" s="892" t="s">
        <v>778</v>
      </c>
      <c r="H13" s="892" t="s">
        <v>778</v>
      </c>
      <c r="I13" s="892" t="s">
        <v>756</v>
      </c>
      <c r="J13" s="892" t="s">
        <v>756</v>
      </c>
      <c r="K13" s="892" t="s">
        <v>756</v>
      </c>
      <c r="L13" s="892" t="s">
        <v>756</v>
      </c>
      <c r="M13" s="892" t="s">
        <v>778</v>
      </c>
      <c r="N13" s="892" t="s">
        <v>756</v>
      </c>
      <c r="O13" s="892" t="s">
        <v>756</v>
      </c>
      <c r="P13" s="893" t="s">
        <v>756</v>
      </c>
      <c r="Q13" s="442"/>
    </row>
    <row r="14" spans="1:17" ht="30">
      <c r="A14" s="894" t="s">
        <v>792</v>
      </c>
      <c r="B14" s="882" t="s">
        <v>769</v>
      </c>
      <c r="C14" s="892" t="s">
        <v>756</v>
      </c>
      <c r="D14" s="882" t="s">
        <v>769</v>
      </c>
      <c r="E14" s="892" t="s">
        <v>756</v>
      </c>
      <c r="F14" s="892" t="s">
        <v>756</v>
      </c>
      <c r="G14" s="892" t="s">
        <v>756</v>
      </c>
      <c r="H14" s="892" t="s">
        <v>756</v>
      </c>
      <c r="I14" s="892" t="s">
        <v>756</v>
      </c>
      <c r="J14" s="892" t="s">
        <v>756</v>
      </c>
      <c r="K14" s="892" t="s">
        <v>756</v>
      </c>
      <c r="L14" s="892" t="s">
        <v>756</v>
      </c>
      <c r="M14" s="892" t="s">
        <v>756</v>
      </c>
      <c r="N14" s="892" t="s">
        <v>756</v>
      </c>
      <c r="O14" s="892" t="s">
        <v>756</v>
      </c>
      <c r="P14" s="908" t="s">
        <v>756</v>
      </c>
      <c r="Q14" s="957"/>
    </row>
    <row r="15" spans="1:17" s="450" customFormat="1" ht="21">
      <c r="A15" s="895" t="s">
        <v>543</v>
      </c>
      <c r="B15" s="896"/>
      <c r="C15" s="896"/>
      <c r="D15" s="896"/>
      <c r="E15" s="896"/>
      <c r="F15" s="896"/>
      <c r="G15" s="896"/>
      <c r="H15" s="896"/>
      <c r="I15" s="896"/>
      <c r="J15" s="896"/>
      <c r="K15" s="896"/>
      <c r="L15" s="896"/>
      <c r="M15" s="897"/>
      <c r="N15" s="896"/>
      <c r="O15" s="896"/>
      <c r="P15" s="898"/>
      <c r="Q15" s="899"/>
    </row>
    <row r="16" spans="1:17">
      <c r="M16" s="900"/>
    </row>
    <row r="17" spans="1:4">
      <c r="B17" s="901">
        <v>1</v>
      </c>
      <c r="C17" s="902">
        <v>2</v>
      </c>
      <c r="D17" s="903">
        <v>3</v>
      </c>
    </row>
    <row r="18" spans="1:4" ht="252">
      <c r="A18" s="904" t="s">
        <v>779</v>
      </c>
      <c r="B18" s="905" t="s">
        <v>780</v>
      </c>
      <c r="C18" s="906" t="s">
        <v>781</v>
      </c>
      <c r="D18" s="907" t="s">
        <v>782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codeName="Sheet30">
    <tabColor theme="6"/>
  </sheetPr>
  <dimension ref="A1:P22"/>
  <sheetViews>
    <sheetView workbookViewId="0">
      <selection sqref="A1:A3"/>
    </sheetView>
  </sheetViews>
  <sheetFormatPr defaultColWidth="9.140625" defaultRowHeight="15"/>
  <cols>
    <col min="1" max="1" width="51" style="815" bestFit="1" customWidth="1"/>
    <col min="2" max="2" width="27" style="815" customWidth="1"/>
    <col min="3" max="3" width="30.42578125" style="815" customWidth="1"/>
    <col min="4" max="4" width="9.140625" style="815"/>
    <col min="5" max="5" width="15" style="815" customWidth="1"/>
    <col min="6" max="6" width="17" style="815" customWidth="1"/>
    <col min="7" max="7" width="18.140625" style="815" customWidth="1"/>
    <col min="8" max="8" width="16.140625" style="815" customWidth="1"/>
    <col min="9" max="15" width="9.140625" style="815"/>
    <col min="16" max="16" width="26.42578125" style="815" customWidth="1"/>
    <col min="17" max="16384" width="9.140625" style="815"/>
  </cols>
  <sheetData>
    <row r="1" spans="1:16" ht="15.75">
      <c r="A1" s="1129" t="s">
        <v>230</v>
      </c>
      <c r="B1" s="1130" t="s">
        <v>338</v>
      </c>
      <c r="C1" s="1130"/>
      <c r="D1" s="1131" t="s">
        <v>339</v>
      </c>
      <c r="E1" s="1131"/>
      <c r="F1" s="1131"/>
      <c r="G1" s="1131"/>
      <c r="H1" s="1131"/>
      <c r="I1" s="1131"/>
      <c r="J1" s="1131"/>
      <c r="K1" s="1131"/>
      <c r="L1" s="1131"/>
      <c r="M1" s="1131"/>
      <c r="N1" s="1131"/>
      <c r="O1" s="1131"/>
      <c r="P1" s="1130" t="s">
        <v>797</v>
      </c>
    </row>
    <row r="2" spans="1:16" ht="60">
      <c r="A2" s="1129"/>
      <c r="B2" s="1130"/>
      <c r="C2" s="1130"/>
      <c r="D2" s="1131" t="s">
        <v>190</v>
      </c>
      <c r="E2" s="1131"/>
      <c r="F2" s="1131"/>
      <c r="G2" s="1131"/>
      <c r="H2" s="1131"/>
      <c r="I2" s="971" t="s">
        <v>798</v>
      </c>
      <c r="J2" s="971" t="s">
        <v>223</v>
      </c>
      <c r="K2" s="971" t="s">
        <v>799</v>
      </c>
      <c r="L2" s="971" t="s">
        <v>791</v>
      </c>
      <c r="M2" s="971" t="s">
        <v>234</v>
      </c>
      <c r="N2" s="971" t="s">
        <v>800</v>
      </c>
      <c r="O2" s="971" t="s">
        <v>120</v>
      </c>
      <c r="P2" s="1130"/>
    </row>
    <row r="3" spans="1:16" ht="30">
      <c r="A3" s="1129"/>
      <c r="B3" s="971" t="s">
        <v>801</v>
      </c>
      <c r="C3" s="971" t="s">
        <v>802</v>
      </c>
      <c r="D3" s="971" t="s">
        <v>192</v>
      </c>
      <c r="E3" s="971" t="s">
        <v>193</v>
      </c>
      <c r="F3" s="971" t="s">
        <v>194</v>
      </c>
      <c r="G3" s="971" t="s">
        <v>196</v>
      </c>
      <c r="H3" s="971" t="s">
        <v>197</v>
      </c>
      <c r="I3" s="971"/>
      <c r="J3" s="971"/>
      <c r="K3" s="971"/>
      <c r="L3" s="971"/>
      <c r="M3" s="971"/>
      <c r="N3" s="971"/>
      <c r="O3" s="971"/>
      <c r="P3" s="1130"/>
    </row>
    <row r="4" spans="1:16">
      <c r="A4" s="972" t="s">
        <v>238</v>
      </c>
      <c r="B4" s="973">
        <f>'SEAP template'!B72</f>
        <v>0</v>
      </c>
      <c r="C4" s="973"/>
      <c r="D4" s="973"/>
      <c r="E4" s="973"/>
      <c r="F4" s="973"/>
      <c r="G4" s="973"/>
      <c r="H4" s="973"/>
      <c r="I4" s="973"/>
      <c r="J4" s="973"/>
      <c r="K4" s="973"/>
      <c r="L4" s="973"/>
      <c r="M4" s="973"/>
      <c r="N4" s="973"/>
      <c r="O4" s="973"/>
      <c r="P4" s="974">
        <f>'SEAP template'!Q72</f>
        <v>0</v>
      </c>
    </row>
    <row r="5" spans="1:16">
      <c r="A5" s="975" t="s">
        <v>239</v>
      </c>
      <c r="B5" s="973">
        <f>'SEAP template'!B73</f>
        <v>0</v>
      </c>
      <c r="C5" s="973"/>
      <c r="D5" s="973"/>
      <c r="E5" s="973"/>
      <c r="F5" s="973"/>
      <c r="G5" s="973"/>
      <c r="H5" s="973"/>
      <c r="I5" s="973"/>
      <c r="J5" s="973"/>
      <c r="K5" s="973"/>
      <c r="L5" s="973"/>
      <c r="M5" s="973"/>
      <c r="N5" s="973"/>
      <c r="O5" s="973"/>
      <c r="P5" s="974">
        <f>'SEAP template'!Q73</f>
        <v>0</v>
      </c>
    </row>
    <row r="6" spans="1:16">
      <c r="A6" s="975" t="s">
        <v>240</v>
      </c>
      <c r="B6" s="973">
        <f>'SEAP template'!B74</f>
        <v>9873.0698056986694</v>
      </c>
      <c r="C6" s="973"/>
      <c r="D6" s="973"/>
      <c r="E6" s="973"/>
      <c r="F6" s="973"/>
      <c r="G6" s="973"/>
      <c r="H6" s="973"/>
      <c r="I6" s="973"/>
      <c r="J6" s="973"/>
      <c r="K6" s="973"/>
      <c r="L6" s="973"/>
      <c r="M6" s="973"/>
      <c r="N6" s="973"/>
      <c r="O6" s="973"/>
      <c r="P6" s="974">
        <f>'SEAP template'!Q74</f>
        <v>0</v>
      </c>
    </row>
    <row r="7" spans="1:16">
      <c r="A7" s="975" t="s">
        <v>791</v>
      </c>
      <c r="B7" s="973">
        <f>'SEAP template'!B75</f>
        <v>0</v>
      </c>
      <c r="C7" s="973"/>
      <c r="D7" s="973"/>
      <c r="E7" s="973"/>
      <c r="F7" s="973"/>
      <c r="G7" s="973"/>
      <c r="H7" s="973"/>
      <c r="I7" s="973"/>
      <c r="J7" s="973"/>
      <c r="K7" s="973"/>
      <c r="L7" s="973"/>
      <c r="M7" s="973"/>
      <c r="N7" s="973"/>
      <c r="O7" s="973"/>
      <c r="P7" s="974">
        <f>'SEAP template'!Q75</f>
        <v>0</v>
      </c>
    </row>
    <row r="8" spans="1:16">
      <c r="A8" s="972" t="s">
        <v>241</v>
      </c>
      <c r="B8" s="973">
        <f>'SEAP template'!B76</f>
        <v>0</v>
      </c>
      <c r="C8" s="973">
        <f>'SEAP template'!C76</f>
        <v>1166.8499999999999</v>
      </c>
      <c r="D8" s="973">
        <f>'SEAP template'!D76</f>
        <v>1372.7647058823529</v>
      </c>
      <c r="E8" s="973">
        <f>'SEAP template'!E76</f>
        <v>0</v>
      </c>
      <c r="F8" s="973">
        <f>'SEAP template'!F76</f>
        <v>0</v>
      </c>
      <c r="G8" s="973">
        <f>'SEAP template'!G76</f>
        <v>0</v>
      </c>
      <c r="H8" s="973">
        <f>'SEAP template'!H76</f>
        <v>0</v>
      </c>
      <c r="I8" s="973">
        <f>'SEAP template'!I76</f>
        <v>0</v>
      </c>
      <c r="J8" s="973">
        <f>'SEAP template'!J76</f>
        <v>0</v>
      </c>
      <c r="K8" s="973">
        <f>'SEAP template'!K76</f>
        <v>0</v>
      </c>
      <c r="L8" s="973">
        <f>'SEAP template'!L76</f>
        <v>0</v>
      </c>
      <c r="M8" s="973">
        <f>'SEAP template'!M76</f>
        <v>0</v>
      </c>
      <c r="N8" s="973">
        <f>'SEAP template'!N76</f>
        <v>0</v>
      </c>
      <c r="O8" s="973">
        <f>'SEAP template'!O76</f>
        <v>0</v>
      </c>
      <c r="P8" s="974">
        <f>'SEAP template'!Q76</f>
        <v>277.29847058823532</v>
      </c>
    </row>
    <row r="9" spans="1:16">
      <c r="A9" s="976" t="s">
        <v>803</v>
      </c>
      <c r="B9" s="973">
        <f>'SEAP template'!B77</f>
        <v>0</v>
      </c>
      <c r="C9" s="973">
        <f>'SEAP template'!C77</f>
        <v>0</v>
      </c>
      <c r="D9" s="973">
        <f>'SEAP template'!D77</f>
        <v>0</v>
      </c>
      <c r="E9" s="973">
        <f>'SEAP template'!E77</f>
        <v>0</v>
      </c>
      <c r="F9" s="973">
        <f>'SEAP template'!F77</f>
        <v>0</v>
      </c>
      <c r="G9" s="973">
        <f>'SEAP template'!G77</f>
        <v>0</v>
      </c>
      <c r="H9" s="973">
        <f>'SEAP template'!H77</f>
        <v>0</v>
      </c>
      <c r="I9" s="973">
        <f>'SEAP template'!I77</f>
        <v>0</v>
      </c>
      <c r="J9" s="973">
        <f>'SEAP template'!J77</f>
        <v>0</v>
      </c>
      <c r="K9" s="973">
        <f>'SEAP template'!K77</f>
        <v>0</v>
      </c>
      <c r="L9" s="973">
        <f>'SEAP template'!L77</f>
        <v>0</v>
      </c>
      <c r="M9" s="973">
        <f>'SEAP template'!M77</f>
        <v>0</v>
      </c>
      <c r="N9" s="973">
        <f>'SEAP template'!N77</f>
        <v>0</v>
      </c>
      <c r="O9" s="973">
        <f>'SEAP template'!O77</f>
        <v>0</v>
      </c>
      <c r="P9" s="974">
        <f>'SEAP template'!Q77</f>
        <v>0</v>
      </c>
    </row>
    <row r="10" spans="1:16">
      <c r="A10" s="975" t="s">
        <v>109</v>
      </c>
      <c r="B10" s="977">
        <f>SUM(B4:B9)</f>
        <v>9873.0698056986694</v>
      </c>
      <c r="C10" s="977">
        <f>SUM(C4:C9)</f>
        <v>1166.8499999999999</v>
      </c>
      <c r="D10" s="977">
        <f t="shared" ref="D10:H10" si="0">SUM(D8:D9)</f>
        <v>1372.7647058823529</v>
      </c>
      <c r="E10" s="977">
        <f t="shared" si="0"/>
        <v>0</v>
      </c>
      <c r="F10" s="977">
        <f t="shared" si="0"/>
        <v>0</v>
      </c>
      <c r="G10" s="977">
        <f t="shared" si="0"/>
        <v>0</v>
      </c>
      <c r="H10" s="977">
        <f t="shared" si="0"/>
        <v>0</v>
      </c>
      <c r="I10" s="977">
        <f>SUM(I8:I9)</f>
        <v>0</v>
      </c>
      <c r="J10" s="977">
        <f>SUM(J8:J9)</f>
        <v>0</v>
      </c>
      <c r="K10" s="977">
        <f t="shared" ref="K10:L10" si="1">SUM(K8:K9)</f>
        <v>0</v>
      </c>
      <c r="L10" s="977">
        <f t="shared" si="1"/>
        <v>0</v>
      </c>
      <c r="M10" s="977">
        <f>SUM(M8:M9)</f>
        <v>0</v>
      </c>
      <c r="N10" s="977">
        <f>SUM(N8:N9)</f>
        <v>0</v>
      </c>
      <c r="O10" s="977">
        <f>SUM(O8:O9)</f>
        <v>0</v>
      </c>
      <c r="P10" s="977">
        <f>SUM(P8:P9)</f>
        <v>277.29847058823532</v>
      </c>
    </row>
    <row r="11" spans="1:16">
      <c r="A11" s="822"/>
      <c r="B11" s="822"/>
      <c r="C11" s="822"/>
      <c r="D11" s="822"/>
      <c r="E11" s="822"/>
      <c r="F11" s="822"/>
      <c r="G11" s="822"/>
      <c r="H11" s="822"/>
      <c r="I11" s="822"/>
      <c r="J11" s="822"/>
      <c r="K11" s="822"/>
      <c r="L11" s="822"/>
      <c r="M11" s="822"/>
      <c r="N11" s="822"/>
      <c r="O11" s="822"/>
      <c r="P11" s="822"/>
    </row>
    <row r="12" spans="1:16">
      <c r="A12" s="451" t="s">
        <v>804</v>
      </c>
      <c r="B12" s="714" t="s">
        <v>805</v>
      </c>
      <c r="C12" s="714">
        <f ca="1">'EF ele_warmte'!B12</f>
        <v>0.20990261360219245</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242</v>
      </c>
      <c r="B14" s="1130" t="s">
        <v>342</v>
      </c>
      <c r="C14" s="1130"/>
      <c r="D14" s="1131" t="s">
        <v>343</v>
      </c>
      <c r="E14" s="1131"/>
      <c r="F14" s="1131"/>
      <c r="G14" s="1131"/>
      <c r="H14" s="1131"/>
      <c r="I14" s="1131"/>
      <c r="J14" s="1131"/>
      <c r="K14" s="1131"/>
      <c r="L14" s="1131"/>
      <c r="M14" s="1131"/>
      <c r="N14" s="1131"/>
      <c r="O14" s="1131"/>
      <c r="P14" s="1130" t="s">
        <v>806</v>
      </c>
    </row>
    <row r="15" spans="1:16">
      <c r="A15" s="1129"/>
      <c r="B15" s="1130"/>
      <c r="C15" s="1130"/>
      <c r="D15" s="1132" t="s">
        <v>190</v>
      </c>
      <c r="E15" s="1132"/>
      <c r="F15" s="1132"/>
      <c r="G15" s="1132"/>
      <c r="H15" s="1132"/>
      <c r="I15" s="1130" t="s">
        <v>798</v>
      </c>
      <c r="J15" s="1130" t="s">
        <v>223</v>
      </c>
      <c r="K15" s="1130" t="s">
        <v>799</v>
      </c>
      <c r="L15" s="1130" t="s">
        <v>791</v>
      </c>
      <c r="M15" s="1130" t="s">
        <v>234</v>
      </c>
      <c r="N15" s="1130" t="s">
        <v>807</v>
      </c>
      <c r="O15" s="1130" t="s">
        <v>120</v>
      </c>
      <c r="P15" s="1130"/>
    </row>
    <row r="16" spans="1:16" ht="30">
      <c r="A16" s="1129"/>
      <c r="B16" s="971" t="s">
        <v>808</v>
      </c>
      <c r="C16" s="971" t="s">
        <v>809</v>
      </c>
      <c r="D16" s="971" t="s">
        <v>192</v>
      </c>
      <c r="E16" s="971" t="s">
        <v>193</v>
      </c>
      <c r="F16" s="971" t="s">
        <v>194</v>
      </c>
      <c r="G16" s="971" t="s">
        <v>196</v>
      </c>
      <c r="H16" s="971" t="s">
        <v>197</v>
      </c>
      <c r="I16" s="1130"/>
      <c r="J16" s="1130"/>
      <c r="K16" s="1130"/>
      <c r="L16" s="1130"/>
      <c r="M16" s="1130"/>
      <c r="N16" s="1130"/>
      <c r="O16" s="1133"/>
      <c r="P16" s="1130"/>
    </row>
    <row r="17" spans="1:16">
      <c r="A17" s="978" t="s">
        <v>241</v>
      </c>
      <c r="B17" s="979">
        <f>'SEAP template'!B87</f>
        <v>0</v>
      </c>
      <c r="C17" s="979">
        <f>'SEAP template'!C87</f>
        <v>1666.9285714285716</v>
      </c>
      <c r="D17" s="974">
        <f>'SEAP template'!D87</f>
        <v>1961.0924369747902</v>
      </c>
      <c r="E17" s="974">
        <f>'SEAP template'!E87</f>
        <v>0</v>
      </c>
      <c r="F17" s="974">
        <f>'SEAP template'!F87</f>
        <v>0</v>
      </c>
      <c r="G17" s="974">
        <f>'SEAP template'!G87</f>
        <v>0</v>
      </c>
      <c r="H17" s="974">
        <f>'SEAP template'!H87</f>
        <v>0</v>
      </c>
      <c r="I17" s="974">
        <f>'SEAP template'!I87</f>
        <v>0</v>
      </c>
      <c r="J17" s="974">
        <f>'SEAP template'!J87</f>
        <v>0</v>
      </c>
      <c r="K17" s="974">
        <f>'SEAP template'!K87</f>
        <v>0</v>
      </c>
      <c r="L17" s="974">
        <f>'SEAP template'!L87</f>
        <v>0</v>
      </c>
      <c r="M17" s="974">
        <f>'SEAP template'!M87</f>
        <v>0</v>
      </c>
      <c r="N17" s="974">
        <f>'SEAP template'!N87</f>
        <v>0</v>
      </c>
      <c r="O17" s="974">
        <f>'SEAP template'!O87</f>
        <v>0</v>
      </c>
      <c r="P17" s="974">
        <f>'SEAP template'!Q87</f>
        <v>396.14067226890762</v>
      </c>
    </row>
    <row r="18" spans="1:16">
      <c r="A18" s="980" t="s">
        <v>247</v>
      </c>
      <c r="B18" s="979">
        <f>'SEAP template'!B88</f>
        <v>0</v>
      </c>
      <c r="C18" s="979">
        <f>'SEAP template'!C88</f>
        <v>0</v>
      </c>
      <c r="D18" s="974">
        <f>'SEAP template'!D88</f>
        <v>0</v>
      </c>
      <c r="E18" s="974">
        <f>'SEAP template'!E88</f>
        <v>0</v>
      </c>
      <c r="F18" s="974">
        <f>'SEAP template'!F88</f>
        <v>0</v>
      </c>
      <c r="G18" s="974">
        <f>'SEAP template'!G88</f>
        <v>0</v>
      </c>
      <c r="H18" s="974">
        <f>'SEAP template'!H88</f>
        <v>0</v>
      </c>
      <c r="I18" s="974">
        <f>'SEAP template'!I88</f>
        <v>0</v>
      </c>
      <c r="J18" s="974">
        <f>'SEAP template'!J88</f>
        <v>0</v>
      </c>
      <c r="K18" s="974">
        <f>'SEAP template'!K88</f>
        <v>0</v>
      </c>
      <c r="L18" s="974">
        <f>'SEAP template'!L88</f>
        <v>0</v>
      </c>
      <c r="M18" s="974">
        <f>'SEAP template'!M88</f>
        <v>0</v>
      </c>
      <c r="N18" s="974">
        <f>'SEAP template'!N88</f>
        <v>0</v>
      </c>
      <c r="O18" s="974">
        <f>'SEAP template'!O88</f>
        <v>0</v>
      </c>
      <c r="P18" s="974">
        <f>'SEAP template'!Q88</f>
        <v>0</v>
      </c>
    </row>
    <row r="19" spans="1:16">
      <c r="A19" s="976" t="s">
        <v>810</v>
      </c>
      <c r="B19" s="979">
        <f>'SEAP template'!B89</f>
        <v>0</v>
      </c>
      <c r="C19" s="979">
        <f>'SEAP template'!C89</f>
        <v>0</v>
      </c>
      <c r="D19" s="974">
        <f>'SEAP template'!D89</f>
        <v>0</v>
      </c>
      <c r="E19" s="974">
        <f>'SEAP template'!E89</f>
        <v>0</v>
      </c>
      <c r="F19" s="974">
        <f>'SEAP template'!F89</f>
        <v>0</v>
      </c>
      <c r="G19" s="974">
        <f>'SEAP template'!G89</f>
        <v>0</v>
      </c>
      <c r="H19" s="974">
        <f>'SEAP template'!H89</f>
        <v>0</v>
      </c>
      <c r="I19" s="974">
        <f>'SEAP template'!I89</f>
        <v>0</v>
      </c>
      <c r="J19" s="974">
        <f>'SEAP template'!J89</f>
        <v>0</v>
      </c>
      <c r="K19" s="974">
        <f>'SEAP template'!K89</f>
        <v>0</v>
      </c>
      <c r="L19" s="974">
        <f>'SEAP template'!L89</f>
        <v>0</v>
      </c>
      <c r="M19" s="974">
        <f>'SEAP template'!M89</f>
        <v>0</v>
      </c>
      <c r="N19" s="974">
        <f>'SEAP template'!N89</f>
        <v>0</v>
      </c>
      <c r="O19" s="974">
        <f>'SEAP template'!O89</f>
        <v>0</v>
      </c>
      <c r="P19" s="974">
        <f>'SEAP template'!Q89</f>
        <v>0</v>
      </c>
    </row>
    <row r="20" spans="1:16">
      <c r="A20" s="981" t="s">
        <v>109</v>
      </c>
      <c r="B20" s="977">
        <f>SUM(B17:B19)</f>
        <v>0</v>
      </c>
      <c r="C20" s="977">
        <f>SUM(C17:C19)</f>
        <v>1666.9285714285716</v>
      </c>
      <c r="D20" s="977">
        <f t="shared" ref="D20:H20" si="2">SUM(D17:D19)</f>
        <v>1961.0924369747902</v>
      </c>
      <c r="E20" s="977">
        <f t="shared" si="2"/>
        <v>0</v>
      </c>
      <c r="F20" s="977">
        <f t="shared" si="2"/>
        <v>0</v>
      </c>
      <c r="G20" s="977">
        <f t="shared" si="2"/>
        <v>0</v>
      </c>
      <c r="H20" s="977">
        <f t="shared" si="2"/>
        <v>0</v>
      </c>
      <c r="I20" s="977">
        <f>SUM(I17:I19)</f>
        <v>0</v>
      </c>
      <c r="J20" s="977">
        <f>SUM(J17:J19)</f>
        <v>0</v>
      </c>
      <c r="K20" s="977">
        <f t="shared" ref="K20:L20" si="3">SUM(K17:K19)</f>
        <v>0</v>
      </c>
      <c r="L20" s="977">
        <f t="shared" si="3"/>
        <v>0</v>
      </c>
      <c r="M20" s="977">
        <f>SUM(M17:M19)</f>
        <v>0</v>
      </c>
      <c r="N20" s="977">
        <f>SUM(N17:N19)</f>
        <v>0</v>
      </c>
      <c r="O20" s="977">
        <f>SUM(O17:O19)</f>
        <v>0</v>
      </c>
      <c r="P20" s="977">
        <f>SUM(P17:P19)</f>
        <v>396.14067226890762</v>
      </c>
    </row>
    <row r="22" spans="1:16">
      <c r="A22" s="451" t="s">
        <v>811</v>
      </c>
      <c r="B22" s="714" t="s">
        <v>805</v>
      </c>
      <c r="C22" s="71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codeName="Sheet31">
    <tabColor theme="6"/>
  </sheetPr>
  <dimension ref="A1:P22"/>
  <sheetViews>
    <sheetView topLeftCell="A5" workbookViewId="0">
      <selection activeCell="B6" sqref="B6"/>
    </sheetView>
  </sheetViews>
  <sheetFormatPr defaultColWidth="9.140625" defaultRowHeight="15"/>
  <cols>
    <col min="1" max="1" width="49.5703125" style="815" customWidth="1"/>
    <col min="2" max="2" width="23.5703125" style="815" customWidth="1"/>
    <col min="3" max="3" width="25.28515625" style="815" customWidth="1"/>
    <col min="4" max="10" width="18.42578125" style="815" bestFit="1" customWidth="1"/>
    <col min="11" max="11" width="24.28515625" style="815" bestFit="1" customWidth="1"/>
    <col min="12" max="12" width="22.42578125" style="815" bestFit="1" customWidth="1"/>
    <col min="13" max="13" width="18.42578125" style="815" bestFit="1" customWidth="1"/>
    <col min="14" max="14" width="28.42578125" style="815" bestFit="1" customWidth="1"/>
    <col min="15" max="15" width="18.42578125" style="815" bestFit="1" customWidth="1"/>
    <col min="16" max="16" width="16.7109375" style="815" customWidth="1"/>
    <col min="17" max="16384" width="9.140625" style="815"/>
  </cols>
  <sheetData>
    <row r="1" spans="1:16" ht="15.75">
      <c r="A1" s="1129" t="s">
        <v>230</v>
      </c>
      <c r="B1" s="1130" t="s">
        <v>338</v>
      </c>
      <c r="C1" s="1130"/>
      <c r="D1" s="1131" t="s">
        <v>339</v>
      </c>
      <c r="E1" s="1131"/>
      <c r="F1" s="1131"/>
      <c r="G1" s="1131"/>
      <c r="H1" s="1131"/>
      <c r="I1" s="1131"/>
      <c r="J1" s="1131"/>
      <c r="K1" s="1131"/>
      <c r="L1" s="1131"/>
      <c r="M1" s="1131"/>
      <c r="N1" s="1131"/>
      <c r="O1" s="1131"/>
      <c r="P1" s="1130" t="s">
        <v>797</v>
      </c>
    </row>
    <row r="2" spans="1:16" ht="15.75">
      <c r="A2" s="1129"/>
      <c r="B2" s="1130"/>
      <c r="C2" s="1130"/>
      <c r="D2" s="1131" t="s">
        <v>190</v>
      </c>
      <c r="E2" s="1131"/>
      <c r="F2" s="1131"/>
      <c r="G2" s="1131"/>
      <c r="H2" s="1131"/>
      <c r="I2" s="971" t="s">
        <v>798</v>
      </c>
      <c r="J2" s="971" t="s">
        <v>223</v>
      </c>
      <c r="K2" s="971" t="s">
        <v>799</v>
      </c>
      <c r="L2" s="971" t="s">
        <v>791</v>
      </c>
      <c r="M2" s="971" t="s">
        <v>234</v>
      </c>
      <c r="N2" s="971" t="s">
        <v>800</v>
      </c>
      <c r="O2" s="971" t="s">
        <v>120</v>
      </c>
      <c r="P2" s="1130"/>
    </row>
    <row r="3" spans="1:16" ht="30">
      <c r="A3" s="1129"/>
      <c r="B3" s="971" t="s">
        <v>801</v>
      </c>
      <c r="C3" s="971" t="s">
        <v>802</v>
      </c>
      <c r="D3" s="971" t="s">
        <v>192</v>
      </c>
      <c r="E3" s="971" t="s">
        <v>193</v>
      </c>
      <c r="F3" s="971" t="s">
        <v>194</v>
      </c>
      <c r="G3" s="971" t="s">
        <v>196</v>
      </c>
      <c r="H3" s="971" t="s">
        <v>197</v>
      </c>
      <c r="I3" s="971"/>
      <c r="J3" s="971"/>
      <c r="K3" s="971"/>
      <c r="L3" s="971"/>
      <c r="M3" s="971"/>
      <c r="N3" s="971"/>
      <c r="O3" s="971"/>
      <c r="P3" s="1130"/>
    </row>
    <row r="4" spans="1:16" ht="135">
      <c r="A4" s="982" t="s">
        <v>238</v>
      </c>
      <c r="B4" s="983" t="s">
        <v>873</v>
      </c>
      <c r="C4" s="984" t="s">
        <v>756</v>
      </c>
      <c r="D4" s="984" t="s">
        <v>756</v>
      </c>
      <c r="E4" s="984" t="s">
        <v>756</v>
      </c>
      <c r="F4" s="984" t="s">
        <v>756</v>
      </c>
      <c r="G4" s="984" t="s">
        <v>756</v>
      </c>
      <c r="H4" s="984" t="s">
        <v>756</v>
      </c>
      <c r="I4" s="984" t="s">
        <v>756</v>
      </c>
      <c r="J4" s="984" t="s">
        <v>756</v>
      </c>
      <c r="K4" s="984" t="s">
        <v>756</v>
      </c>
      <c r="L4" s="984" t="s">
        <v>756</v>
      </c>
      <c r="M4" s="984" t="s">
        <v>756</v>
      </c>
      <c r="N4" s="984" t="s">
        <v>756</v>
      </c>
      <c r="O4" s="984" t="s">
        <v>756</v>
      </c>
      <c r="P4" s="985" t="s">
        <v>812</v>
      </c>
    </row>
    <row r="5" spans="1:16" ht="135">
      <c r="A5" s="986" t="s">
        <v>239</v>
      </c>
      <c r="B5" s="983" t="s">
        <v>873</v>
      </c>
      <c r="C5" s="984" t="s">
        <v>756</v>
      </c>
      <c r="D5" s="984" t="s">
        <v>756</v>
      </c>
      <c r="E5" s="984" t="s">
        <v>756</v>
      </c>
      <c r="F5" s="984" t="s">
        <v>756</v>
      </c>
      <c r="G5" s="984" t="s">
        <v>756</v>
      </c>
      <c r="H5" s="984" t="s">
        <v>756</v>
      </c>
      <c r="I5" s="984" t="s">
        <v>756</v>
      </c>
      <c r="J5" s="984" t="s">
        <v>756</v>
      </c>
      <c r="K5" s="984" t="s">
        <v>756</v>
      </c>
      <c r="L5" s="984" t="s">
        <v>756</v>
      </c>
      <c r="M5" s="984" t="s">
        <v>756</v>
      </c>
      <c r="N5" s="984" t="s">
        <v>756</v>
      </c>
      <c r="O5" s="984" t="s">
        <v>756</v>
      </c>
      <c r="P5" s="985" t="s">
        <v>812</v>
      </c>
    </row>
    <row r="6" spans="1:16" ht="135">
      <c r="A6" s="986" t="s">
        <v>240</v>
      </c>
      <c r="B6" s="983" t="s">
        <v>873</v>
      </c>
      <c r="C6" s="984" t="s">
        <v>756</v>
      </c>
      <c r="D6" s="984" t="s">
        <v>756</v>
      </c>
      <c r="E6" s="984" t="s">
        <v>756</v>
      </c>
      <c r="F6" s="984" t="s">
        <v>756</v>
      </c>
      <c r="G6" s="984" t="s">
        <v>756</v>
      </c>
      <c r="H6" s="984" t="s">
        <v>756</v>
      </c>
      <c r="I6" s="984" t="s">
        <v>756</v>
      </c>
      <c r="J6" s="984" t="s">
        <v>756</v>
      </c>
      <c r="K6" s="984" t="s">
        <v>756</v>
      </c>
      <c r="L6" s="984" t="s">
        <v>756</v>
      </c>
      <c r="M6" s="984" t="s">
        <v>756</v>
      </c>
      <c r="N6" s="984" t="s">
        <v>756</v>
      </c>
      <c r="O6" s="984" t="s">
        <v>756</v>
      </c>
      <c r="P6" s="985" t="s">
        <v>812</v>
      </c>
    </row>
    <row r="7" spans="1:16" ht="135">
      <c r="A7" s="986" t="s">
        <v>791</v>
      </c>
      <c r="B7" s="984" t="s">
        <v>756</v>
      </c>
      <c r="C7" s="984" t="s">
        <v>756</v>
      </c>
      <c r="D7" s="984" t="s">
        <v>756</v>
      </c>
      <c r="E7" s="984" t="s">
        <v>756</v>
      </c>
      <c r="F7" s="984" t="s">
        <v>756</v>
      </c>
      <c r="G7" s="984" t="s">
        <v>756</v>
      </c>
      <c r="H7" s="984" t="s">
        <v>756</v>
      </c>
      <c r="I7" s="984" t="s">
        <v>756</v>
      </c>
      <c r="J7" s="984" t="s">
        <v>756</v>
      </c>
      <c r="K7" s="984" t="s">
        <v>756</v>
      </c>
      <c r="L7" s="984" t="s">
        <v>756</v>
      </c>
      <c r="M7" s="984" t="s">
        <v>756</v>
      </c>
      <c r="N7" s="984" t="s">
        <v>756</v>
      </c>
      <c r="O7" s="984" t="s">
        <v>756</v>
      </c>
      <c r="P7" s="985" t="s">
        <v>812</v>
      </c>
    </row>
    <row r="8" spans="1:16" ht="210">
      <c r="A8" s="982" t="s">
        <v>241</v>
      </c>
      <c r="B8" s="983" t="s">
        <v>813</v>
      </c>
      <c r="C8" s="983" t="s">
        <v>813</v>
      </c>
      <c r="D8" s="983" t="s">
        <v>813</v>
      </c>
      <c r="E8" s="983" t="s">
        <v>813</v>
      </c>
      <c r="F8" s="983" t="s">
        <v>813</v>
      </c>
      <c r="G8" s="983" t="s">
        <v>813</v>
      </c>
      <c r="H8" s="983" t="s">
        <v>813</v>
      </c>
      <c r="I8" s="983" t="s">
        <v>813</v>
      </c>
      <c r="J8" s="983" t="s">
        <v>813</v>
      </c>
      <c r="K8" s="984" t="s">
        <v>756</v>
      </c>
      <c r="L8" s="984" t="s">
        <v>756</v>
      </c>
      <c r="M8" s="984" t="s">
        <v>756</v>
      </c>
      <c r="N8" s="983" t="s">
        <v>814</v>
      </c>
      <c r="O8" s="983" t="s">
        <v>814</v>
      </c>
      <c r="P8" s="987"/>
    </row>
    <row r="9" spans="1:16" ht="210">
      <c r="A9" s="988" t="s">
        <v>803</v>
      </c>
      <c r="B9" s="983" t="s">
        <v>814</v>
      </c>
      <c r="C9" s="983" t="s">
        <v>814</v>
      </c>
      <c r="D9" s="983" t="s">
        <v>814</v>
      </c>
      <c r="E9" s="983" t="s">
        <v>814</v>
      </c>
      <c r="F9" s="983" t="s">
        <v>814</v>
      </c>
      <c r="G9" s="983" t="s">
        <v>814</v>
      </c>
      <c r="H9" s="983" t="s">
        <v>814</v>
      </c>
      <c r="I9" s="983" t="s">
        <v>814</v>
      </c>
      <c r="J9" s="983" t="s">
        <v>814</v>
      </c>
      <c r="K9" s="984" t="s">
        <v>756</v>
      </c>
      <c r="L9" s="983" t="s">
        <v>814</v>
      </c>
      <c r="M9" s="983" t="s">
        <v>814</v>
      </c>
      <c r="N9" s="983" t="s">
        <v>814</v>
      </c>
      <c r="O9" s="983" t="s">
        <v>814</v>
      </c>
      <c r="P9" s="987"/>
    </row>
    <row r="10" spans="1:16">
      <c r="A10" s="986" t="s">
        <v>109</v>
      </c>
      <c r="B10" s="989"/>
      <c r="C10" s="989"/>
      <c r="D10" s="989"/>
      <c r="E10" s="989"/>
      <c r="F10" s="989"/>
      <c r="G10" s="989"/>
      <c r="H10" s="989"/>
      <c r="I10" s="989"/>
      <c r="J10" s="989"/>
      <c r="K10" s="989"/>
      <c r="L10" s="989"/>
      <c r="M10" s="989"/>
      <c r="N10" s="989"/>
      <c r="O10" s="989"/>
      <c r="P10" s="989"/>
    </row>
    <row r="11" spans="1:16">
      <c r="A11" s="822"/>
      <c r="B11" s="822"/>
      <c r="C11" s="822"/>
      <c r="D11" s="822"/>
      <c r="E11" s="822"/>
      <c r="F11" s="822"/>
      <c r="G11" s="822"/>
      <c r="H11" s="822"/>
      <c r="I11" s="822"/>
      <c r="J11" s="822"/>
      <c r="K11" s="822"/>
      <c r="L11" s="822"/>
      <c r="M11" s="822"/>
      <c r="N11" s="822"/>
      <c r="O11" s="822"/>
      <c r="P11" s="822"/>
    </row>
    <row r="12" spans="1:16" ht="150">
      <c r="A12" s="451" t="s">
        <v>804</v>
      </c>
      <c r="B12" s="714" t="s">
        <v>805</v>
      </c>
      <c r="C12" s="990" t="s">
        <v>815</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242</v>
      </c>
      <c r="B14" s="1130" t="s">
        <v>342</v>
      </c>
      <c r="C14" s="1130"/>
      <c r="D14" s="1131" t="s">
        <v>343</v>
      </c>
      <c r="E14" s="1131"/>
      <c r="F14" s="1131"/>
      <c r="G14" s="1131"/>
      <c r="H14" s="1131"/>
      <c r="I14" s="1131"/>
      <c r="J14" s="1131"/>
      <c r="K14" s="1131"/>
      <c r="L14" s="1131"/>
      <c r="M14" s="1131"/>
      <c r="N14" s="1131"/>
      <c r="O14" s="1131"/>
      <c r="P14" s="1130" t="s">
        <v>806</v>
      </c>
    </row>
    <row r="15" spans="1:16">
      <c r="A15" s="1129"/>
      <c r="B15" s="1130"/>
      <c r="C15" s="1130"/>
      <c r="D15" s="1132" t="s">
        <v>190</v>
      </c>
      <c r="E15" s="1132"/>
      <c r="F15" s="1132"/>
      <c r="G15" s="1132"/>
      <c r="H15" s="1132"/>
      <c r="I15" s="1130" t="s">
        <v>798</v>
      </c>
      <c r="J15" s="1130" t="s">
        <v>223</v>
      </c>
      <c r="K15" s="1130" t="s">
        <v>799</v>
      </c>
      <c r="L15" s="1130" t="s">
        <v>791</v>
      </c>
      <c r="M15" s="1130" t="s">
        <v>234</v>
      </c>
      <c r="N15" s="1130" t="s">
        <v>807</v>
      </c>
      <c r="O15" s="1130" t="s">
        <v>120</v>
      </c>
      <c r="P15" s="1130"/>
    </row>
    <row r="16" spans="1:16" ht="30">
      <c r="A16" s="1129"/>
      <c r="B16" s="971" t="s">
        <v>808</v>
      </c>
      <c r="C16" s="971" t="s">
        <v>809</v>
      </c>
      <c r="D16" s="971" t="s">
        <v>192</v>
      </c>
      <c r="E16" s="971" t="s">
        <v>193</v>
      </c>
      <c r="F16" s="971" t="s">
        <v>194</v>
      </c>
      <c r="G16" s="971" t="s">
        <v>196</v>
      </c>
      <c r="H16" s="971" t="s">
        <v>197</v>
      </c>
      <c r="I16" s="1130"/>
      <c r="J16" s="1130"/>
      <c r="K16" s="1130"/>
      <c r="L16" s="1130"/>
      <c r="M16" s="1130"/>
      <c r="N16" s="1130"/>
      <c r="O16" s="1133"/>
      <c r="P16" s="1130"/>
    </row>
    <row r="17" spans="1:16" ht="210">
      <c r="A17" s="978" t="s">
        <v>241</v>
      </c>
      <c r="B17" s="983" t="s">
        <v>814</v>
      </c>
      <c r="C17" s="983" t="s">
        <v>814</v>
      </c>
      <c r="D17" s="983" t="s">
        <v>814</v>
      </c>
      <c r="E17" s="983" t="s">
        <v>814</v>
      </c>
      <c r="F17" s="983" t="s">
        <v>814</v>
      </c>
      <c r="G17" s="983" t="s">
        <v>814</v>
      </c>
      <c r="H17" s="983" t="s">
        <v>814</v>
      </c>
      <c r="I17" s="983" t="s">
        <v>814</v>
      </c>
      <c r="J17" s="983" t="s">
        <v>814</v>
      </c>
      <c r="K17" s="984" t="s">
        <v>756</v>
      </c>
      <c r="L17" s="984" t="s">
        <v>756</v>
      </c>
      <c r="M17" s="984" t="s">
        <v>756</v>
      </c>
      <c r="N17" s="983" t="s">
        <v>814</v>
      </c>
      <c r="O17" s="983" t="s">
        <v>814</v>
      </c>
      <c r="P17" s="991"/>
    </row>
    <row r="18" spans="1:16" ht="45">
      <c r="A18" s="980" t="s">
        <v>247</v>
      </c>
      <c r="B18" s="985" t="s">
        <v>778</v>
      </c>
      <c r="C18" s="985" t="s">
        <v>778</v>
      </c>
      <c r="D18" s="985" t="s">
        <v>778</v>
      </c>
      <c r="E18" s="985" t="s">
        <v>778</v>
      </c>
      <c r="F18" s="985" t="s">
        <v>778</v>
      </c>
      <c r="G18" s="985" t="s">
        <v>778</v>
      </c>
      <c r="H18" s="985" t="s">
        <v>778</v>
      </c>
      <c r="I18" s="985" t="s">
        <v>778</v>
      </c>
      <c r="J18" s="985" t="s">
        <v>778</v>
      </c>
      <c r="K18" s="985" t="s">
        <v>778</v>
      </c>
      <c r="L18" s="985" t="s">
        <v>778</v>
      </c>
      <c r="M18" s="985" t="s">
        <v>778</v>
      </c>
      <c r="N18" s="985" t="s">
        <v>778</v>
      </c>
      <c r="O18" s="985" t="s">
        <v>778</v>
      </c>
      <c r="P18" s="985" t="s">
        <v>778</v>
      </c>
    </row>
    <row r="19" spans="1:16" ht="45">
      <c r="A19" s="976" t="s">
        <v>810</v>
      </c>
      <c r="B19" s="985" t="s">
        <v>778</v>
      </c>
      <c r="C19" s="985" t="s">
        <v>778</v>
      </c>
      <c r="D19" s="985" t="s">
        <v>778</v>
      </c>
      <c r="E19" s="985" t="s">
        <v>778</v>
      </c>
      <c r="F19" s="985" t="s">
        <v>778</v>
      </c>
      <c r="G19" s="985" t="s">
        <v>778</v>
      </c>
      <c r="H19" s="985" t="s">
        <v>778</v>
      </c>
      <c r="I19" s="985" t="s">
        <v>778</v>
      </c>
      <c r="J19" s="985" t="s">
        <v>778</v>
      </c>
      <c r="K19" s="985" t="s">
        <v>778</v>
      </c>
      <c r="L19" s="985" t="s">
        <v>778</v>
      </c>
      <c r="M19" s="985" t="s">
        <v>778</v>
      </c>
      <c r="N19" s="985" t="s">
        <v>778</v>
      </c>
      <c r="O19" s="985" t="s">
        <v>778</v>
      </c>
      <c r="P19" s="985" t="s">
        <v>778</v>
      </c>
    </row>
    <row r="20" spans="1:16">
      <c r="A20" s="981" t="s">
        <v>109</v>
      </c>
      <c r="B20" s="977"/>
      <c r="C20" s="977"/>
      <c r="D20" s="977"/>
      <c r="E20" s="977"/>
      <c r="F20" s="977"/>
      <c r="G20" s="977"/>
      <c r="H20" s="977"/>
      <c r="I20" s="977"/>
      <c r="J20" s="977"/>
      <c r="K20" s="977"/>
      <c r="L20" s="977"/>
      <c r="M20" s="977"/>
      <c r="N20" s="977"/>
      <c r="O20" s="977"/>
      <c r="P20" s="977"/>
    </row>
    <row r="22" spans="1:16" ht="90">
      <c r="A22" s="451" t="s">
        <v>811</v>
      </c>
      <c r="B22" s="714" t="s">
        <v>805</v>
      </c>
      <c r="C22" s="990" t="s">
        <v>816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566</v>
      </c>
      <c r="B6" s="75" t="s">
        <v>567</v>
      </c>
      <c r="C6" s="424" t="s">
        <v>550</v>
      </c>
    </row>
    <row r="7" spans="1:3">
      <c r="A7" s="124"/>
      <c r="B7" s="128"/>
      <c r="C7" s="122"/>
    </row>
    <row r="8" spans="1:3">
      <c r="A8" s="113" t="s">
        <v>569</v>
      </c>
      <c r="B8" s="75" t="s">
        <v>568</v>
      </c>
      <c r="C8" s="424" t="s">
        <v>374</v>
      </c>
    </row>
    <row r="9" spans="1:3">
      <c r="A9" s="124"/>
      <c r="B9" s="128"/>
      <c r="C9" s="122"/>
    </row>
    <row r="10" spans="1:3">
      <c r="A10" s="113" t="s">
        <v>316</v>
      </c>
      <c r="B10" s="75" t="s">
        <v>372</v>
      </c>
      <c r="C10" s="114" t="s">
        <v>374</v>
      </c>
    </row>
    <row r="11" spans="1:3">
      <c r="A11" s="124"/>
      <c r="B11" s="128"/>
      <c r="C11" s="122"/>
    </row>
    <row r="12" spans="1:3" ht="30">
      <c r="A12" s="113" t="s">
        <v>396</v>
      </c>
      <c r="B12" s="75" t="s">
        <v>509</v>
      </c>
      <c r="C12" s="304" t="s">
        <v>580</v>
      </c>
    </row>
    <row r="13" spans="1:3" s="11" customFormat="1">
      <c r="A13" s="139"/>
      <c r="B13" s="157"/>
      <c r="C13" s="158"/>
    </row>
    <row r="14" spans="1:3" ht="21">
      <c r="A14" s="125" t="s">
        <v>459</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8.5703125" style="439" bestFit="1" customWidth="1"/>
    <col min="8" max="8" width="10.8554687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35.7109375" style="439"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373</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622" t="s">
        <v>575</v>
      </c>
      <c r="B4" s="454"/>
      <c r="C4" s="454"/>
      <c r="D4" s="454"/>
      <c r="E4" s="454"/>
      <c r="F4" s="454"/>
      <c r="G4" s="486"/>
      <c r="H4" s="486"/>
      <c r="I4" s="454"/>
      <c r="J4" s="454"/>
      <c r="K4" s="454"/>
      <c r="L4" s="454"/>
      <c r="M4" s="454"/>
      <c r="N4" s="454"/>
      <c r="O4" s="454"/>
      <c r="P4" s="454"/>
    </row>
    <row r="5" spans="1:16" outlineLevel="1">
      <c r="A5" s="622" t="s">
        <v>576</v>
      </c>
      <c r="B5" s="454"/>
      <c r="C5" s="454"/>
      <c r="D5" s="454"/>
      <c r="E5" s="454"/>
      <c r="F5" s="454"/>
      <c r="G5" s="486"/>
      <c r="H5" s="486"/>
      <c r="I5" s="454"/>
      <c r="J5" s="454"/>
      <c r="K5" s="454"/>
      <c r="L5" s="454"/>
      <c r="M5" s="454"/>
      <c r="N5" s="454"/>
      <c r="O5" s="454"/>
      <c r="P5" s="454"/>
    </row>
    <row r="6" spans="1:16" outlineLevel="1">
      <c r="A6" s="622" t="s">
        <v>577</v>
      </c>
      <c r="B6" s="454"/>
      <c r="C6" s="454"/>
      <c r="D6" s="454"/>
      <c r="E6" s="454"/>
      <c r="F6" s="454"/>
      <c r="G6" s="486"/>
      <c r="H6" s="486"/>
      <c r="I6" s="454"/>
      <c r="J6" s="454"/>
      <c r="K6" s="454"/>
      <c r="L6" s="454"/>
      <c r="M6" s="454"/>
      <c r="N6" s="454"/>
      <c r="O6" s="454"/>
      <c r="P6" s="454"/>
    </row>
    <row r="7" spans="1:16" outlineLevel="1">
      <c r="A7" s="456"/>
      <c r="B7" s="454"/>
      <c r="C7" s="454"/>
      <c r="D7" s="454"/>
      <c r="E7" s="454"/>
      <c r="F7" s="454"/>
      <c r="G7" s="486"/>
      <c r="H7" s="486"/>
      <c r="I7" s="454"/>
      <c r="J7" s="454"/>
      <c r="K7" s="454"/>
      <c r="L7" s="454"/>
      <c r="M7" s="454"/>
      <c r="N7" s="454"/>
      <c r="O7" s="454"/>
      <c r="P7" s="454"/>
    </row>
    <row r="8" spans="1:16" outlineLevel="1">
      <c r="A8" s="623" t="s">
        <v>578</v>
      </c>
      <c r="B8" s="454"/>
      <c r="C8" s="454"/>
      <c r="D8" s="454"/>
      <c r="E8" s="454"/>
      <c r="F8" s="454"/>
      <c r="G8" s="486"/>
      <c r="H8" s="486"/>
      <c r="I8" s="454"/>
      <c r="J8" s="454"/>
      <c r="K8" s="454"/>
      <c r="L8" s="454"/>
      <c r="M8" s="454"/>
      <c r="N8" s="454"/>
      <c r="O8" s="454"/>
      <c r="P8" s="454"/>
    </row>
    <row r="9" spans="1:16" outlineLevel="1">
      <c r="A9" s="456"/>
      <c r="B9" s="454"/>
      <c r="C9" s="454"/>
      <c r="D9" s="454"/>
      <c r="E9" s="454"/>
      <c r="F9" s="454"/>
      <c r="G9" s="486"/>
      <c r="H9" s="486"/>
      <c r="I9" s="454"/>
      <c r="J9" s="454"/>
      <c r="K9" s="454"/>
      <c r="L9" s="454"/>
      <c r="M9" s="454"/>
      <c r="N9" s="454"/>
      <c r="O9" s="454"/>
      <c r="P9" s="454"/>
    </row>
    <row r="10" spans="1:16" outlineLevel="1">
      <c r="A10" s="456" t="s">
        <v>579</v>
      </c>
      <c r="B10" s="454"/>
      <c r="C10" s="454"/>
      <c r="D10" s="454"/>
      <c r="E10" s="454"/>
      <c r="F10" s="454"/>
      <c r="G10" s="486"/>
      <c r="H10" s="486"/>
      <c r="I10" s="454"/>
      <c r="J10" s="454"/>
      <c r="K10" s="454"/>
      <c r="L10" s="454"/>
      <c r="M10" s="454"/>
      <c r="N10" s="454"/>
      <c r="O10" s="454"/>
      <c r="P10" s="454"/>
    </row>
    <row r="11" spans="1:16" outlineLevel="1">
      <c r="A11" s="456"/>
      <c r="B11" s="454"/>
      <c r="C11" s="454"/>
      <c r="D11" s="454"/>
      <c r="E11" s="454"/>
      <c r="F11" s="454"/>
      <c r="G11" s="486"/>
      <c r="H11" s="486"/>
      <c r="I11" s="454"/>
      <c r="J11" s="454"/>
      <c r="K11" s="454"/>
      <c r="L11" s="454"/>
      <c r="M11" s="454"/>
      <c r="N11" s="454"/>
      <c r="O11" s="454"/>
      <c r="P11" s="454"/>
    </row>
    <row r="12" spans="1:16" ht="15.75" outlineLevel="1" thickBot="1">
      <c r="B12" s="454"/>
      <c r="C12" s="454"/>
      <c r="D12" s="454"/>
      <c r="E12" s="454"/>
      <c r="F12" s="454"/>
      <c r="G12" s="486"/>
      <c r="H12" s="486"/>
      <c r="I12" s="454"/>
      <c r="J12" s="454"/>
      <c r="K12" s="454"/>
      <c r="L12" s="454"/>
      <c r="M12" s="454"/>
      <c r="N12" s="454"/>
      <c r="O12" s="454"/>
      <c r="P12" s="454"/>
    </row>
    <row r="13" spans="1:16" ht="25.5" customHeight="1" outlineLevel="1" thickBot="1">
      <c r="A13" s="457" t="s">
        <v>564</v>
      </c>
      <c r="B13" s="441"/>
      <c r="C13" s="458"/>
      <c r="D13" s="458"/>
      <c r="E13" s="458"/>
      <c r="F13" s="458"/>
      <c r="G13" s="458"/>
      <c r="H13" s="458"/>
      <c r="I13" s="458"/>
      <c r="J13" s="458"/>
      <c r="K13" s="458"/>
      <c r="L13" s="458"/>
      <c r="M13" s="458"/>
      <c r="N13" s="458"/>
      <c r="O13" s="715" t="s">
        <v>596</v>
      </c>
      <c r="P13" s="715" t="s">
        <v>595</v>
      </c>
    </row>
    <row r="14" spans="1:16" outlineLevel="1"/>
    <row r="15" spans="1:16" s="450" customFormat="1" outlineLevel="1">
      <c r="A15" s="459" t="s">
        <v>294</v>
      </c>
      <c r="B15" s="460">
        <f>SUM(B4:B12)</f>
        <v>0</v>
      </c>
      <c r="C15" s="460">
        <f t="shared" ref="C15:P15" si="0">SUM(C4:C13)</f>
        <v>0</v>
      </c>
      <c r="D15" s="460">
        <f t="shared" si="0"/>
        <v>0</v>
      </c>
      <c r="E15" s="460">
        <f t="shared" si="0"/>
        <v>0</v>
      </c>
      <c r="F15" s="460">
        <f t="shared" si="0"/>
        <v>0</v>
      </c>
      <c r="G15" s="460"/>
      <c r="H15" s="460"/>
      <c r="I15" s="460">
        <f t="shared" si="0"/>
        <v>0</v>
      </c>
      <c r="J15" s="460">
        <f t="shared" si="0"/>
        <v>0</v>
      </c>
      <c r="K15" s="460">
        <f t="shared" si="0"/>
        <v>0</v>
      </c>
      <c r="L15" s="460">
        <f t="shared" si="0"/>
        <v>0</v>
      </c>
      <c r="M15" s="460">
        <f>SUM(M4:M13)</f>
        <v>0</v>
      </c>
      <c r="N15" s="460">
        <f t="shared" si="0"/>
        <v>0</v>
      </c>
      <c r="O15" s="460">
        <f>SUM(O4:O13)</f>
        <v>0</v>
      </c>
      <c r="P15" s="460">
        <f t="shared" si="0"/>
        <v>0</v>
      </c>
    </row>
    <row r="16" spans="1:16" outlineLevel="1">
      <c r="B16" s="463"/>
      <c r="C16" s="463"/>
      <c r="D16" s="463"/>
      <c r="E16" s="463"/>
      <c r="F16" s="463"/>
      <c r="G16" s="463"/>
      <c r="H16" s="463"/>
      <c r="I16" s="463"/>
      <c r="J16" s="463"/>
      <c r="K16" s="463"/>
      <c r="L16" s="463"/>
      <c r="M16" s="463"/>
      <c r="N16" s="463"/>
      <c r="O16" s="463"/>
      <c r="P16" s="463"/>
    </row>
    <row r="17" spans="1:16" outlineLevel="1">
      <c r="A17" s="464" t="s">
        <v>573</v>
      </c>
      <c r="B17" s="488">
        <f ca="1">'EF ele_warmte'!B12</f>
        <v>0.20990261360219245</v>
      </c>
      <c r="C17" s="488">
        <f ca="1">'EF ele_warmte'!B22</f>
        <v>0.23764705882352943</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f ca="1">C15*C17</f>
        <v>0</v>
      </c>
      <c r="D19" s="465">
        <f>D15*D17</f>
        <v>0</v>
      </c>
      <c r="E19" s="465">
        <f>E15*E17</f>
        <v>0</v>
      </c>
      <c r="F19" s="465">
        <f>F15*F17</f>
        <v>0</v>
      </c>
      <c r="G19" s="465"/>
      <c r="H19" s="465"/>
      <c r="I19" s="465">
        <f t="shared" ref="I19:P19" si="1">I15*I17</f>
        <v>0</v>
      </c>
      <c r="J19" s="465">
        <f t="shared" si="1"/>
        <v>0</v>
      </c>
      <c r="K19" s="465">
        <f t="shared" si="1"/>
        <v>0</v>
      </c>
      <c r="L19" s="465">
        <f t="shared" si="1"/>
        <v>0</v>
      </c>
      <c r="M19" s="465">
        <f t="shared" si="1"/>
        <v>0</v>
      </c>
      <c r="N19" s="465">
        <f t="shared" si="1"/>
        <v>0</v>
      </c>
      <c r="O19" s="465">
        <f t="shared" si="1"/>
        <v>0</v>
      </c>
      <c r="P19" s="465">
        <f t="shared" si="1"/>
        <v>0</v>
      </c>
    </row>
    <row r="22" spans="1:16" s="441" customFormat="1" ht="15" customHeight="1" outlineLevel="1">
      <c r="A22" s="466" t="s">
        <v>472</v>
      </c>
      <c r="B22" s="467"/>
      <c r="C22" s="468"/>
      <c r="D22" s="469"/>
      <c r="E22" s="470"/>
    </row>
    <row r="23" spans="1:16" s="48" customFormat="1" ht="15" customHeight="1" outlineLevel="1">
      <c r="A23" s="471"/>
      <c r="B23" s="472"/>
      <c r="C23" s="473" t="s">
        <v>364</v>
      </c>
      <c r="D23" s="473" t="s">
        <v>175</v>
      </c>
      <c r="E23" s="474"/>
    </row>
    <row r="24" spans="1:16" s="441" customFormat="1" ht="15" customHeight="1" outlineLevel="1">
      <c r="A24" s="475" t="s">
        <v>255</v>
      </c>
      <c r="B24" s="47">
        <f>EigenZB</f>
        <v>1</v>
      </c>
      <c r="C24" s="476"/>
      <c r="D24" s="820" t="s">
        <v>616</v>
      </c>
      <c r="E24" s="442"/>
    </row>
    <row r="25" spans="1:16" s="441" customFormat="1" outlineLevel="1">
      <c r="A25" s="475" t="s">
        <v>439</v>
      </c>
      <c r="B25" s="48">
        <v>4.2</v>
      </c>
      <c r="C25" s="476"/>
      <c r="D25" s="477" t="s">
        <v>496</v>
      </c>
      <c r="E25" s="453"/>
    </row>
    <row r="26" spans="1:16" s="441" customFormat="1" outlineLevel="1">
      <c r="A26" s="719" t="s">
        <v>440</v>
      </c>
      <c r="B26" s="720">
        <f>1.34/3.6</f>
        <v>0.37222222222222223</v>
      </c>
      <c r="C26" s="476" t="s">
        <v>208</v>
      </c>
      <c r="D26" s="477" t="s">
        <v>496</v>
      </c>
      <c r="E26" s="453"/>
    </row>
    <row r="27" spans="1:16" s="441" customFormat="1" outlineLevel="1">
      <c r="A27" s="478" t="s">
        <v>587</v>
      </c>
      <c r="B27" s="722">
        <f>B24*B25*B26</f>
        <v>1.5633333333333335</v>
      </c>
      <c r="C27" s="479" t="s">
        <v>588</v>
      </c>
      <c r="D27" s="480"/>
      <c r="E27" s="481"/>
    </row>
    <row r="28" spans="1:16" s="441" customFormat="1" outlineLevel="1">
      <c r="A28" s="48"/>
      <c r="B28" s="48"/>
      <c r="C28" s="482"/>
      <c r="D28" s="476"/>
    </row>
    <row r="29" spans="1:16" s="441" customFormat="1" outlineLevel="1">
      <c r="A29" s="483" t="s">
        <v>473</v>
      </c>
      <c r="B29" s="467"/>
      <c r="C29" s="468"/>
      <c r="D29" s="469"/>
      <c r="E29" s="470"/>
    </row>
    <row r="30" spans="1:16" s="48" customFormat="1" outlineLevel="1">
      <c r="A30" s="484"/>
      <c r="B30" s="472"/>
      <c r="C30" s="473" t="s">
        <v>364</v>
      </c>
      <c r="D30" s="473" t="s">
        <v>175</v>
      </c>
      <c r="E30" s="474"/>
    </row>
    <row r="31" spans="1:16" s="441" customFormat="1" outlineLevel="1">
      <c r="A31" s="475" t="s">
        <v>438</v>
      </c>
      <c r="B31" s="47">
        <f>EigenWP</f>
        <v>0</v>
      </c>
      <c r="C31" s="476"/>
      <c r="D31" s="820" t="s">
        <v>616</v>
      </c>
      <c r="E31" s="442"/>
    </row>
    <row r="32" spans="1:16" s="441" customFormat="1" outlineLevel="1">
      <c r="A32" s="475" t="s">
        <v>436</v>
      </c>
      <c r="B32" s="48">
        <v>13</v>
      </c>
      <c r="C32" s="482" t="s">
        <v>252</v>
      </c>
      <c r="D32" s="477" t="s">
        <v>496</v>
      </c>
      <c r="E32" s="442"/>
    </row>
    <row r="33" spans="1:5" s="441" customFormat="1" outlineLevel="1">
      <c r="A33" s="475" t="s">
        <v>437</v>
      </c>
      <c r="B33" s="48">
        <v>2000</v>
      </c>
      <c r="C33" s="482" t="s">
        <v>254</v>
      </c>
      <c r="D33" s="477" t="s">
        <v>496</v>
      </c>
      <c r="E33" s="442"/>
    </row>
    <row r="34" spans="1:5" s="441" customFormat="1" outlineLevel="1">
      <c r="A34" s="719" t="s">
        <v>369</v>
      </c>
      <c r="B34" s="48">
        <v>3.75</v>
      </c>
      <c r="C34" s="482"/>
      <c r="D34" s="477" t="s">
        <v>496</v>
      </c>
      <c r="E34" s="442"/>
    </row>
    <row r="35" spans="1:5" s="441" customFormat="1" outlineLevel="1">
      <c r="A35" s="478" t="s">
        <v>587</v>
      </c>
      <c r="B35" s="721">
        <f>B31*B32*B33/1000-B31*B32*B33/1000/B34</f>
        <v>0</v>
      </c>
      <c r="C35" s="485" t="s">
        <v>588</v>
      </c>
      <c r="D35" s="480"/>
      <c r="E35" s="44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6.5703125" style="439" bestFit="1" customWidth="1"/>
    <col min="8" max="8" width="8.14062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26.42578125" style="439" bestFit="1"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373</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456"/>
      <c r="B4" s="454"/>
      <c r="C4" s="486"/>
      <c r="D4" s="486"/>
      <c r="E4" s="486"/>
      <c r="F4" s="486"/>
      <c r="G4" s="486"/>
      <c r="H4" s="486"/>
      <c r="I4" s="486"/>
      <c r="J4" s="486"/>
      <c r="K4" s="486"/>
      <c r="L4" s="486"/>
      <c r="M4" s="486"/>
      <c r="N4" s="486"/>
      <c r="O4" s="486"/>
      <c r="P4" s="486"/>
    </row>
    <row r="5" spans="1:16" outlineLevel="1">
      <c r="A5" s="456"/>
      <c r="B5" s="454"/>
      <c r="C5" s="486"/>
      <c r="D5" s="486"/>
      <c r="E5" s="486"/>
      <c r="F5" s="486"/>
      <c r="G5" s="486"/>
      <c r="H5" s="486"/>
      <c r="I5" s="486"/>
      <c r="J5" s="486"/>
      <c r="K5" s="486"/>
      <c r="L5" s="486"/>
      <c r="M5" s="486"/>
      <c r="N5" s="486"/>
      <c r="O5" s="486"/>
      <c r="P5" s="486"/>
    </row>
    <row r="6" spans="1:16" outlineLevel="1">
      <c r="A6" s="456"/>
      <c r="B6" s="454"/>
      <c r="C6" s="486"/>
      <c r="D6" s="486"/>
      <c r="E6" s="486"/>
      <c r="F6" s="486"/>
      <c r="G6" s="486"/>
      <c r="H6" s="486"/>
      <c r="I6" s="486"/>
      <c r="J6" s="486"/>
      <c r="K6" s="486"/>
      <c r="L6" s="486"/>
      <c r="M6" s="486"/>
      <c r="N6" s="486"/>
      <c r="O6" s="486"/>
      <c r="P6" s="486"/>
    </row>
    <row r="7" spans="1:16" outlineLevel="1">
      <c r="A7" s="456"/>
      <c r="B7" s="454"/>
      <c r="C7" s="486"/>
      <c r="D7" s="486"/>
      <c r="E7" s="486"/>
      <c r="F7" s="486"/>
      <c r="G7" s="486"/>
      <c r="H7" s="486"/>
      <c r="I7" s="486"/>
      <c r="J7" s="486"/>
      <c r="K7" s="486"/>
      <c r="L7" s="486"/>
      <c r="M7" s="486"/>
      <c r="N7" s="486"/>
      <c r="O7" s="486"/>
      <c r="P7" s="486"/>
    </row>
    <row r="8" spans="1:16" outlineLevel="1">
      <c r="A8" s="623"/>
      <c r="B8" s="454"/>
      <c r="C8" s="486"/>
      <c r="D8" s="486"/>
      <c r="E8" s="486"/>
      <c r="F8" s="486"/>
      <c r="G8" s="486"/>
      <c r="H8" s="486"/>
      <c r="I8" s="486"/>
      <c r="J8" s="486"/>
      <c r="K8" s="486"/>
      <c r="L8" s="486"/>
      <c r="M8" s="486"/>
      <c r="N8" s="486"/>
      <c r="O8" s="486"/>
      <c r="P8" s="486"/>
    </row>
    <row r="9" spans="1:16" outlineLevel="1">
      <c r="A9" s="456"/>
      <c r="B9" s="454"/>
      <c r="C9" s="486"/>
      <c r="D9" s="486"/>
      <c r="E9" s="486"/>
      <c r="F9" s="486"/>
      <c r="G9" s="486"/>
      <c r="H9" s="486"/>
      <c r="I9" s="486"/>
      <c r="J9" s="486"/>
      <c r="K9" s="486"/>
      <c r="L9" s="486"/>
      <c r="M9" s="486"/>
      <c r="N9" s="486"/>
      <c r="O9" s="486"/>
      <c r="P9" s="486"/>
    </row>
    <row r="10" spans="1:16" outlineLevel="1">
      <c r="A10" s="456"/>
      <c r="B10" s="454"/>
      <c r="C10" s="486"/>
      <c r="D10" s="486"/>
      <c r="E10" s="486"/>
      <c r="F10" s="486"/>
      <c r="G10" s="486"/>
      <c r="H10" s="486"/>
      <c r="I10" s="486"/>
      <c r="J10" s="486"/>
      <c r="K10" s="486"/>
      <c r="L10" s="486"/>
      <c r="M10" s="486"/>
      <c r="N10" s="486"/>
      <c r="O10" s="486"/>
      <c r="P10" s="486"/>
    </row>
    <row r="11" spans="1:16" outlineLevel="1">
      <c r="A11" s="456"/>
      <c r="B11" s="454"/>
      <c r="C11" s="486"/>
      <c r="D11" s="486"/>
      <c r="E11" s="486"/>
      <c r="F11" s="486"/>
      <c r="G11" s="486"/>
      <c r="H11" s="486"/>
      <c r="I11" s="486"/>
      <c r="J11" s="486"/>
      <c r="K11" s="486"/>
      <c r="L11" s="486"/>
      <c r="M11" s="486"/>
      <c r="N11" s="486"/>
      <c r="O11" s="486"/>
      <c r="P11" s="486"/>
    </row>
    <row r="12" spans="1:16" ht="15.75" outlineLevel="1" thickBot="1">
      <c r="A12" s="456"/>
      <c r="B12" s="454"/>
      <c r="C12" s="486"/>
      <c r="D12" s="486"/>
      <c r="E12" s="486"/>
      <c r="F12" s="486"/>
      <c r="G12" s="486"/>
      <c r="H12" s="486"/>
      <c r="I12" s="486"/>
      <c r="J12" s="486"/>
      <c r="K12" s="486"/>
      <c r="L12" s="486"/>
      <c r="M12" s="486"/>
      <c r="N12" s="486"/>
      <c r="O12" s="486"/>
      <c r="P12" s="486"/>
    </row>
    <row r="13" spans="1:16" ht="25.5" customHeight="1" outlineLevel="1" thickBot="1">
      <c r="A13" s="457" t="s">
        <v>564</v>
      </c>
      <c r="B13" s="441"/>
      <c r="C13" s="458"/>
      <c r="D13" s="458"/>
      <c r="E13" s="458"/>
      <c r="F13" s="458"/>
      <c r="G13" s="458"/>
      <c r="H13" s="458"/>
      <c r="I13" s="458"/>
      <c r="J13" s="458"/>
      <c r="K13" s="458"/>
      <c r="L13" s="458"/>
      <c r="M13" s="458"/>
      <c r="N13" s="458"/>
      <c r="O13" s="1141"/>
      <c r="P13" s="1141"/>
    </row>
    <row r="14" spans="1:16" outlineLevel="1">
      <c r="A14" s="456"/>
      <c r="B14" s="52"/>
      <c r="C14" s="486"/>
      <c r="D14" s="486"/>
      <c r="E14" s="486"/>
      <c r="F14" s="486"/>
      <c r="G14" s="486"/>
      <c r="H14" s="486"/>
      <c r="I14" s="486"/>
      <c r="J14" s="486"/>
      <c r="K14" s="486"/>
      <c r="L14" s="486"/>
      <c r="M14" s="486"/>
      <c r="N14" s="486"/>
      <c r="O14" s="486"/>
      <c r="P14" s="486"/>
    </row>
    <row r="15" spans="1:16" s="450" customFormat="1" outlineLevel="1">
      <c r="A15" s="459" t="s">
        <v>295</v>
      </c>
      <c r="B15" s="460">
        <f>SUM(B4:B12)</f>
        <v>0</v>
      </c>
      <c r="C15" s="461"/>
      <c r="D15" s="461"/>
      <c r="E15" s="461"/>
      <c r="F15" s="461"/>
      <c r="G15" s="461"/>
      <c r="H15" s="461"/>
      <c r="I15" s="461"/>
      <c r="J15" s="461"/>
      <c r="K15" s="461"/>
      <c r="L15" s="461"/>
      <c r="M15" s="461"/>
      <c r="N15" s="461"/>
      <c r="O15" s="462"/>
      <c r="P15" s="462"/>
    </row>
    <row r="16" spans="1:16" outlineLevel="1">
      <c r="B16" s="463"/>
      <c r="C16" s="463"/>
      <c r="D16" s="463"/>
      <c r="E16" s="463"/>
      <c r="F16" s="463"/>
      <c r="G16" s="463"/>
      <c r="H16" s="463"/>
      <c r="I16" s="463"/>
      <c r="J16" s="463"/>
      <c r="K16" s="463"/>
      <c r="L16" s="463"/>
      <c r="M16" s="463"/>
      <c r="N16" s="463"/>
      <c r="O16" s="463"/>
      <c r="P16" s="463"/>
    </row>
    <row r="17" spans="1:16" outlineLevel="1">
      <c r="A17" s="464" t="s">
        <v>573</v>
      </c>
      <c r="B17" s="488">
        <f ca="1">'EF ele_warmte'!B12</f>
        <v>0.20990261360219245</v>
      </c>
      <c r="C17" s="488">
        <f ca="1">'EF ele_warmte'!B22</f>
        <v>0.23764705882352943</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c r="D19" s="465"/>
      <c r="E19" s="465"/>
      <c r="F19" s="465"/>
      <c r="G19" s="465"/>
      <c r="H19" s="465"/>
      <c r="I19" s="465"/>
      <c r="J19" s="465"/>
      <c r="K19" s="465"/>
      <c r="L19" s="465"/>
      <c r="M19" s="465"/>
      <c r="N19" s="465"/>
      <c r="O19" s="465"/>
      <c r="P19" s="46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39" customWidth="1"/>
    <col min="2" max="2" width="14.140625" style="439" customWidth="1"/>
    <col min="3" max="3" width="16.42578125" style="439" customWidth="1"/>
    <col min="4" max="4" width="15" style="439" customWidth="1"/>
    <col min="5" max="5" width="13.85546875" style="439" customWidth="1"/>
    <col min="6" max="6" width="14.85546875" style="439" customWidth="1"/>
    <col min="7" max="7" width="14.7109375" style="439" customWidth="1"/>
    <col min="8" max="8" width="14.28515625" style="439"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16.140625" style="439" customWidth="1"/>
    <col min="16" max="16" width="17.5703125" style="439" customWidth="1"/>
    <col min="17" max="17" width="9.140625" style="439"/>
    <col min="18" max="18" width="20.42578125" style="439" customWidth="1"/>
    <col min="19" max="16384" width="9.140625" style="439"/>
  </cols>
  <sheetData>
    <row r="1" spans="1:16" ht="15.75" customHeight="1" thickTop="1" thickBot="1">
      <c r="A1" s="1134" t="s">
        <v>316</v>
      </c>
      <c r="B1" s="1135" t="s">
        <v>188</v>
      </c>
      <c r="C1" s="1136"/>
      <c r="D1" s="1136"/>
      <c r="E1" s="1136"/>
      <c r="F1" s="1136"/>
      <c r="G1" s="1136"/>
      <c r="H1" s="1136"/>
      <c r="I1" s="1136"/>
      <c r="J1" s="1136"/>
      <c r="K1" s="1136"/>
      <c r="L1" s="1136"/>
      <c r="M1" s="1136"/>
      <c r="N1" s="1136"/>
      <c r="O1" s="1136"/>
      <c r="P1" s="1136"/>
    </row>
    <row r="2" spans="1:16" ht="15" customHeight="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c r="B4" s="454"/>
      <c r="C4" s="486"/>
      <c r="D4" s="455"/>
      <c r="E4" s="455"/>
      <c r="F4" s="486"/>
      <c r="G4" s="455"/>
      <c r="H4" s="455"/>
      <c r="I4" s="486"/>
      <c r="J4" s="486"/>
      <c r="K4" s="486"/>
      <c r="L4" s="486"/>
      <c r="M4" s="486"/>
      <c r="N4" s="486"/>
      <c r="O4" s="486"/>
      <c r="P4" s="486"/>
    </row>
    <row r="5" spans="1:16">
      <c r="B5" s="454"/>
      <c r="C5" s="52"/>
      <c r="D5" s="454"/>
      <c r="E5" s="454"/>
      <c r="F5" s="52"/>
      <c r="G5" s="454"/>
      <c r="H5" s="454"/>
      <c r="I5" s="52"/>
      <c r="J5" s="52"/>
      <c r="K5" s="52"/>
      <c r="L5" s="52"/>
      <c r="M5" s="52"/>
      <c r="N5" s="52"/>
      <c r="O5" s="52"/>
      <c r="P5" s="52"/>
    </row>
    <row r="6" spans="1:16">
      <c r="B6" s="454"/>
      <c r="C6" s="52"/>
      <c r="D6" s="454"/>
      <c r="E6" s="454"/>
      <c r="F6" s="52"/>
      <c r="G6" s="454"/>
      <c r="H6" s="454"/>
      <c r="I6" s="52"/>
      <c r="J6" s="52"/>
      <c r="K6" s="52"/>
      <c r="L6" s="52"/>
      <c r="M6" s="52"/>
      <c r="N6" s="52"/>
      <c r="O6" s="52"/>
      <c r="P6" s="52"/>
    </row>
    <row r="7" spans="1:16">
      <c r="B7" s="454"/>
      <c r="C7" s="52"/>
      <c r="D7" s="454"/>
      <c r="E7" s="454"/>
      <c r="F7" s="52"/>
      <c r="G7" s="454"/>
      <c r="H7" s="454"/>
      <c r="I7" s="52"/>
      <c r="J7" s="52"/>
      <c r="K7" s="52"/>
      <c r="L7" s="52"/>
      <c r="M7" s="52"/>
      <c r="N7" s="52"/>
      <c r="O7" s="52"/>
      <c r="P7" s="52"/>
    </row>
    <row r="8" spans="1:16">
      <c r="A8" s="450"/>
      <c r="B8" s="454"/>
      <c r="C8" s="52"/>
      <c r="D8" s="454"/>
      <c r="E8" s="454"/>
      <c r="F8" s="52"/>
      <c r="G8" s="454"/>
      <c r="H8" s="454"/>
      <c r="I8" s="52"/>
      <c r="J8" s="52"/>
      <c r="K8" s="52"/>
      <c r="L8" s="52"/>
      <c r="M8" s="52"/>
      <c r="N8" s="52"/>
      <c r="O8" s="52"/>
      <c r="P8" s="52"/>
    </row>
    <row r="9" spans="1:16">
      <c r="B9" s="454"/>
      <c r="C9" s="52"/>
      <c r="D9" s="454"/>
      <c r="E9" s="454"/>
      <c r="F9" s="52"/>
      <c r="G9" s="454"/>
      <c r="H9" s="454"/>
      <c r="I9" s="52"/>
      <c r="J9" s="52"/>
      <c r="K9" s="52"/>
      <c r="L9" s="52"/>
      <c r="M9" s="52"/>
      <c r="N9" s="52"/>
      <c r="O9" s="52"/>
      <c r="P9" s="52"/>
    </row>
    <row r="10" spans="1:16">
      <c r="B10" s="454"/>
      <c r="C10" s="52"/>
      <c r="D10" s="454"/>
      <c r="E10" s="454"/>
      <c r="F10" s="52"/>
      <c r="G10" s="454"/>
      <c r="H10" s="454"/>
      <c r="I10" s="52"/>
      <c r="J10" s="52"/>
      <c r="K10" s="52"/>
      <c r="L10" s="52"/>
      <c r="M10" s="52"/>
      <c r="N10" s="52"/>
      <c r="O10" s="52"/>
      <c r="P10" s="52"/>
    </row>
    <row r="11" spans="1:16">
      <c r="B11" s="454"/>
      <c r="C11" s="52"/>
      <c r="D11" s="454"/>
      <c r="E11" s="454"/>
      <c r="F11" s="52"/>
      <c r="G11" s="454"/>
      <c r="H11" s="454"/>
      <c r="I11" s="52"/>
      <c r="J11" s="52"/>
      <c r="K11" s="52"/>
      <c r="L11" s="52"/>
      <c r="M11" s="52"/>
      <c r="N11" s="52"/>
      <c r="O11" s="52"/>
      <c r="P11" s="52"/>
    </row>
    <row r="12" spans="1:16">
      <c r="B12" s="454"/>
      <c r="C12" s="52"/>
      <c r="D12" s="454"/>
      <c r="E12" s="454"/>
      <c r="F12" s="52"/>
      <c r="G12" s="454"/>
      <c r="H12" s="454"/>
      <c r="I12" s="52"/>
      <c r="J12" s="52"/>
      <c r="K12" s="52"/>
      <c r="L12" s="52"/>
      <c r="M12" s="52"/>
      <c r="N12" s="52"/>
      <c r="O12" s="52"/>
      <c r="P12" s="52"/>
    </row>
    <row r="13" spans="1:16">
      <c r="B13" s="454"/>
      <c r="C13" s="52"/>
      <c r="D13" s="454"/>
      <c r="E13" s="454"/>
      <c r="F13" s="52"/>
      <c r="G13" s="454"/>
      <c r="H13" s="454"/>
      <c r="I13" s="52"/>
      <c r="J13" s="52"/>
      <c r="K13" s="52"/>
      <c r="L13" s="52"/>
      <c r="M13" s="52"/>
      <c r="N13" s="52"/>
      <c r="O13" s="52"/>
      <c r="P13" s="52"/>
    </row>
    <row r="14" spans="1:16">
      <c r="B14" s="454"/>
      <c r="C14" s="52"/>
      <c r="D14" s="454"/>
      <c r="E14" s="454"/>
      <c r="F14" s="52"/>
      <c r="G14" s="454"/>
      <c r="H14" s="454"/>
      <c r="I14" s="52"/>
      <c r="J14" s="52"/>
      <c r="K14" s="52"/>
      <c r="L14" s="52"/>
      <c r="M14" s="52"/>
      <c r="N14" s="52"/>
      <c r="O14" s="52"/>
      <c r="P14" s="52"/>
    </row>
    <row r="15" spans="1:16">
      <c r="B15" s="454"/>
      <c r="C15" s="52"/>
      <c r="D15" s="454"/>
      <c r="E15" s="454"/>
      <c r="F15" s="52"/>
      <c r="G15" s="454"/>
      <c r="H15" s="454"/>
      <c r="I15" s="52"/>
      <c r="J15" s="52"/>
      <c r="K15" s="52"/>
      <c r="L15" s="52"/>
      <c r="M15" s="52"/>
      <c r="N15" s="52"/>
      <c r="O15" s="52"/>
      <c r="P15" s="52"/>
    </row>
    <row r="16" spans="1:16">
      <c r="B16" s="454"/>
      <c r="C16" s="52"/>
      <c r="D16" s="454"/>
      <c r="E16" s="454"/>
      <c r="F16" s="52"/>
      <c r="G16" s="454"/>
      <c r="H16" s="454"/>
      <c r="I16" s="52"/>
      <c r="J16" s="52"/>
      <c r="K16" s="52"/>
      <c r="L16" s="52"/>
      <c r="M16" s="52"/>
      <c r="N16" s="52"/>
      <c r="O16" s="52"/>
      <c r="P16" s="52"/>
    </row>
    <row r="17" spans="1:16">
      <c r="B17" s="454"/>
      <c r="C17" s="52"/>
      <c r="D17" s="454"/>
      <c r="E17" s="454"/>
      <c r="F17" s="52"/>
      <c r="G17" s="454"/>
      <c r="H17" s="454"/>
      <c r="I17" s="52"/>
      <c r="J17" s="52"/>
      <c r="K17" s="52"/>
      <c r="L17" s="52"/>
      <c r="M17" s="52"/>
      <c r="N17" s="52"/>
      <c r="O17" s="52"/>
      <c r="P17" s="52"/>
    </row>
    <row r="18" spans="1:16">
      <c r="B18" s="454"/>
      <c r="C18" s="52"/>
      <c r="D18" s="454"/>
      <c r="E18" s="454"/>
      <c r="F18" s="52"/>
      <c r="G18" s="454"/>
      <c r="H18" s="454"/>
      <c r="I18" s="52"/>
      <c r="J18" s="52"/>
      <c r="K18" s="52"/>
      <c r="L18" s="52"/>
      <c r="M18" s="52"/>
      <c r="N18" s="52"/>
      <c r="O18" s="52"/>
      <c r="P18" s="52"/>
    </row>
    <row r="19" spans="1:16">
      <c r="B19" s="454"/>
      <c r="C19" s="52"/>
      <c r="D19" s="454"/>
      <c r="E19" s="454"/>
      <c r="F19" s="52"/>
      <c r="G19" s="454"/>
      <c r="H19" s="454"/>
      <c r="I19" s="52"/>
      <c r="J19" s="52"/>
      <c r="K19" s="52"/>
      <c r="L19" s="52"/>
      <c r="M19" s="52"/>
      <c r="N19" s="52"/>
      <c r="O19" s="52"/>
      <c r="P19" s="52"/>
    </row>
    <row r="20" spans="1:16">
      <c r="B20" s="454"/>
      <c r="C20" s="52"/>
      <c r="D20" s="454"/>
      <c r="E20" s="454"/>
      <c r="F20" s="52"/>
      <c r="G20" s="454"/>
      <c r="H20" s="454"/>
      <c r="I20" s="52"/>
      <c r="J20" s="52"/>
      <c r="K20" s="52"/>
      <c r="L20" s="52"/>
      <c r="M20" s="52"/>
      <c r="N20" s="52"/>
      <c r="O20" s="52"/>
      <c r="P20" s="52"/>
    </row>
    <row r="21" spans="1:16">
      <c r="B21" s="454"/>
      <c r="C21" s="52"/>
      <c r="D21" s="454"/>
      <c r="E21" s="454"/>
      <c r="F21" s="52"/>
      <c r="G21" s="454"/>
      <c r="H21" s="454"/>
      <c r="I21" s="52"/>
      <c r="J21" s="52"/>
      <c r="K21" s="52"/>
      <c r="L21" s="52"/>
      <c r="M21" s="52"/>
      <c r="N21" s="52"/>
      <c r="O21" s="52"/>
      <c r="P21" s="52"/>
    </row>
    <row r="22" spans="1:16">
      <c r="B22" s="454"/>
      <c r="C22" s="52"/>
      <c r="D22" s="454"/>
      <c r="E22" s="454"/>
      <c r="F22" s="52"/>
      <c r="G22" s="454"/>
      <c r="H22" s="454"/>
      <c r="I22" s="52"/>
      <c r="J22" s="52"/>
      <c r="K22" s="52"/>
      <c r="L22" s="52"/>
      <c r="M22" s="52"/>
      <c r="N22" s="52"/>
      <c r="O22" s="52"/>
      <c r="P22" s="52"/>
    </row>
    <row r="23" spans="1:16" ht="15.75" thickBot="1">
      <c r="B23" s="454"/>
      <c r="C23" s="52"/>
      <c r="D23" s="454"/>
      <c r="E23" s="454"/>
      <c r="F23" s="52"/>
      <c r="G23" s="454"/>
      <c r="H23" s="454"/>
      <c r="I23" s="52"/>
      <c r="J23" s="52"/>
      <c r="K23" s="52"/>
      <c r="L23" s="52"/>
      <c r="M23" s="52"/>
      <c r="N23" s="52"/>
      <c r="O23" s="52"/>
      <c r="P23" s="52"/>
    </row>
    <row r="24" spans="1:16" ht="15.75" thickBot="1">
      <c r="A24" s="457" t="s">
        <v>564</v>
      </c>
    </row>
    <row r="26" spans="1:16" s="450" customFormat="1">
      <c r="A26" s="459" t="s">
        <v>513</v>
      </c>
      <c r="B26" s="459">
        <f t="shared" ref="B26:H26" si="0">SUM(B4:B23)</f>
        <v>0</v>
      </c>
      <c r="C26" s="459"/>
      <c r="D26" s="459">
        <f t="shared" si="0"/>
        <v>0</v>
      </c>
      <c r="E26" s="459">
        <f t="shared" si="0"/>
        <v>0</v>
      </c>
      <c r="F26" s="459"/>
      <c r="G26" s="459">
        <f t="shared" si="0"/>
        <v>0</v>
      </c>
      <c r="H26" s="459">
        <f t="shared" si="0"/>
        <v>0</v>
      </c>
      <c r="I26" s="459"/>
      <c r="J26" s="459"/>
      <c r="K26" s="459"/>
      <c r="L26" s="459"/>
      <c r="M26" s="459"/>
      <c r="N26" s="459"/>
      <c r="O26" s="459"/>
      <c r="P26" s="459"/>
    </row>
    <row r="27" spans="1:16" s="450" customFormat="1">
      <c r="A27" s="459" t="s">
        <v>570</v>
      </c>
      <c r="B27" s="459">
        <f>B26</f>
        <v>0</v>
      </c>
      <c r="C27" s="459"/>
      <c r="D27" s="459">
        <f>D26</f>
        <v>0</v>
      </c>
      <c r="E27" s="459">
        <f>E26</f>
        <v>0</v>
      </c>
      <c r="F27" s="459"/>
      <c r="G27" s="459">
        <f>(1-transport!C35)*'Eigen vloot'!G26</f>
        <v>0</v>
      </c>
      <c r="H27" s="459">
        <f>(1-transport!C42)*'Eigen vloot'!H26</f>
        <v>0</v>
      </c>
      <c r="I27" s="459"/>
      <c r="J27" s="459"/>
      <c r="K27" s="459"/>
      <c r="L27" s="459"/>
      <c r="M27" s="624">
        <f>G26*transport!C35+'Eigen vloot'!H26*transport!C42</f>
        <v>0</v>
      </c>
      <c r="N27" s="459"/>
      <c r="O27" s="459"/>
      <c r="P27" s="459"/>
    </row>
    <row r="29" spans="1:16">
      <c r="A29" s="464" t="s">
        <v>573</v>
      </c>
      <c r="B29" s="489">
        <f ca="1">'EF ele_warmte'!B12</f>
        <v>0.20990261360219245</v>
      </c>
      <c r="C29" s="489">
        <f ca="1">'EF ele_warmte'!B22</f>
        <v>0.23764705882352943</v>
      </c>
      <c r="D29" s="489">
        <f>EF_CO2_aardgas</f>
        <v>0.20200000000000001</v>
      </c>
      <c r="E29" s="489">
        <f>EF_VLgas_CO2</f>
        <v>0.22700000000000001</v>
      </c>
      <c r="F29" s="489">
        <f>EF_stookolie_CO2</f>
        <v>0.26700000000000002</v>
      </c>
      <c r="G29" s="489">
        <f>EF_diesel_CO2</f>
        <v>0.26700000000000002</v>
      </c>
      <c r="H29" s="489">
        <f>EF_benzine_CO2</f>
        <v>0.249</v>
      </c>
      <c r="I29" s="489">
        <f>EF_bruinkool_CO2</f>
        <v>0.35099999999999998</v>
      </c>
      <c r="J29" s="489">
        <f>EF_steenkool_CO2</f>
        <v>0.35399999999999998</v>
      </c>
      <c r="K29" s="489">
        <f>EF_anderfossiel_CO2</f>
        <v>0.26400000000000001</v>
      </c>
      <c r="L29" s="489">
        <f>'EF brandstof'!J4</f>
        <v>0</v>
      </c>
      <c r="M29" s="489">
        <f>'EF brandstof'!K4</f>
        <v>0</v>
      </c>
      <c r="N29" s="489">
        <f>'EF brandstof'!L4</f>
        <v>0</v>
      </c>
      <c r="O29" s="489">
        <v>0</v>
      </c>
      <c r="P29" s="489">
        <v>0</v>
      </c>
    </row>
    <row r="31" spans="1:16">
      <c r="A31" s="459" t="s">
        <v>206</v>
      </c>
      <c r="B31" s="625">
        <f ca="1">B27*B29</f>
        <v>0</v>
      </c>
      <c r="C31" s="625"/>
      <c r="D31" s="625">
        <f>D27*D29</f>
        <v>0</v>
      </c>
      <c r="E31" s="625">
        <f>E27*E29</f>
        <v>0</v>
      </c>
      <c r="F31" s="625"/>
      <c r="G31" s="625">
        <f>G27*G29</f>
        <v>0</v>
      </c>
      <c r="H31" s="625">
        <f>H27*H29</f>
        <v>0</v>
      </c>
      <c r="I31" s="625"/>
      <c r="J31" s="625"/>
      <c r="K31" s="625"/>
      <c r="L31" s="625"/>
      <c r="M31" s="625">
        <f>M27*M29</f>
        <v>0</v>
      </c>
      <c r="N31" s="487"/>
      <c r="O31" s="487"/>
      <c r="P31"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39" bestFit="1" customWidth="1"/>
    <col min="3" max="3" width="26" customWidth="1"/>
    <col min="4" max="4" width="69.42578125" customWidth="1"/>
  </cols>
  <sheetData>
    <row r="1" spans="1:11" s="43" customFormat="1" ht="15.75" thickBot="1">
      <c r="B1" s="441"/>
    </row>
    <row r="2" spans="1:11" s="43" customFormat="1">
      <c r="A2" s="180" t="s">
        <v>510</v>
      </c>
      <c r="B2" s="490"/>
      <c r="C2" s="181"/>
      <c r="D2" s="182"/>
    </row>
    <row r="3" spans="1:11">
      <c r="A3" s="101"/>
      <c r="B3" s="491"/>
      <c r="C3" s="140" t="s">
        <v>175</v>
      </c>
      <c r="D3" s="143" t="s">
        <v>378</v>
      </c>
    </row>
    <row r="4" spans="1:11">
      <c r="A4" s="44" t="s">
        <v>430</v>
      </c>
      <c r="B4" s="47"/>
      <c r="C4" s="32"/>
      <c r="D4" s="142" t="s">
        <v>380</v>
      </c>
    </row>
    <row r="5" spans="1:11">
      <c r="A5" s="44"/>
      <c r="B5" s="48"/>
      <c r="C5" s="32"/>
      <c r="D5" s="142"/>
    </row>
    <row r="6" spans="1:11" s="10" customFormat="1" ht="21.75" thickBot="1">
      <c r="A6" s="185" t="s">
        <v>463</v>
      </c>
      <c r="B6" s="492"/>
      <c r="C6" s="186"/>
      <c r="D6" s="187"/>
    </row>
    <row r="7" spans="1:11" s="43" customFormat="1" ht="15.75" thickBot="1">
      <c r="B7" s="441"/>
    </row>
    <row r="8" spans="1:11" s="43" customFormat="1">
      <c r="A8" s="180" t="s">
        <v>523</v>
      </c>
      <c r="B8" s="490"/>
      <c r="C8" s="181"/>
      <c r="D8" s="182"/>
    </row>
    <row r="9" spans="1:11" s="32" customFormat="1">
      <c r="A9" s="46"/>
      <c r="B9" s="493"/>
      <c r="C9" s="42"/>
      <c r="D9" s="293"/>
    </row>
    <row r="10" spans="1:11">
      <c r="A10" s="294" t="s">
        <v>552</v>
      </c>
      <c r="B10" s="491"/>
      <c r="C10" s="140" t="s">
        <v>175</v>
      </c>
      <c r="D10" s="143" t="s">
        <v>378</v>
      </c>
      <c r="I10" s="1142"/>
      <c r="K10" s="58"/>
    </row>
    <row r="11" spans="1:11" s="43" customFormat="1">
      <c r="A11" s="44" t="s">
        <v>553</v>
      </c>
      <c r="B11" s="47"/>
      <c r="D11" s="141" t="s">
        <v>379</v>
      </c>
      <c r="I11" s="1142"/>
      <c r="K11" s="58"/>
    </row>
    <row r="12" spans="1:11" s="43" customFormat="1">
      <c r="A12" s="44" t="s">
        <v>554</v>
      </c>
      <c r="B12" s="47"/>
      <c r="D12" s="141" t="s">
        <v>379</v>
      </c>
      <c r="I12" s="1142"/>
      <c r="K12" s="58"/>
    </row>
    <row r="13" spans="1:11" s="43" customFormat="1">
      <c r="A13" s="44"/>
      <c r="B13" s="441"/>
      <c r="D13" s="96"/>
      <c r="I13" s="1142"/>
    </row>
    <row r="14" spans="1:11" s="43" customFormat="1">
      <c r="A14" s="294" t="s">
        <v>551</v>
      </c>
      <c r="B14" s="491"/>
      <c r="C14" s="140" t="s">
        <v>175</v>
      </c>
      <c r="D14" s="143" t="s">
        <v>378</v>
      </c>
      <c r="I14" s="1142"/>
    </row>
    <row r="15" spans="1:11" s="43" customFormat="1">
      <c r="A15" s="44" t="s">
        <v>70</v>
      </c>
      <c r="B15" s="47"/>
      <c r="D15" s="141" t="s">
        <v>379</v>
      </c>
      <c r="I15" s="1142"/>
      <c r="J15" s="1142"/>
    </row>
    <row r="16" spans="1:11" s="43" customFormat="1">
      <c r="A16" s="44" t="s">
        <v>515</v>
      </c>
      <c r="B16" s="47"/>
      <c r="D16" s="141" t="s">
        <v>379</v>
      </c>
      <c r="I16" s="1142"/>
      <c r="J16" s="1142"/>
    </row>
    <row r="17" spans="1:11" s="43" customFormat="1">
      <c r="A17" s="44" t="s">
        <v>77</v>
      </c>
      <c r="B17" s="47"/>
      <c r="D17" s="141" t="s">
        <v>379</v>
      </c>
      <c r="I17" s="1142"/>
      <c r="J17" s="1142"/>
    </row>
    <row r="18" spans="1:11" s="43" customFormat="1">
      <c r="A18" s="44" t="s">
        <v>516</v>
      </c>
      <c r="B18" s="47"/>
      <c r="D18" s="141" t="s">
        <v>379</v>
      </c>
      <c r="I18" s="1142"/>
      <c r="J18" s="1142"/>
      <c r="K18" s="58"/>
    </row>
    <row r="19" spans="1:11" s="43" customFormat="1">
      <c r="A19" s="44" t="s">
        <v>76</v>
      </c>
      <c r="B19" s="47"/>
      <c r="D19" s="141" t="s">
        <v>379</v>
      </c>
      <c r="I19" s="1142"/>
      <c r="J19" s="1143"/>
      <c r="K19" s="58"/>
    </row>
    <row r="20" spans="1:11" s="43" customFormat="1">
      <c r="A20" s="32" t="s">
        <v>517</v>
      </c>
      <c r="B20" s="47"/>
      <c r="D20" s="141" t="s">
        <v>379</v>
      </c>
      <c r="I20" s="295"/>
      <c r="J20" s="296"/>
      <c r="K20" s="58"/>
    </row>
    <row r="21" spans="1:11" s="43" customFormat="1">
      <c r="A21" s="32" t="s">
        <v>518</v>
      </c>
      <c r="B21" s="47"/>
      <c r="D21" s="141" t="s">
        <v>379</v>
      </c>
      <c r="I21" s="295"/>
      <c r="J21" s="296"/>
      <c r="K21" s="58"/>
    </row>
    <row r="22" spans="1:11" s="43" customFormat="1">
      <c r="A22" s="32" t="s">
        <v>519</v>
      </c>
      <c r="B22" s="47"/>
      <c r="D22" s="141" t="s">
        <v>379</v>
      </c>
      <c r="I22" s="295"/>
      <c r="J22" s="296"/>
      <c r="K22" s="58"/>
    </row>
    <row r="23" spans="1:11">
      <c r="A23" s="32" t="s">
        <v>520</v>
      </c>
      <c r="B23" s="47"/>
      <c r="C23" s="43"/>
      <c r="D23" s="141" t="s">
        <v>379</v>
      </c>
      <c r="I23" s="58"/>
      <c r="J23" s="58"/>
      <c r="K23" s="58"/>
    </row>
    <row r="24" spans="1:11">
      <c r="A24" s="32" t="s">
        <v>521</v>
      </c>
      <c r="B24" s="47"/>
      <c r="C24" s="43"/>
      <c r="D24" s="141" t="s">
        <v>379</v>
      </c>
      <c r="I24" s="58"/>
      <c r="J24" s="58"/>
      <c r="K24" s="58"/>
    </row>
    <row r="25" spans="1:11">
      <c r="A25" s="58"/>
      <c r="B25" s="48"/>
      <c r="C25" s="43"/>
      <c r="D25" s="141"/>
      <c r="I25" s="58"/>
      <c r="J25" s="58"/>
      <c r="K25" s="58"/>
    </row>
    <row r="26" spans="1:11" ht="21.75" thickBot="1">
      <c r="A26" s="185" t="s">
        <v>562</v>
      </c>
      <c r="B26" s="494"/>
      <c r="C26" s="108"/>
      <c r="D26" s="109"/>
      <c r="I26" s="58"/>
      <c r="J26" s="58"/>
      <c r="K26" s="58"/>
    </row>
    <row r="28" spans="1:11" ht="15.75" thickBot="1"/>
    <row r="29" spans="1:11" s="43" customFormat="1">
      <c r="A29" s="180" t="s">
        <v>511</v>
      </c>
      <c r="B29" s="490"/>
      <c r="C29" s="181"/>
      <c r="D29" s="182"/>
    </row>
    <row r="30" spans="1:11" s="32" customFormat="1">
      <c r="A30" s="46"/>
      <c r="B30" s="493"/>
      <c r="C30" s="42"/>
      <c r="D30" s="293"/>
    </row>
    <row r="31" spans="1:11">
      <c r="A31" s="294" t="s">
        <v>552</v>
      </c>
      <c r="B31" s="491"/>
      <c r="C31" s="140" t="s">
        <v>175</v>
      </c>
      <c r="D31" s="143" t="s">
        <v>378</v>
      </c>
    </row>
    <row r="32" spans="1:11">
      <c r="A32" s="431" t="s">
        <v>553</v>
      </c>
      <c r="B32" s="47"/>
      <c r="C32" s="48"/>
      <c r="D32" s="141" t="s">
        <v>379</v>
      </c>
    </row>
    <row r="33" spans="1:11">
      <c r="A33" s="44"/>
      <c r="B33" s="48"/>
      <c r="C33" s="48"/>
      <c r="D33" s="141"/>
    </row>
    <row r="34" spans="1:11" s="43" customFormat="1">
      <c r="A34" s="294" t="s">
        <v>551</v>
      </c>
      <c r="B34" s="491"/>
      <c r="C34" s="140" t="s">
        <v>175</v>
      </c>
      <c r="D34" s="143" t="s">
        <v>378</v>
      </c>
      <c r="I34"/>
    </row>
    <row r="35" spans="1:11" s="43" customFormat="1">
      <c r="A35" s="430" t="s">
        <v>70</v>
      </c>
      <c r="B35" s="47"/>
      <c r="D35" s="141" t="s">
        <v>379</v>
      </c>
      <c r="I35" s="1142"/>
      <c r="J35" s="1142"/>
    </row>
    <row r="36" spans="1:11" s="43" customFormat="1">
      <c r="A36" s="430" t="s">
        <v>515</v>
      </c>
      <c r="B36" s="47"/>
      <c r="D36" s="141" t="s">
        <v>379</v>
      </c>
      <c r="I36" s="1142"/>
      <c r="J36" s="1142"/>
    </row>
    <row r="37" spans="1:11" s="43" customFormat="1">
      <c r="A37" s="430" t="s">
        <v>77</v>
      </c>
      <c r="B37" s="47"/>
      <c r="D37" s="141" t="s">
        <v>379</v>
      </c>
      <c r="I37" s="1142"/>
      <c r="J37" s="1142"/>
    </row>
    <row r="38" spans="1:11" s="43" customFormat="1">
      <c r="A38" s="430" t="s">
        <v>516</v>
      </c>
      <c r="B38" s="47"/>
      <c r="D38" s="141" t="s">
        <v>379</v>
      </c>
      <c r="I38" s="1142"/>
      <c r="J38" s="1142"/>
      <c r="K38" s="58"/>
    </row>
    <row r="39" spans="1:11" s="43" customFormat="1">
      <c r="A39" s="430" t="s">
        <v>76</v>
      </c>
      <c r="B39" s="47"/>
      <c r="D39" s="141" t="s">
        <v>379</v>
      </c>
      <c r="I39" s="1142"/>
      <c r="J39" s="1143"/>
      <c r="K39" s="58"/>
    </row>
    <row r="40" spans="1:11" s="43" customFormat="1">
      <c r="A40" s="177" t="s">
        <v>517</v>
      </c>
      <c r="B40" s="48"/>
      <c r="D40" s="141" t="s">
        <v>379</v>
      </c>
      <c r="I40" s="295"/>
      <c r="J40" s="296"/>
      <c r="K40" s="58"/>
    </row>
    <row r="41" spans="1:11" s="43" customFormat="1">
      <c r="A41" s="177" t="s">
        <v>518</v>
      </c>
      <c r="B41" s="47"/>
      <c r="D41" s="141" t="s">
        <v>379</v>
      </c>
      <c r="I41" s="295"/>
      <c r="J41" s="296"/>
      <c r="K41" s="58"/>
    </row>
    <row r="42" spans="1:11" s="43" customFormat="1">
      <c r="A42" s="177" t="s">
        <v>519</v>
      </c>
      <c r="B42" s="47"/>
      <c r="D42" s="141" t="s">
        <v>379</v>
      </c>
      <c r="I42" s="295"/>
      <c r="J42" s="296"/>
      <c r="K42" s="58"/>
    </row>
    <row r="43" spans="1:11">
      <c r="A43" s="177" t="s">
        <v>520</v>
      </c>
      <c r="B43" s="47"/>
      <c r="C43" s="43"/>
      <c r="D43" s="141" t="s">
        <v>379</v>
      </c>
      <c r="I43" s="58"/>
      <c r="J43" s="58"/>
      <c r="K43" s="58"/>
    </row>
    <row r="44" spans="1:11">
      <c r="A44" s="177" t="s">
        <v>521</v>
      </c>
      <c r="B44" s="47"/>
      <c r="C44" s="43"/>
      <c r="D44" s="141" t="s">
        <v>379</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377</v>
      </c>
      <c r="B48" s="490"/>
      <c r="C48" s="181"/>
      <c r="D48" s="182"/>
    </row>
    <row r="49" spans="1:4">
      <c r="A49" s="101"/>
      <c r="B49" s="491"/>
      <c r="C49" s="140" t="s">
        <v>175</v>
      </c>
      <c r="D49" s="143" t="s">
        <v>378</v>
      </c>
    </row>
    <row r="50" spans="1:4">
      <c r="A50" s="44" t="s">
        <v>555</v>
      </c>
      <c r="B50" s="47"/>
      <c r="C50" s="32"/>
      <c r="D50" s="142" t="s">
        <v>380</v>
      </c>
    </row>
    <row r="51" spans="1:4">
      <c r="A51" s="44" t="s">
        <v>556</v>
      </c>
      <c r="B51" s="47"/>
      <c r="C51" s="32"/>
      <c r="D51" s="142" t="s">
        <v>380</v>
      </c>
    </row>
    <row r="52" spans="1:4" ht="15.75" thickBot="1">
      <c r="A52" s="45"/>
      <c r="B52" s="183"/>
      <c r="C52" s="152"/>
      <c r="D52" s="188"/>
    </row>
    <row r="54" spans="1:4" ht="15.75" thickBot="1"/>
    <row r="55" spans="1:4" s="43" customFormat="1">
      <c r="A55" s="180" t="s">
        <v>512</v>
      </c>
      <c r="B55" s="490"/>
      <c r="C55" s="181"/>
      <c r="D55" s="182"/>
    </row>
    <row r="56" spans="1:4">
      <c r="A56" s="101"/>
      <c r="B56" s="491"/>
      <c r="C56" s="140" t="s">
        <v>175</v>
      </c>
      <c r="D56" s="143" t="s">
        <v>378</v>
      </c>
    </row>
    <row r="57" spans="1:4">
      <c r="A57" s="44" t="s">
        <v>557</v>
      </c>
      <c r="B57" s="47"/>
      <c r="C57" s="32"/>
      <c r="D57" s="141" t="s">
        <v>148</v>
      </c>
    </row>
    <row r="58" spans="1:4">
      <c r="A58" s="44" t="s">
        <v>558</v>
      </c>
      <c r="B58" s="47"/>
      <c r="C58" s="32"/>
      <c r="D58" s="141" t="s">
        <v>149</v>
      </c>
    </row>
    <row r="59" spans="1:4">
      <c r="A59" s="44" t="s">
        <v>559</v>
      </c>
      <c r="B59" s="47"/>
      <c r="C59" s="48"/>
      <c r="D59" s="141" t="s">
        <v>376</v>
      </c>
    </row>
    <row r="60" spans="1:4">
      <c r="A60" s="44" t="s">
        <v>560</v>
      </c>
      <c r="B60" s="47"/>
      <c r="C60" s="48"/>
      <c r="D60" s="141" t="s">
        <v>105</v>
      </c>
    </row>
    <row r="61" spans="1:4">
      <c r="A61" s="44"/>
      <c r="B61" s="48"/>
      <c r="C61" s="48"/>
      <c r="D61" s="141"/>
    </row>
    <row r="62" spans="1:4" ht="21.75" thickBot="1">
      <c r="A62" s="185" t="s">
        <v>514</v>
      </c>
      <c r="B62" s="183"/>
      <c r="C62" s="183"/>
      <c r="D62" s="184"/>
    </row>
    <row r="63" spans="1:4" s="43" customFormat="1">
      <c r="B63" s="44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428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441</v>
      </c>
      <c r="B6" s="129" t="s">
        <v>442</v>
      </c>
      <c r="C6" s="130" t="s">
        <v>444</v>
      </c>
    </row>
    <row r="7" spans="1:3" s="11" customFormat="1">
      <c r="A7" s="123"/>
      <c r="B7" s="157"/>
      <c r="C7" s="158" t="s">
        <v>574</v>
      </c>
    </row>
    <row r="8" spans="1:3" s="11" customFormat="1">
      <c r="A8" s="131"/>
      <c r="B8" s="132"/>
      <c r="C8" s="133"/>
    </row>
    <row r="9" spans="1:3" s="11" customFormat="1">
      <c r="A9" s="113" t="s">
        <v>443</v>
      </c>
      <c r="B9" s="129" t="s">
        <v>446</v>
      </c>
      <c r="C9" s="130" t="s">
        <v>499</v>
      </c>
    </row>
    <row r="10" spans="1:3" s="11" customFormat="1">
      <c r="A10" s="131"/>
      <c r="B10" s="132"/>
      <c r="C10" s="133"/>
    </row>
    <row r="11" spans="1:3" s="11" customFormat="1" ht="18">
      <c r="A11" s="113" t="s">
        <v>445</v>
      </c>
      <c r="B11" s="129" t="s">
        <v>447</v>
      </c>
      <c r="C11" s="155" t="s">
        <v>497</v>
      </c>
    </row>
    <row r="12" spans="1:3" s="11" customFormat="1">
      <c r="A12" s="131"/>
      <c r="B12" s="132"/>
      <c r="C12" s="133"/>
    </row>
    <row r="13" spans="1:3" s="11" customFormat="1" ht="18">
      <c r="A13" s="113" t="s">
        <v>448</v>
      </c>
      <c r="B13" s="129" t="s">
        <v>449</v>
      </c>
      <c r="C13" s="156" t="s">
        <v>498</v>
      </c>
    </row>
    <row r="14" spans="1:3" s="11" customFormat="1">
      <c r="A14" s="131"/>
      <c r="B14" s="132"/>
      <c r="C14" s="133"/>
    </row>
    <row r="15" spans="1:3" s="11" customFormat="1" ht="18">
      <c r="A15" s="113" t="s">
        <v>450</v>
      </c>
      <c r="B15" t="s">
        <v>454</v>
      </c>
      <c r="C15" s="130" t="s">
        <v>500</v>
      </c>
    </row>
    <row r="16" spans="1:3" s="11" customFormat="1">
      <c r="A16" s="131"/>
      <c r="B16" s="132"/>
      <c r="C16" s="133"/>
    </row>
    <row r="17" spans="1:3" s="11" customFormat="1" ht="30">
      <c r="A17" s="113" t="s">
        <v>380</v>
      </c>
      <c r="B17" s="129" t="s">
        <v>455</v>
      </c>
      <c r="C17" s="130" t="s">
        <v>501</v>
      </c>
    </row>
    <row r="18" spans="1:3" s="11" customFormat="1">
      <c r="A18" s="131"/>
      <c r="B18" s="132"/>
      <c r="C18" s="133" t="s">
        <v>451</v>
      </c>
    </row>
    <row r="19" spans="1:3" s="11" customFormat="1" ht="30">
      <c r="A19" s="113" t="s">
        <v>452</v>
      </c>
      <c r="B19" s="129" t="s">
        <v>456</v>
      </c>
      <c r="C19" s="130" t="s">
        <v>502</v>
      </c>
    </row>
    <row r="20" spans="1:3" s="11" customFormat="1">
      <c r="A20" s="131"/>
      <c r="B20" s="132"/>
      <c r="C20" s="133"/>
    </row>
    <row r="21" spans="1:3" s="11" customFormat="1" ht="30">
      <c r="A21" s="113" t="s">
        <v>453</v>
      </c>
      <c r="B21" s="129" t="s">
        <v>672</v>
      </c>
      <c r="C21" s="130" t="s">
        <v>565</v>
      </c>
    </row>
    <row r="22" spans="1:3" s="11" customFormat="1">
      <c r="A22" s="139"/>
      <c r="B22" s="157"/>
      <c r="C22" s="158"/>
    </row>
    <row r="23" spans="1:3" ht="21">
      <c r="A23" s="125" t="s">
        <v>458</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5" bestFit="1" customWidth="1"/>
    <col min="2" max="2" width="59.42578125" style="995" bestFit="1" customWidth="1"/>
    <col min="3" max="4" width="28.7109375" style="995" customWidth="1"/>
    <col min="5" max="5" width="44.28515625" style="995" customWidth="1"/>
    <col min="6" max="6" width="35" style="995" bestFit="1" customWidth="1"/>
    <col min="7" max="16384" width="9.140625" style="995"/>
  </cols>
  <sheetData>
    <row r="1" spans="1:6" ht="62.45" customHeight="1" thickTop="1" thickBot="1">
      <c r="A1" s="135" t="s">
        <v>882</v>
      </c>
      <c r="B1" s="1235">
        <v>2015</v>
      </c>
      <c r="C1" s="1236"/>
      <c r="D1" s="1236"/>
      <c r="E1" s="1236"/>
      <c r="F1" s="1237"/>
    </row>
    <row r="2" spans="1:6">
      <c r="A2" s="322"/>
      <c r="B2" s="322"/>
      <c r="C2" s="322"/>
      <c r="D2" s="322"/>
      <c r="E2" s="322"/>
      <c r="F2" s="322"/>
    </row>
    <row r="3" spans="1:6" ht="19.5">
      <c r="A3" s="1238" t="s">
        <v>0</v>
      </c>
      <c r="B3" s="322"/>
      <c r="C3" s="322"/>
      <c r="D3" s="322"/>
      <c r="E3" s="322"/>
      <c r="F3" s="322"/>
    </row>
    <row r="4" spans="1:6" ht="22.5">
      <c r="A4" s="1239" t="s">
        <v>882</v>
      </c>
      <c r="B4" s="322"/>
      <c r="C4" s="322"/>
      <c r="D4" s="322"/>
      <c r="E4" s="322"/>
      <c r="F4" s="322"/>
    </row>
    <row r="5" spans="1:6" ht="22.5">
      <c r="A5" s="1239" t="s">
        <v>883</v>
      </c>
      <c r="B5" s="322"/>
      <c r="C5" s="322"/>
      <c r="D5" s="322"/>
      <c r="E5" s="322"/>
      <c r="F5" s="322"/>
    </row>
    <row r="6" spans="1:6" ht="15.75" thickBot="1">
      <c r="A6" s="322"/>
      <c r="B6" s="322"/>
      <c r="C6" s="322"/>
      <c r="D6" s="322"/>
      <c r="E6" s="322"/>
      <c r="F6" s="322"/>
    </row>
    <row r="7" spans="1:6" ht="20.25" thickBot="1">
      <c r="A7" s="1240" t="s">
        <v>1</v>
      </c>
      <c r="B7" s="323"/>
      <c r="C7" s="323"/>
      <c r="D7" s="323"/>
      <c r="E7" s="323"/>
      <c r="F7" s="324"/>
    </row>
    <row r="8" spans="1:6" ht="16.5" thickTop="1" thickBot="1">
      <c r="A8" s="1241" t="s">
        <v>4</v>
      </c>
      <c r="B8" s="1242"/>
      <c r="C8" s="1242"/>
      <c r="D8" s="1236"/>
      <c r="E8" s="1236"/>
      <c r="F8" s="1237"/>
    </row>
    <row r="9" spans="1:6">
      <c r="A9" s="1243" t="s">
        <v>2</v>
      </c>
      <c r="B9" s="1244">
        <v>6283</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40" t="s">
        <v>3</v>
      </c>
      <c r="B12" s="323"/>
      <c r="C12" s="323"/>
      <c r="D12" s="323"/>
      <c r="E12" s="323"/>
      <c r="F12" s="327"/>
    </row>
    <row r="13" spans="1:6" ht="16.5" thickTop="1" thickBot="1">
      <c r="A13" s="1245" t="s">
        <v>4</v>
      </c>
      <c r="B13" s="1246" t="s">
        <v>5</v>
      </c>
      <c r="C13" s="1246"/>
      <c r="D13" s="1246"/>
      <c r="E13" s="1246"/>
      <c r="F13" s="1247"/>
    </row>
    <row r="14" spans="1:6">
      <c r="A14" s="1248" t="s">
        <v>644</v>
      </c>
      <c r="B14" s="1249">
        <v>4662.7000000000007</v>
      </c>
      <c r="C14" s="322"/>
      <c r="D14" s="322"/>
      <c r="E14" s="322"/>
      <c r="F14" s="322"/>
    </row>
    <row r="15" spans="1:6">
      <c r="A15" s="1248" t="s">
        <v>177</v>
      </c>
      <c r="B15" s="1249">
        <v>38</v>
      </c>
      <c r="C15" s="322"/>
      <c r="D15" s="322"/>
      <c r="E15" s="322"/>
      <c r="F15" s="322"/>
    </row>
    <row r="16" spans="1:6">
      <c r="A16" s="1248" t="s">
        <v>6</v>
      </c>
      <c r="B16" s="1249">
        <v>1171</v>
      </c>
      <c r="C16" s="322"/>
      <c r="D16" s="322"/>
      <c r="E16" s="322"/>
      <c r="F16" s="322"/>
    </row>
    <row r="17" spans="1:6">
      <c r="A17" s="1248" t="s">
        <v>7</v>
      </c>
      <c r="B17" s="1249">
        <v>1379</v>
      </c>
      <c r="C17" s="322"/>
      <c r="D17" s="322"/>
      <c r="E17" s="322"/>
      <c r="F17" s="322"/>
    </row>
    <row r="18" spans="1:6">
      <c r="A18" s="1248" t="s">
        <v>8</v>
      </c>
      <c r="B18" s="1249">
        <v>1710</v>
      </c>
      <c r="C18" s="322"/>
      <c r="D18" s="322"/>
      <c r="E18" s="322"/>
      <c r="F18" s="322"/>
    </row>
    <row r="19" spans="1:6">
      <c r="A19" s="1248" t="s">
        <v>9</v>
      </c>
      <c r="B19" s="1249">
        <v>1623</v>
      </c>
      <c r="C19" s="322"/>
      <c r="D19" s="322"/>
      <c r="E19" s="322"/>
      <c r="F19" s="322"/>
    </row>
    <row r="20" spans="1:6">
      <c r="A20" s="1248" t="s">
        <v>10</v>
      </c>
      <c r="B20" s="1249">
        <v>1248</v>
      </c>
      <c r="C20" s="322"/>
      <c r="D20" s="322"/>
      <c r="E20" s="322"/>
      <c r="F20" s="322"/>
    </row>
    <row r="21" spans="1:6">
      <c r="A21" s="1248" t="s">
        <v>11</v>
      </c>
      <c r="B21" s="1249">
        <v>6199</v>
      </c>
      <c r="C21" s="322"/>
      <c r="D21" s="322"/>
      <c r="E21" s="322"/>
      <c r="F21" s="322"/>
    </row>
    <row r="22" spans="1:6">
      <c r="A22" s="1248" t="s">
        <v>12</v>
      </c>
      <c r="B22" s="1249">
        <v>13664</v>
      </c>
      <c r="C22" s="322"/>
      <c r="D22" s="322"/>
      <c r="E22" s="322"/>
      <c r="F22" s="322"/>
    </row>
    <row r="23" spans="1:6">
      <c r="A23" s="1248" t="s">
        <v>13</v>
      </c>
      <c r="B23" s="1249">
        <v>324</v>
      </c>
      <c r="C23" s="322"/>
      <c r="D23" s="322"/>
      <c r="E23" s="322"/>
      <c r="F23" s="322"/>
    </row>
    <row r="24" spans="1:6">
      <c r="A24" s="1248" t="s">
        <v>14</v>
      </c>
      <c r="B24" s="1249">
        <v>22</v>
      </c>
      <c r="C24" s="322"/>
      <c r="D24" s="322"/>
      <c r="E24" s="322"/>
      <c r="F24" s="322"/>
    </row>
    <row r="25" spans="1:6">
      <c r="A25" s="1248" t="s">
        <v>15</v>
      </c>
      <c r="B25" s="1249">
        <v>2419</v>
      </c>
      <c r="C25" s="322"/>
      <c r="D25" s="322"/>
      <c r="E25" s="322"/>
      <c r="F25" s="322"/>
    </row>
    <row r="26" spans="1:6">
      <c r="A26" s="1248" t="s">
        <v>16</v>
      </c>
      <c r="B26" s="1249">
        <v>256</v>
      </c>
      <c r="C26" s="322"/>
      <c r="D26" s="322"/>
      <c r="E26" s="322"/>
      <c r="F26" s="322"/>
    </row>
    <row r="27" spans="1:6">
      <c r="A27" s="1248" t="s">
        <v>17</v>
      </c>
      <c r="B27" s="1249">
        <v>14</v>
      </c>
      <c r="C27" s="322"/>
      <c r="D27" s="322"/>
      <c r="E27" s="322"/>
      <c r="F27" s="322"/>
    </row>
    <row r="28" spans="1:6">
      <c r="A28" s="1248" t="s">
        <v>18</v>
      </c>
      <c r="B28" s="1250">
        <v>264707</v>
      </c>
      <c r="C28" s="322"/>
      <c r="D28" s="322"/>
      <c r="E28" s="322"/>
      <c r="F28" s="322"/>
    </row>
    <row r="29" spans="1:6">
      <c r="A29" s="1248" t="s">
        <v>884</v>
      </c>
      <c r="B29" s="1250">
        <v>301</v>
      </c>
      <c r="C29" s="322"/>
      <c r="D29" s="322"/>
      <c r="E29" s="322"/>
      <c r="F29" s="322"/>
    </row>
    <row r="30" spans="1:6">
      <c r="A30" s="1243" t="s">
        <v>885</v>
      </c>
      <c r="B30" s="1251">
        <v>36</v>
      </c>
      <c r="C30" s="325"/>
      <c r="D30" s="325"/>
      <c r="E30" s="325"/>
      <c r="F30" s="325"/>
    </row>
    <row r="31" spans="1:6" ht="15.75" thickBot="1">
      <c r="A31" s="326"/>
      <c r="B31" s="322"/>
      <c r="C31" s="322"/>
      <c r="D31" s="322"/>
      <c r="E31" s="322"/>
      <c r="F31" s="322"/>
    </row>
    <row r="32" spans="1:6" ht="20.25" thickBot="1">
      <c r="A32" s="1240" t="s">
        <v>19</v>
      </c>
      <c r="B32" s="323"/>
      <c r="C32" s="323"/>
      <c r="D32" s="323"/>
      <c r="E32" s="323"/>
      <c r="F32" s="327"/>
    </row>
    <row r="33" spans="1:6" ht="16.5" thickTop="1" thickBot="1">
      <c r="A33" s="1252"/>
      <c r="B33" s="1253"/>
      <c r="C33" s="1253"/>
      <c r="D33" s="1253"/>
      <c r="E33" s="1253" t="s">
        <v>20</v>
      </c>
      <c r="F33" s="1254"/>
    </row>
    <row r="34" spans="1:6" ht="16.5" thickTop="1" thickBot="1">
      <c r="A34" s="1255" t="s">
        <v>21</v>
      </c>
      <c r="B34" s="1256" t="s">
        <v>22</v>
      </c>
      <c r="C34" s="1256" t="s">
        <v>5</v>
      </c>
      <c r="D34" s="1256" t="s">
        <v>23</v>
      </c>
      <c r="E34" s="1256" t="s">
        <v>5</v>
      </c>
      <c r="F34" s="1257" t="s">
        <v>23</v>
      </c>
    </row>
    <row r="35" spans="1:6">
      <c r="A35" s="1248" t="s">
        <v>24</v>
      </c>
      <c r="B35" s="1248" t="s">
        <v>25</v>
      </c>
      <c r="C35" s="1249">
        <v>0</v>
      </c>
      <c r="D35" s="1249">
        <v>0</v>
      </c>
      <c r="E35" s="1249">
        <v>0</v>
      </c>
      <c r="F35" s="1249">
        <v>0</v>
      </c>
    </row>
    <row r="36" spans="1:6">
      <c r="A36" s="1248" t="s">
        <v>24</v>
      </c>
      <c r="B36" s="1248" t="s">
        <v>26</v>
      </c>
      <c r="C36" s="1249">
        <v>0</v>
      </c>
      <c r="D36" s="1249">
        <v>0</v>
      </c>
      <c r="E36" s="1249">
        <v>0</v>
      </c>
      <c r="F36" s="1249">
        <v>0</v>
      </c>
    </row>
    <row r="37" spans="1:6">
      <c r="A37" s="1248" t="s">
        <v>24</v>
      </c>
      <c r="B37" s="1248" t="s">
        <v>27</v>
      </c>
      <c r="C37" s="1249">
        <v>0</v>
      </c>
      <c r="D37" s="1249">
        <v>0</v>
      </c>
      <c r="E37" s="1249">
        <v>0</v>
      </c>
      <c r="F37" s="1249">
        <v>0</v>
      </c>
    </row>
    <row r="38" spans="1:6">
      <c r="A38" s="1248" t="s">
        <v>24</v>
      </c>
      <c r="B38" s="1248" t="s">
        <v>28</v>
      </c>
      <c r="C38" s="1249">
        <v>0</v>
      </c>
      <c r="D38" s="1249">
        <v>0</v>
      </c>
      <c r="E38" s="1249">
        <v>2</v>
      </c>
      <c r="F38" s="1249">
        <v>78794</v>
      </c>
    </row>
    <row r="39" spans="1:6">
      <c r="A39" s="1248" t="s">
        <v>29</v>
      </c>
      <c r="B39" s="1248" t="s">
        <v>30</v>
      </c>
      <c r="C39" s="1249">
        <v>2097</v>
      </c>
      <c r="D39" s="1249">
        <v>31977327.186999999</v>
      </c>
      <c r="E39" s="1249">
        <v>5833</v>
      </c>
      <c r="F39" s="1249">
        <v>26824191.215999998</v>
      </c>
    </row>
    <row r="40" spans="1:6">
      <c r="A40" s="1248" t="s">
        <v>29</v>
      </c>
      <c r="B40" s="1248" t="s">
        <v>28</v>
      </c>
      <c r="C40" s="1249">
        <v>0</v>
      </c>
      <c r="D40" s="1249">
        <v>0</v>
      </c>
      <c r="E40" s="1249">
        <v>0</v>
      </c>
      <c r="F40" s="1249">
        <v>0</v>
      </c>
    </row>
    <row r="41" spans="1:6">
      <c r="A41" s="1248" t="s">
        <v>31</v>
      </c>
      <c r="B41" s="1248" t="s">
        <v>32</v>
      </c>
      <c r="C41" s="1249">
        <v>30</v>
      </c>
      <c r="D41" s="1249">
        <v>731474.17322</v>
      </c>
      <c r="E41" s="1249">
        <v>187</v>
      </c>
      <c r="F41" s="1249">
        <v>4049645.9658000004</v>
      </c>
    </row>
    <row r="42" spans="1:6">
      <c r="A42" s="1248" t="s">
        <v>31</v>
      </c>
      <c r="B42" s="1248" t="s">
        <v>33</v>
      </c>
      <c r="C42" s="1249">
        <v>0</v>
      </c>
      <c r="D42" s="1249">
        <v>0</v>
      </c>
      <c r="E42" s="1249">
        <v>0</v>
      </c>
      <c r="F42" s="1249">
        <v>0</v>
      </c>
    </row>
    <row r="43" spans="1:6">
      <c r="A43" s="1248" t="s">
        <v>31</v>
      </c>
      <c r="B43" s="1248" t="s">
        <v>34</v>
      </c>
      <c r="C43" s="1249">
        <v>0</v>
      </c>
      <c r="D43" s="1249">
        <v>0</v>
      </c>
      <c r="E43" s="1249">
        <v>0</v>
      </c>
      <c r="F43" s="1249">
        <v>0</v>
      </c>
    </row>
    <row r="44" spans="1:6">
      <c r="A44" s="1248" t="s">
        <v>31</v>
      </c>
      <c r="B44" s="1248" t="s">
        <v>35</v>
      </c>
      <c r="C44" s="1249">
        <v>0</v>
      </c>
      <c r="D44" s="1249">
        <v>0</v>
      </c>
      <c r="E44" s="1249">
        <v>26</v>
      </c>
      <c r="F44" s="1249">
        <v>1432519.0654600002</v>
      </c>
    </row>
    <row r="45" spans="1:6">
      <c r="A45" s="1248" t="s">
        <v>31</v>
      </c>
      <c r="B45" s="1248" t="s">
        <v>36</v>
      </c>
      <c r="C45" s="1249">
        <v>0</v>
      </c>
      <c r="D45" s="1249">
        <v>0</v>
      </c>
      <c r="E45" s="1249">
        <v>0</v>
      </c>
      <c r="F45" s="1249">
        <v>0</v>
      </c>
    </row>
    <row r="46" spans="1:6">
      <c r="A46" s="1248" t="s">
        <v>31</v>
      </c>
      <c r="B46" s="1248" t="s">
        <v>37</v>
      </c>
      <c r="C46" s="1249">
        <v>0</v>
      </c>
      <c r="D46" s="1249">
        <v>0</v>
      </c>
      <c r="E46" s="1249">
        <v>0</v>
      </c>
      <c r="F46" s="1249">
        <v>0</v>
      </c>
    </row>
    <row r="47" spans="1:6">
      <c r="A47" s="1248" t="s">
        <v>31</v>
      </c>
      <c r="B47" s="1248" t="s">
        <v>38</v>
      </c>
      <c r="C47" s="1249">
        <v>0</v>
      </c>
      <c r="D47" s="1249">
        <v>0</v>
      </c>
      <c r="E47" s="1249">
        <v>3</v>
      </c>
      <c r="F47" s="1249">
        <v>1046245.4997</v>
      </c>
    </row>
    <row r="48" spans="1:6">
      <c r="A48" s="1248" t="s">
        <v>31</v>
      </c>
      <c r="B48" s="1248" t="s">
        <v>28</v>
      </c>
      <c r="C48" s="1249">
        <v>52</v>
      </c>
      <c r="D48" s="1249">
        <v>148579713.65360001</v>
      </c>
      <c r="E48" s="1249">
        <v>70</v>
      </c>
      <c r="F48" s="1249">
        <v>16214228.7292</v>
      </c>
    </row>
    <row r="49" spans="1:6">
      <c r="A49" s="1248" t="s">
        <v>31</v>
      </c>
      <c r="B49" s="1248" t="s">
        <v>39</v>
      </c>
      <c r="C49" s="1249">
        <v>0</v>
      </c>
      <c r="D49" s="1249">
        <v>0</v>
      </c>
      <c r="E49" s="1249">
        <v>6</v>
      </c>
      <c r="F49" s="1249">
        <v>108036814.37434401</v>
      </c>
    </row>
    <row r="50" spans="1:6">
      <c r="A50" s="1248" t="s">
        <v>31</v>
      </c>
      <c r="B50" s="1248" t="s">
        <v>40</v>
      </c>
      <c r="C50" s="1249">
        <v>3</v>
      </c>
      <c r="D50" s="1249">
        <v>41358.994793999998</v>
      </c>
      <c r="E50" s="1249">
        <v>20</v>
      </c>
      <c r="F50" s="1249">
        <v>11811701.15614</v>
      </c>
    </row>
    <row r="51" spans="1:6">
      <c r="A51" s="1248" t="s">
        <v>41</v>
      </c>
      <c r="B51" s="1248" t="s">
        <v>42</v>
      </c>
      <c r="C51" s="1249">
        <v>0</v>
      </c>
      <c r="D51" s="1249">
        <v>0</v>
      </c>
      <c r="E51" s="1249">
        <v>154</v>
      </c>
      <c r="F51" s="1249">
        <v>2741088.4319699998</v>
      </c>
    </row>
    <row r="52" spans="1:6">
      <c r="A52" s="1248" t="s">
        <v>41</v>
      </c>
      <c r="B52" s="1248" t="s">
        <v>28</v>
      </c>
      <c r="C52" s="1249">
        <v>9</v>
      </c>
      <c r="D52" s="1249">
        <v>628760.85278700001</v>
      </c>
      <c r="E52" s="1249">
        <v>9</v>
      </c>
      <c r="F52" s="1249">
        <v>432697.60381330003</v>
      </c>
    </row>
    <row r="53" spans="1:6">
      <c r="A53" s="1248" t="s">
        <v>43</v>
      </c>
      <c r="B53" s="1248" t="s">
        <v>44</v>
      </c>
      <c r="C53" s="1249">
        <v>44</v>
      </c>
      <c r="D53" s="1249">
        <v>641421.39244999993</v>
      </c>
      <c r="E53" s="1249">
        <v>208</v>
      </c>
      <c r="F53" s="1249">
        <v>885779.15142000001</v>
      </c>
    </row>
    <row r="54" spans="1:6">
      <c r="A54" s="1248" t="s">
        <v>45</v>
      </c>
      <c r="B54" s="1248" t="s">
        <v>46</v>
      </c>
      <c r="C54" s="1249">
        <v>0</v>
      </c>
      <c r="D54" s="1249">
        <v>0</v>
      </c>
      <c r="E54" s="1249">
        <v>2</v>
      </c>
      <c r="F54" s="1249">
        <v>1273327</v>
      </c>
    </row>
    <row r="55" spans="1:6">
      <c r="A55" s="1248" t="s">
        <v>45</v>
      </c>
      <c r="B55" s="1248" t="s">
        <v>28</v>
      </c>
      <c r="C55" s="1249">
        <v>0</v>
      </c>
      <c r="D55" s="1249">
        <v>0</v>
      </c>
      <c r="E55" s="1249">
        <v>0</v>
      </c>
      <c r="F55" s="1249">
        <v>0</v>
      </c>
    </row>
    <row r="56" spans="1:6">
      <c r="A56" s="1248" t="s">
        <v>47</v>
      </c>
      <c r="B56" s="1248" t="s">
        <v>28</v>
      </c>
      <c r="C56" s="1249">
        <v>0</v>
      </c>
      <c r="D56" s="1249">
        <v>0</v>
      </c>
      <c r="E56" s="1249">
        <v>0</v>
      </c>
      <c r="F56" s="1249">
        <v>0</v>
      </c>
    </row>
    <row r="57" spans="1:6">
      <c r="A57" s="1248" t="s">
        <v>48</v>
      </c>
      <c r="B57" s="1248" t="s">
        <v>49</v>
      </c>
      <c r="C57" s="1249">
        <v>21</v>
      </c>
      <c r="D57" s="1249">
        <v>1252023.2181600002</v>
      </c>
      <c r="E57" s="1249">
        <v>68</v>
      </c>
      <c r="F57" s="1249">
        <v>713686.72671999992</v>
      </c>
    </row>
    <row r="58" spans="1:6">
      <c r="A58" s="1248" t="s">
        <v>48</v>
      </c>
      <c r="B58" s="1248" t="s">
        <v>50</v>
      </c>
      <c r="C58" s="1249">
        <v>8</v>
      </c>
      <c r="D58" s="1249">
        <v>167101.71649299999</v>
      </c>
      <c r="E58" s="1249">
        <v>39</v>
      </c>
      <c r="F58" s="1249">
        <v>307328.21646000003</v>
      </c>
    </row>
    <row r="59" spans="1:6">
      <c r="A59" s="1248" t="s">
        <v>48</v>
      </c>
      <c r="B59" s="1248" t="s">
        <v>51</v>
      </c>
      <c r="C59" s="1249">
        <v>15</v>
      </c>
      <c r="D59" s="1249">
        <v>573740.90902499994</v>
      </c>
      <c r="E59" s="1249">
        <v>173</v>
      </c>
      <c r="F59" s="1249">
        <v>5192393.4939000001</v>
      </c>
    </row>
    <row r="60" spans="1:6">
      <c r="A60" s="1248" t="s">
        <v>48</v>
      </c>
      <c r="B60" s="1248" t="s">
        <v>52</v>
      </c>
      <c r="C60" s="1249">
        <v>22</v>
      </c>
      <c r="D60" s="1249">
        <v>634338.97983000008</v>
      </c>
      <c r="E60" s="1249">
        <v>68</v>
      </c>
      <c r="F60" s="1249">
        <v>2097543.3824100001</v>
      </c>
    </row>
    <row r="61" spans="1:6">
      <c r="A61" s="1248" t="s">
        <v>48</v>
      </c>
      <c r="B61" s="1248" t="s">
        <v>53</v>
      </c>
      <c r="C61" s="1249">
        <v>65</v>
      </c>
      <c r="D61" s="1249">
        <v>2339248.5330999997</v>
      </c>
      <c r="E61" s="1249">
        <v>224</v>
      </c>
      <c r="F61" s="1249">
        <v>2313577.33311</v>
      </c>
    </row>
    <row r="62" spans="1:6">
      <c r="A62" s="1248" t="s">
        <v>48</v>
      </c>
      <c r="B62" s="1248" t="s">
        <v>54</v>
      </c>
      <c r="C62" s="1249">
        <v>0</v>
      </c>
      <c r="D62" s="1249">
        <v>0</v>
      </c>
      <c r="E62" s="1249">
        <v>3</v>
      </c>
      <c r="F62" s="1249">
        <v>6160</v>
      </c>
    </row>
    <row r="63" spans="1:6">
      <c r="A63" s="1248" t="s">
        <v>48</v>
      </c>
      <c r="B63" s="1248" t="s">
        <v>28</v>
      </c>
      <c r="C63" s="1249">
        <v>131</v>
      </c>
      <c r="D63" s="1249">
        <v>11158364.1754</v>
      </c>
      <c r="E63" s="1249">
        <v>262</v>
      </c>
      <c r="F63" s="1249">
        <v>4774974.7358999997</v>
      </c>
    </row>
    <row r="64" spans="1:6">
      <c r="A64" s="1248" t="s">
        <v>55</v>
      </c>
      <c r="B64" s="1248" t="s">
        <v>56</v>
      </c>
      <c r="C64" s="1249">
        <v>0</v>
      </c>
      <c r="D64" s="1249">
        <v>0</v>
      </c>
      <c r="E64" s="1249">
        <v>0</v>
      </c>
      <c r="F64" s="1249">
        <v>0</v>
      </c>
    </row>
    <row r="65" spans="1:6">
      <c r="A65" s="1248" t="s">
        <v>55</v>
      </c>
      <c r="B65" s="1248" t="s">
        <v>28</v>
      </c>
      <c r="C65" s="1249">
        <v>1</v>
      </c>
      <c r="D65" s="1249">
        <v>44112.112825999997</v>
      </c>
      <c r="E65" s="1249">
        <v>2</v>
      </c>
      <c r="F65" s="1249">
        <v>10444.06033</v>
      </c>
    </row>
    <row r="66" spans="1:6">
      <c r="A66" s="1248" t="s">
        <v>55</v>
      </c>
      <c r="B66" s="1248" t="s">
        <v>57</v>
      </c>
      <c r="C66" s="1249">
        <v>0</v>
      </c>
      <c r="D66" s="1249">
        <v>0</v>
      </c>
      <c r="E66" s="1249">
        <v>11</v>
      </c>
      <c r="F66" s="1249">
        <v>492102.08474000002</v>
      </c>
    </row>
    <row r="67" spans="1:6">
      <c r="A67" s="1248" t="s">
        <v>55</v>
      </c>
      <c r="B67" s="1248" t="s">
        <v>58</v>
      </c>
      <c r="C67" s="1249">
        <v>0</v>
      </c>
      <c r="D67" s="1249">
        <v>0</v>
      </c>
      <c r="E67" s="1249">
        <v>0</v>
      </c>
      <c r="F67" s="1249">
        <v>0</v>
      </c>
    </row>
    <row r="68" spans="1:6">
      <c r="A68" s="1243" t="s">
        <v>55</v>
      </c>
      <c r="B68" s="1243" t="s">
        <v>59</v>
      </c>
      <c r="C68" s="1251">
        <v>0</v>
      </c>
      <c r="D68" s="1251">
        <v>0</v>
      </c>
      <c r="E68" s="1251">
        <v>9</v>
      </c>
      <c r="F68" s="1251">
        <v>178071.61120000001</v>
      </c>
    </row>
    <row r="69" spans="1:6" ht="15.75" thickBot="1">
      <c r="A69" s="326"/>
      <c r="B69" s="322"/>
      <c r="C69" s="322"/>
      <c r="D69" s="322"/>
      <c r="E69" s="322"/>
      <c r="F69" s="322"/>
    </row>
    <row r="70" spans="1:6" ht="19.5">
      <c r="A70" s="1240" t="s">
        <v>60</v>
      </c>
      <c r="B70" s="323"/>
      <c r="C70" s="323"/>
      <c r="D70" s="323"/>
      <c r="E70" s="323"/>
      <c r="F70" s="327"/>
    </row>
    <row r="71" spans="1:6" ht="20.25" thickBot="1">
      <c r="A71" s="1258"/>
      <c r="B71" s="1268"/>
      <c r="C71" s="1268"/>
      <c r="D71" s="1269" t="s">
        <v>431</v>
      </c>
      <c r="E71" s="1268"/>
      <c r="F71" s="329"/>
    </row>
    <row r="72" spans="1:6" ht="16.5" thickTop="1" thickBot="1">
      <c r="A72" s="1245" t="s">
        <v>61</v>
      </c>
      <c r="B72" s="1246" t="s">
        <v>62</v>
      </c>
      <c r="C72" s="1259" t="s">
        <v>642</v>
      </c>
      <c r="D72" s="1260"/>
      <c r="E72" s="1260"/>
      <c r="F72" s="1247"/>
    </row>
    <row r="73" spans="1:6">
      <c r="A73" s="1248" t="s">
        <v>63</v>
      </c>
      <c r="B73" s="1248" t="s">
        <v>625</v>
      </c>
      <c r="C73" s="1261" t="s">
        <v>627</v>
      </c>
      <c r="D73" s="1249">
        <v>105049324</v>
      </c>
      <c r="E73" s="439"/>
      <c r="F73" s="322"/>
    </row>
    <row r="74" spans="1:6">
      <c r="A74" s="1248" t="s">
        <v>63</v>
      </c>
      <c r="B74" s="1248" t="s">
        <v>626</v>
      </c>
      <c r="C74" s="1261" t="s">
        <v>628</v>
      </c>
      <c r="D74" s="1249">
        <v>10093783.544807877</v>
      </c>
      <c r="E74" s="439"/>
      <c r="F74" s="322"/>
    </row>
    <row r="75" spans="1:6">
      <c r="A75" s="1248" t="s">
        <v>64</v>
      </c>
      <c r="B75" s="1248" t="s">
        <v>625</v>
      </c>
      <c r="C75" s="1261" t="s">
        <v>629</v>
      </c>
      <c r="D75" s="1249">
        <v>23176688</v>
      </c>
      <c r="E75" s="439"/>
      <c r="F75" s="322"/>
    </row>
    <row r="76" spans="1:6">
      <c r="A76" s="1248" t="s">
        <v>64</v>
      </c>
      <c r="B76" s="1248" t="s">
        <v>626</v>
      </c>
      <c r="C76" s="1261" t="s">
        <v>630</v>
      </c>
      <c r="D76" s="1249">
        <v>622300.54480787693</v>
      </c>
      <c r="E76" s="439"/>
      <c r="F76" s="322"/>
    </row>
    <row r="77" spans="1:6">
      <c r="A77" s="1248" t="s">
        <v>65</v>
      </c>
      <c r="B77" s="1248" t="s">
        <v>625</v>
      </c>
      <c r="C77" s="1261" t="s">
        <v>631</v>
      </c>
      <c r="D77" s="1249">
        <v>176043985</v>
      </c>
      <c r="E77" s="439"/>
      <c r="F77" s="322"/>
    </row>
    <row r="78" spans="1:6">
      <c r="A78" s="1243" t="s">
        <v>65</v>
      </c>
      <c r="B78" s="1243" t="s">
        <v>626</v>
      </c>
      <c r="C78" s="1243" t="s">
        <v>632</v>
      </c>
      <c r="D78" s="1251">
        <v>47624615</v>
      </c>
      <c r="E78" s="1262"/>
      <c r="F78" s="325"/>
    </row>
    <row r="79" spans="1:6">
      <c r="A79" s="1263"/>
      <c r="B79" s="1263"/>
      <c r="C79" s="322"/>
      <c r="D79" s="322"/>
      <c r="E79" s="322"/>
      <c r="F79" s="322"/>
    </row>
    <row r="80" spans="1:6" ht="15.75" thickBot="1">
      <c r="A80" s="1263"/>
      <c r="B80" s="1263"/>
      <c r="C80" s="322"/>
      <c r="D80" s="322"/>
      <c r="E80" s="322"/>
      <c r="F80" s="322"/>
    </row>
    <row r="81" spans="1:6" ht="20.25" thickBot="1">
      <c r="A81" s="1240" t="s">
        <v>321</v>
      </c>
      <c r="B81" s="1264"/>
      <c r="C81" s="323"/>
      <c r="D81" s="323"/>
      <c r="E81" s="323"/>
      <c r="F81" s="327"/>
    </row>
    <row r="82" spans="1:6" ht="16.5" thickTop="1" thickBot="1">
      <c r="A82" s="1245" t="s">
        <v>322</v>
      </c>
      <c r="B82" s="1260"/>
      <c r="C82" s="1260"/>
      <c r="D82" s="1246"/>
      <c r="E82" s="1246"/>
      <c r="F82" s="1247"/>
    </row>
    <row r="83" spans="1:6">
      <c r="A83" s="1248" t="s">
        <v>323</v>
      </c>
      <c r="B83" s="1249">
        <v>190434.91038424612</v>
      </c>
      <c r="C83" s="439"/>
      <c r="D83" s="322"/>
      <c r="E83" s="322"/>
      <c r="F83" s="322"/>
    </row>
    <row r="84" spans="1:6">
      <c r="A84" s="1243" t="s">
        <v>324</v>
      </c>
      <c r="B84" s="1251">
        <v>0</v>
      </c>
      <c r="C84" s="1262"/>
      <c r="D84" s="325"/>
      <c r="E84" s="325"/>
      <c r="F84" s="325"/>
    </row>
    <row r="85" spans="1:6">
      <c r="A85" s="1263"/>
      <c r="B85" s="1265"/>
      <c r="C85" s="322"/>
      <c r="D85" s="322"/>
      <c r="E85" s="322"/>
      <c r="F85" s="322"/>
    </row>
    <row r="86" spans="1:6" ht="15.75" thickBot="1">
      <c r="A86" s="326"/>
      <c r="B86" s="322"/>
      <c r="C86" s="322"/>
      <c r="D86" s="322"/>
      <c r="E86" s="322"/>
      <c r="F86" s="322"/>
    </row>
    <row r="87" spans="1:6" ht="20.25" thickBot="1">
      <c r="A87" s="1240" t="s">
        <v>66</v>
      </c>
      <c r="B87" s="323"/>
      <c r="C87" s="323"/>
      <c r="D87" s="323"/>
      <c r="E87" s="323"/>
      <c r="F87" s="327"/>
    </row>
    <row r="88" spans="1:6" ht="16.5" thickTop="1" thickBot="1">
      <c r="A88" s="1245" t="s">
        <v>4</v>
      </c>
      <c r="B88" s="1246" t="s">
        <v>163</v>
      </c>
      <c r="C88" s="1246"/>
      <c r="D88" s="1246"/>
      <c r="E88" s="1246"/>
      <c r="F88" s="1247"/>
    </row>
    <row r="89" spans="1:6">
      <c r="A89" s="1248" t="s">
        <v>536</v>
      </c>
      <c r="B89" s="1249">
        <v>0</v>
      </c>
      <c r="C89" s="322"/>
      <c r="D89" s="322"/>
      <c r="E89" s="322"/>
      <c r="F89" s="322"/>
    </row>
    <row r="90" spans="1:6">
      <c r="A90" s="1248" t="s">
        <v>537</v>
      </c>
      <c r="B90" s="1249">
        <v>0</v>
      </c>
      <c r="C90" s="322"/>
      <c r="D90" s="322"/>
      <c r="E90" s="322"/>
      <c r="F90" s="322"/>
    </row>
    <row r="91" spans="1:6">
      <c r="A91" s="1248" t="s">
        <v>67</v>
      </c>
      <c r="B91" s="1249">
        <v>3460.1560952482123</v>
      </c>
      <c r="C91" s="322"/>
      <c r="D91" s="322"/>
      <c r="E91" s="322"/>
      <c r="F91" s="322"/>
    </row>
    <row r="92" spans="1:6">
      <c r="A92" s="1243" t="s">
        <v>68</v>
      </c>
      <c r="B92" s="1244">
        <v>6412.9137104504571</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40" t="s">
        <v>69</v>
      </c>
      <c r="B95" s="323"/>
      <c r="C95" s="323"/>
      <c r="D95" s="323"/>
      <c r="E95" s="323"/>
      <c r="F95" s="327"/>
    </row>
    <row r="96" spans="1:6" ht="16.5" thickTop="1" thickBot="1">
      <c r="A96" s="1245" t="s">
        <v>4</v>
      </c>
      <c r="B96" s="1246" t="s">
        <v>5</v>
      </c>
      <c r="C96" s="1246"/>
      <c r="D96" s="1246"/>
      <c r="E96" s="1246"/>
      <c r="F96" s="1247"/>
    </row>
    <row r="97" spans="1:6">
      <c r="A97" s="1248" t="s">
        <v>70</v>
      </c>
      <c r="B97" s="1249">
        <v>432</v>
      </c>
      <c r="C97" s="322"/>
      <c r="D97" s="322"/>
      <c r="E97" s="322"/>
      <c r="F97" s="322"/>
    </row>
    <row r="98" spans="1:6">
      <c r="A98" s="1248" t="s">
        <v>71</v>
      </c>
      <c r="B98" s="1249">
        <v>0</v>
      </c>
      <c r="C98" s="322"/>
      <c r="D98" s="322"/>
      <c r="E98" s="322"/>
      <c r="F98" s="322"/>
    </row>
    <row r="99" spans="1:6">
      <c r="A99" s="1248" t="s">
        <v>72</v>
      </c>
      <c r="B99" s="1249">
        <v>143</v>
      </c>
      <c r="C99" s="322"/>
      <c r="D99" s="322"/>
      <c r="E99" s="322"/>
      <c r="F99" s="322"/>
    </row>
    <row r="100" spans="1:6">
      <c r="A100" s="1248" t="s">
        <v>73</v>
      </c>
      <c r="B100" s="1249">
        <v>608</v>
      </c>
      <c r="C100" s="322"/>
      <c r="D100" s="322"/>
      <c r="E100" s="322"/>
      <c r="F100" s="322"/>
    </row>
    <row r="101" spans="1:6">
      <c r="A101" s="1248" t="s">
        <v>74</v>
      </c>
      <c r="B101" s="1249">
        <v>139</v>
      </c>
      <c r="C101" s="322"/>
      <c r="D101" s="322"/>
      <c r="E101" s="322"/>
      <c r="F101" s="322"/>
    </row>
    <row r="102" spans="1:6">
      <c r="A102" s="1248" t="s">
        <v>75</v>
      </c>
      <c r="B102" s="1249">
        <v>101</v>
      </c>
      <c r="C102" s="322"/>
      <c r="D102" s="322"/>
      <c r="E102" s="322"/>
      <c r="F102" s="322"/>
    </row>
    <row r="103" spans="1:6">
      <c r="A103" s="1248" t="s">
        <v>76</v>
      </c>
      <c r="B103" s="1249">
        <v>230</v>
      </c>
      <c r="C103" s="322"/>
      <c r="D103" s="322"/>
      <c r="E103" s="322"/>
      <c r="F103" s="322"/>
    </row>
    <row r="104" spans="1:6">
      <c r="A104" s="1248" t="s">
        <v>77</v>
      </c>
      <c r="B104" s="1249">
        <v>3777</v>
      </c>
      <c r="C104" s="322"/>
      <c r="D104" s="322"/>
      <c r="E104" s="322"/>
      <c r="F104" s="322"/>
    </row>
    <row r="105" spans="1:6">
      <c r="A105" s="1243" t="s">
        <v>78</v>
      </c>
      <c r="B105" s="1251">
        <v>10</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40" t="s">
        <v>610</v>
      </c>
      <c r="B108" s="323"/>
      <c r="C108" s="323"/>
      <c r="D108" s="323"/>
      <c r="E108" s="323"/>
      <c r="F108" s="327"/>
    </row>
    <row r="109" spans="1:6" ht="16.5" thickTop="1" thickBot="1">
      <c r="A109" s="1245" t="s">
        <v>4</v>
      </c>
      <c r="B109" s="1246" t="s">
        <v>5</v>
      </c>
      <c r="C109" s="1246"/>
      <c r="D109" s="1246"/>
      <c r="E109" s="1246"/>
      <c r="F109" s="1247"/>
    </row>
    <row r="110" spans="1:6">
      <c r="A110" s="1248" t="s">
        <v>611</v>
      </c>
      <c r="B110" s="1249">
        <v>1</v>
      </c>
      <c r="C110" s="322"/>
      <c r="D110" s="322"/>
      <c r="E110" s="322"/>
      <c r="F110" s="322"/>
    </row>
    <row r="111" spans="1:6">
      <c r="A111" s="1266" t="s">
        <v>612</v>
      </c>
      <c r="B111" s="1267">
        <v>0</v>
      </c>
      <c r="C111" s="1270"/>
      <c r="D111" s="1270"/>
      <c r="E111" s="1270"/>
      <c r="F111" s="1270"/>
    </row>
    <row r="112" spans="1:6">
      <c r="A112" s="1248"/>
      <c r="B112" s="322"/>
      <c r="C112" s="322"/>
      <c r="D112" s="322"/>
      <c r="E112" s="322"/>
      <c r="F112" s="322"/>
    </row>
    <row r="113" spans="1:6" ht="15.75" thickBot="1">
      <c r="A113" s="1243"/>
      <c r="B113" s="325"/>
      <c r="C113" s="325"/>
      <c r="D113" s="325"/>
      <c r="E113" s="325"/>
      <c r="F113" s="325"/>
    </row>
    <row r="114" spans="1:6" ht="20.25" thickBot="1">
      <c r="A114" s="1240" t="s">
        <v>79</v>
      </c>
      <c r="B114" s="323"/>
      <c r="C114" s="323"/>
      <c r="D114" s="323"/>
      <c r="E114" s="323"/>
      <c r="F114" s="327"/>
    </row>
    <row r="115" spans="1:6" ht="16.5" thickTop="1" thickBot="1">
      <c r="A115" s="330"/>
      <c r="B115" s="331" t="s">
        <v>80</v>
      </c>
      <c r="C115" s="331" t="s">
        <v>81</v>
      </c>
      <c r="D115" s="331"/>
      <c r="E115" s="331"/>
      <c r="F115" s="332"/>
    </row>
    <row r="116" spans="1:6" ht="16.5" thickTop="1" thickBot="1">
      <c r="A116" s="1245" t="s">
        <v>4</v>
      </c>
      <c r="B116" s="1246" t="s">
        <v>5</v>
      </c>
      <c r="C116" s="1246" t="s">
        <v>5</v>
      </c>
      <c r="D116" s="1246"/>
      <c r="E116" s="1246"/>
      <c r="F116" s="1247"/>
    </row>
    <row r="117" spans="1:6">
      <c r="A117" s="1248" t="s">
        <v>82</v>
      </c>
      <c r="B117" s="1249">
        <v>0</v>
      </c>
      <c r="C117" s="1249">
        <v>0</v>
      </c>
      <c r="D117" s="322"/>
      <c r="E117" s="322"/>
      <c r="F117" s="322"/>
    </row>
    <row r="118" spans="1:6">
      <c r="A118" s="1248" t="s">
        <v>83</v>
      </c>
      <c r="B118" s="1249">
        <v>0</v>
      </c>
      <c r="C118" s="1249">
        <v>0</v>
      </c>
      <c r="D118" s="322"/>
      <c r="E118" s="322"/>
      <c r="F118" s="322"/>
    </row>
    <row r="119" spans="1:6">
      <c r="A119" s="1248" t="s">
        <v>31</v>
      </c>
      <c r="B119" s="1249">
        <v>0</v>
      </c>
      <c r="C119" s="1249">
        <v>0</v>
      </c>
      <c r="D119" s="322"/>
      <c r="E119" s="322"/>
      <c r="F119" s="322"/>
    </row>
    <row r="120" spans="1:6">
      <c r="A120" s="1248" t="s">
        <v>84</v>
      </c>
      <c r="B120" s="1249">
        <v>0</v>
      </c>
      <c r="C120" s="1249">
        <v>0</v>
      </c>
      <c r="D120" s="322"/>
      <c r="E120" s="322"/>
      <c r="F120" s="322"/>
    </row>
    <row r="121" spans="1:6">
      <c r="A121" s="1248" t="s">
        <v>85</v>
      </c>
      <c r="B121" s="1249">
        <v>0</v>
      </c>
      <c r="C121" s="1249">
        <v>0</v>
      </c>
      <c r="D121" s="322"/>
      <c r="E121" s="322"/>
      <c r="F121" s="322"/>
    </row>
    <row r="122" spans="1:6">
      <c r="A122" s="1248" t="s">
        <v>86</v>
      </c>
      <c r="B122" s="1249">
        <v>0</v>
      </c>
      <c r="C122" s="1249">
        <v>0</v>
      </c>
      <c r="D122" s="322"/>
      <c r="E122" s="322"/>
      <c r="F122" s="322"/>
    </row>
    <row r="123" spans="1:6">
      <c r="A123" s="1248" t="s">
        <v>87</v>
      </c>
      <c r="B123" s="1249">
        <v>34</v>
      </c>
      <c r="C123" s="1249">
        <v>21</v>
      </c>
      <c r="D123" s="322"/>
      <c r="E123" s="322"/>
      <c r="F123" s="322"/>
    </row>
    <row r="124" spans="1:6">
      <c r="A124" s="1248" t="s">
        <v>88</v>
      </c>
      <c r="B124" s="1249">
        <v>0</v>
      </c>
      <c r="C124" s="1249">
        <v>3</v>
      </c>
      <c r="D124" s="322"/>
      <c r="E124" s="322"/>
      <c r="F124" s="322"/>
    </row>
    <row r="125" spans="1:6">
      <c r="A125" s="1243" t="s">
        <v>832</v>
      </c>
      <c r="B125" s="1249">
        <v>0</v>
      </c>
      <c r="C125" s="1249">
        <v>0</v>
      </c>
      <c r="D125" s="322"/>
      <c r="E125" s="322"/>
      <c r="F125" s="322"/>
    </row>
    <row r="126" spans="1:6" ht="15.75" thickBot="1">
      <c r="A126" s="1263"/>
      <c r="B126" s="322"/>
      <c r="C126" s="322"/>
      <c r="D126" s="322"/>
      <c r="E126" s="322"/>
      <c r="F126" s="322"/>
    </row>
    <row r="127" spans="1:6" ht="20.25" thickBot="1">
      <c r="A127" s="1240" t="s">
        <v>282</v>
      </c>
      <c r="B127" s="323"/>
      <c r="C127" s="323"/>
      <c r="D127" s="323"/>
      <c r="E127" s="323"/>
      <c r="F127" s="327"/>
    </row>
    <row r="128" spans="1:6" ht="16.5" thickTop="1" thickBot="1">
      <c r="A128" s="1245" t="s">
        <v>4</v>
      </c>
      <c r="B128" s="1246" t="s">
        <v>5</v>
      </c>
      <c r="C128" s="1246"/>
      <c r="D128" s="1246"/>
      <c r="E128" s="1246"/>
      <c r="F128" s="1247"/>
    </row>
    <row r="129" spans="1:6">
      <c r="A129" s="1248" t="s">
        <v>283</v>
      </c>
      <c r="B129" s="1249">
        <v>177</v>
      </c>
      <c r="C129" s="322"/>
      <c r="D129" s="322"/>
      <c r="E129" s="322"/>
      <c r="F129" s="322"/>
    </row>
    <row r="130" spans="1:6">
      <c r="A130" s="1248" t="s">
        <v>284</v>
      </c>
      <c r="B130" s="1249">
        <v>5</v>
      </c>
      <c r="C130" s="322"/>
      <c r="D130" s="322"/>
      <c r="E130" s="322"/>
      <c r="F130" s="322"/>
    </row>
    <row r="131" spans="1:6">
      <c r="A131" s="1248" t="s">
        <v>285</v>
      </c>
      <c r="B131" s="1249">
        <v>6</v>
      </c>
      <c r="C131" s="322"/>
      <c r="D131" s="322"/>
      <c r="E131" s="322"/>
      <c r="F131" s="322"/>
    </row>
    <row r="132" spans="1:6">
      <c r="A132" s="1243" t="s">
        <v>286</v>
      </c>
      <c r="B132" s="1244">
        <v>29</v>
      </c>
      <c r="C132" s="325"/>
      <c r="D132" s="325"/>
      <c r="E132" s="325"/>
      <c r="F132" s="325"/>
    </row>
    <row r="133" spans="1:6">
      <c r="A133" s="322"/>
      <c r="B133" s="322"/>
      <c r="C133" s="322"/>
      <c r="D133" s="322"/>
      <c r="E133" s="322"/>
      <c r="F133" s="322"/>
    </row>
    <row r="134" spans="1:6">
      <c r="A134" s="1265"/>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09" customWidth="1"/>
    <col min="7" max="7" width="26.5703125" bestFit="1" customWidth="1"/>
  </cols>
  <sheetData>
    <row r="1" spans="1:12" ht="18.75" thickBot="1">
      <c r="A1" s="121" t="s">
        <v>173</v>
      </c>
      <c r="B1" s="495"/>
      <c r="E1" s="621"/>
      <c r="F1" s="621"/>
    </row>
    <row r="2" spans="1:12">
      <c r="A2" s="44" t="s">
        <v>833</v>
      </c>
      <c r="B2" s="496"/>
      <c r="E2" s="621"/>
      <c r="F2" s="621"/>
    </row>
    <row r="3" spans="1:12">
      <c r="A3" s="44"/>
      <c r="B3" s="496"/>
      <c r="E3" s="621"/>
      <c r="F3" s="621"/>
    </row>
    <row r="4" spans="1:12" ht="18">
      <c r="A4" s="136" t="s">
        <v>174</v>
      </c>
      <c r="B4" s="497" t="s">
        <v>375</v>
      </c>
      <c r="E4" s="621"/>
      <c r="F4" s="621"/>
    </row>
    <row r="5" spans="1:12" ht="21">
      <c r="A5" s="116" t="s">
        <v>176</v>
      </c>
      <c r="B5" s="498"/>
      <c r="E5" s="829"/>
      <c r="F5" s="830"/>
      <c r="G5" s="839"/>
      <c r="H5" s="839"/>
      <c r="I5" s="9"/>
      <c r="J5" s="9"/>
    </row>
    <row r="6" spans="1:12">
      <c r="A6" s="117" t="s">
        <v>177</v>
      </c>
      <c r="B6" s="499">
        <v>4.0513950503279288</v>
      </c>
      <c r="E6" s="831"/>
      <c r="F6" s="831"/>
      <c r="G6" s="840"/>
      <c r="H6" s="840"/>
      <c r="I6" s="10"/>
      <c r="J6" s="10"/>
      <c r="K6" s="10"/>
      <c r="L6" s="10"/>
    </row>
    <row r="7" spans="1:12">
      <c r="A7" s="117" t="s">
        <v>6</v>
      </c>
      <c r="B7" s="499">
        <v>124.35430923372053</v>
      </c>
      <c r="E7" s="621"/>
      <c r="F7" s="621"/>
      <c r="G7" s="841"/>
      <c r="H7" s="841"/>
      <c r="K7" s="10"/>
      <c r="L7" s="10"/>
    </row>
    <row r="8" spans="1:12">
      <c r="A8" s="117" t="s">
        <v>7</v>
      </c>
      <c r="B8" s="499">
        <v>69.052164792078656</v>
      </c>
      <c r="E8" s="621"/>
      <c r="F8" s="621"/>
      <c r="G8" s="841"/>
      <c r="H8" s="841"/>
      <c r="K8" s="10"/>
      <c r="L8" s="10"/>
    </row>
    <row r="9" spans="1:12">
      <c r="A9" s="117" t="s">
        <v>8</v>
      </c>
      <c r="B9" s="499">
        <v>31.909886478760505</v>
      </c>
      <c r="E9" s="831"/>
      <c r="F9" s="831"/>
      <c r="G9" s="840"/>
      <c r="H9" s="840"/>
      <c r="I9" s="10"/>
      <c r="J9" s="10"/>
      <c r="K9" s="10"/>
      <c r="L9" s="10"/>
    </row>
    <row r="10" spans="1:12">
      <c r="A10" s="117" t="s">
        <v>9</v>
      </c>
      <c r="B10" s="499">
        <v>47.900718217356051</v>
      </c>
      <c r="E10" s="832"/>
      <c r="F10" s="832"/>
      <c r="G10" s="842"/>
      <c r="H10" s="842"/>
      <c r="I10" s="11"/>
      <c r="J10" s="11"/>
      <c r="K10" s="10"/>
      <c r="L10" s="10"/>
    </row>
    <row r="11" spans="1:12">
      <c r="A11" s="117" t="s">
        <v>10</v>
      </c>
      <c r="B11" s="499">
        <v>41.361552447157969</v>
      </c>
      <c r="E11" s="621"/>
      <c r="F11" s="832"/>
      <c r="G11" s="842"/>
      <c r="H11" s="842"/>
      <c r="I11" s="11"/>
      <c r="J11" s="11"/>
      <c r="K11" s="10"/>
      <c r="L11" s="10"/>
    </row>
    <row r="12" spans="1:12">
      <c r="A12" s="118" t="s">
        <v>16</v>
      </c>
      <c r="B12" s="499">
        <v>8</v>
      </c>
      <c r="E12" s="832"/>
      <c r="F12" s="831"/>
      <c r="G12" s="840"/>
      <c r="H12" s="840"/>
      <c r="I12" s="10"/>
      <c r="J12" s="10"/>
      <c r="K12" s="10"/>
      <c r="L12" s="10"/>
    </row>
    <row r="13" spans="1:12">
      <c r="A13" s="118" t="s">
        <v>17</v>
      </c>
      <c r="B13" s="499">
        <v>5</v>
      </c>
      <c r="E13" s="831"/>
      <c r="F13" s="831"/>
      <c r="G13" s="840"/>
      <c r="H13" s="840"/>
      <c r="I13" s="10"/>
      <c r="J13" s="10"/>
      <c r="K13" s="10"/>
      <c r="L13" s="10"/>
    </row>
    <row r="14" spans="1:12">
      <c r="A14" s="118" t="s">
        <v>178</v>
      </c>
      <c r="B14" s="499">
        <v>1.5</v>
      </c>
      <c r="E14" s="831"/>
      <c r="F14" s="831"/>
      <c r="G14" s="840"/>
      <c r="H14" s="840"/>
      <c r="I14" s="10"/>
      <c r="J14" s="10"/>
      <c r="K14" s="10"/>
      <c r="L14" s="10"/>
    </row>
    <row r="15" spans="1:12">
      <c r="A15" s="118" t="s">
        <v>179</v>
      </c>
      <c r="B15" s="499">
        <v>18</v>
      </c>
      <c r="E15" s="831"/>
      <c r="F15" s="831"/>
      <c r="G15" s="840"/>
      <c r="H15" s="840"/>
      <c r="I15" s="10"/>
      <c r="J15" s="10"/>
      <c r="K15" s="10"/>
      <c r="L15" s="10"/>
    </row>
    <row r="16" spans="1:12">
      <c r="A16" s="118" t="s">
        <v>180</v>
      </c>
      <c r="B16" s="500">
        <v>10</v>
      </c>
      <c r="E16" s="831"/>
      <c r="F16" s="831"/>
      <c r="G16" s="840"/>
      <c r="H16" s="840"/>
      <c r="I16" s="10"/>
      <c r="J16" s="10"/>
      <c r="K16" s="10"/>
      <c r="L16" s="10"/>
    </row>
    <row r="17" spans="1:12" s="43" customFormat="1" ht="15.75" thickBot="1">
      <c r="A17" s="119"/>
      <c r="B17" s="501"/>
      <c r="E17" s="833"/>
      <c r="F17" s="833"/>
      <c r="G17" s="153"/>
      <c r="H17" s="153"/>
      <c r="I17" s="153"/>
      <c r="J17" s="153"/>
      <c r="K17" s="153"/>
      <c r="L17" s="153"/>
    </row>
    <row r="18" spans="1:12" s="43" customFormat="1" ht="15.75" thickBot="1">
      <c r="A18" s="191"/>
      <c r="B18" s="502"/>
      <c r="E18" s="833"/>
      <c r="F18" s="833"/>
      <c r="G18" s="153"/>
      <c r="H18" s="153"/>
      <c r="I18" s="153"/>
      <c r="J18" s="153"/>
      <c r="K18" s="153"/>
      <c r="L18" s="153"/>
    </row>
    <row r="19" spans="1:12" ht="18.75" thickBot="1">
      <c r="A19" s="121" t="s">
        <v>181</v>
      </c>
      <c r="B19" s="495"/>
      <c r="E19" s="831"/>
      <c r="F19" s="831"/>
      <c r="G19" s="10"/>
      <c r="H19" s="10"/>
      <c r="I19" s="10"/>
      <c r="J19" s="10"/>
      <c r="K19" s="10"/>
      <c r="L19" s="10"/>
    </row>
    <row r="20" spans="1:12">
      <c r="A20" s="44" t="s">
        <v>833</v>
      </c>
      <c r="B20" s="496"/>
      <c r="E20" s="831"/>
      <c r="F20" s="831"/>
      <c r="G20" s="10"/>
      <c r="H20" s="10"/>
      <c r="I20" s="10"/>
      <c r="J20" s="10"/>
      <c r="K20" s="10"/>
      <c r="L20" s="10"/>
    </row>
    <row r="21" spans="1:12">
      <c r="A21" s="44"/>
      <c r="B21" s="496"/>
      <c r="E21" s="831"/>
      <c r="F21" s="831"/>
      <c r="G21" s="10"/>
      <c r="H21" s="10"/>
      <c r="I21" s="10"/>
      <c r="J21" s="10"/>
      <c r="K21" s="10"/>
      <c r="L21" s="10"/>
    </row>
    <row r="22" spans="1:12" ht="18">
      <c r="A22" s="137" t="s">
        <v>174</v>
      </c>
      <c r="B22" s="503" t="s">
        <v>375</v>
      </c>
      <c r="E22" s="831"/>
      <c r="F22" s="831"/>
      <c r="G22" s="10"/>
      <c r="H22" s="10"/>
      <c r="I22" s="10"/>
      <c r="J22" s="10"/>
      <c r="K22" s="10"/>
      <c r="L22" s="10"/>
    </row>
    <row r="23" spans="1:12" s="72" customFormat="1">
      <c r="A23" s="118" t="s">
        <v>176</v>
      </c>
      <c r="B23" s="499">
        <v>8.9909283006617677</v>
      </c>
      <c r="E23" s="834"/>
      <c r="F23" s="834"/>
      <c r="G23" s="843"/>
      <c r="H23" s="843"/>
    </row>
    <row r="24" spans="1:12">
      <c r="A24" s="117" t="s">
        <v>177</v>
      </c>
      <c r="B24" s="499">
        <v>4.2231090152811745</v>
      </c>
      <c r="E24" s="831"/>
      <c r="F24" s="831"/>
      <c r="G24" s="840"/>
      <c r="H24" s="840"/>
      <c r="I24" s="10"/>
      <c r="J24" s="10"/>
      <c r="K24" s="10"/>
      <c r="L24" s="10"/>
    </row>
    <row r="25" spans="1:12">
      <c r="A25" s="117" t="s">
        <v>6</v>
      </c>
      <c r="B25" s="499">
        <v>30.922150125677359</v>
      </c>
      <c r="E25" s="831"/>
      <c r="F25" s="831"/>
      <c r="G25" s="840"/>
      <c r="H25" s="840"/>
      <c r="I25" s="10"/>
      <c r="J25" s="10"/>
      <c r="K25" s="10"/>
      <c r="L25" s="10"/>
    </row>
    <row r="26" spans="1:12">
      <c r="A26" s="117" t="s">
        <v>7</v>
      </c>
      <c r="B26" s="499">
        <v>1.9445658785242814</v>
      </c>
      <c r="E26" s="831"/>
      <c r="F26" s="831"/>
      <c r="G26" s="840"/>
      <c r="H26" s="840"/>
      <c r="I26" s="10"/>
      <c r="J26" s="10"/>
      <c r="K26" s="10"/>
      <c r="L26" s="10"/>
    </row>
    <row r="27" spans="1:12">
      <c r="A27" s="117" t="s">
        <v>8</v>
      </c>
      <c r="B27" s="499">
        <v>1.1993683996109175</v>
      </c>
      <c r="E27" s="831"/>
      <c r="F27" s="831"/>
      <c r="G27" s="840"/>
      <c r="H27" s="840"/>
      <c r="I27" s="10"/>
      <c r="J27" s="10"/>
      <c r="K27" s="10"/>
      <c r="L27" s="10"/>
    </row>
    <row r="28" spans="1:12">
      <c r="A28" s="117" t="s">
        <v>9</v>
      </c>
      <c r="B28" s="499">
        <v>5.0655067831320864</v>
      </c>
      <c r="E28" s="831"/>
      <c r="F28" s="831"/>
      <c r="G28" s="840"/>
      <c r="H28" s="840"/>
      <c r="I28" s="10"/>
      <c r="J28" s="10"/>
      <c r="K28" s="10"/>
      <c r="L28" s="10"/>
    </row>
    <row r="29" spans="1:12">
      <c r="A29" s="117" t="s">
        <v>10</v>
      </c>
      <c r="B29" s="499">
        <v>3.3232292777158938</v>
      </c>
      <c r="E29" s="831"/>
      <c r="F29" s="831"/>
      <c r="G29" s="840"/>
      <c r="H29" s="840"/>
      <c r="I29" s="10"/>
      <c r="J29" s="10"/>
      <c r="K29" s="10"/>
      <c r="L29" s="10"/>
    </row>
    <row r="30" spans="1:12">
      <c r="A30" s="118" t="s">
        <v>178</v>
      </c>
      <c r="B30" s="499">
        <v>4.4609056123055773</v>
      </c>
      <c r="E30" s="831"/>
      <c r="F30" s="831"/>
      <c r="G30" s="840"/>
      <c r="H30" s="840"/>
      <c r="I30" s="10"/>
      <c r="J30" s="10"/>
      <c r="K30" s="10"/>
      <c r="L30" s="10"/>
    </row>
    <row r="31" spans="1:12">
      <c r="A31" s="117" t="s">
        <v>11</v>
      </c>
      <c r="B31" s="499">
        <v>1.6075002802320004</v>
      </c>
      <c r="E31" s="831"/>
      <c r="F31" s="831"/>
      <c r="G31" s="840"/>
      <c r="H31" s="840"/>
      <c r="I31" s="10"/>
      <c r="J31" s="10"/>
      <c r="K31" s="10"/>
      <c r="L31" s="10"/>
    </row>
    <row r="32" spans="1:12">
      <c r="A32" s="117" t="s">
        <v>12</v>
      </c>
      <c r="B32" s="499">
        <v>4.8225008406960006</v>
      </c>
      <c r="E32" s="831"/>
      <c r="F32" s="831"/>
      <c r="G32" s="840"/>
      <c r="H32" s="840"/>
      <c r="I32" s="10"/>
      <c r="J32" s="10"/>
      <c r="K32" s="10"/>
      <c r="L32" s="10"/>
    </row>
    <row r="33" spans="1:14">
      <c r="A33" s="117" t="s">
        <v>13</v>
      </c>
      <c r="B33" s="499">
        <v>6.3685027042560023</v>
      </c>
      <c r="E33" s="831"/>
      <c r="F33" s="831"/>
      <c r="G33" s="840"/>
      <c r="H33" s="840"/>
      <c r="I33" s="10"/>
      <c r="J33" s="10"/>
      <c r="K33" s="10"/>
      <c r="L33" s="10"/>
    </row>
    <row r="34" spans="1:14">
      <c r="A34" s="117" t="s">
        <v>14</v>
      </c>
      <c r="B34" s="499">
        <v>4.6362973013280016</v>
      </c>
      <c r="E34" s="831"/>
      <c r="F34" s="831"/>
      <c r="G34" s="840"/>
      <c r="H34" s="840"/>
      <c r="I34" s="10"/>
      <c r="J34" s="10"/>
      <c r="K34" s="10"/>
      <c r="L34" s="10"/>
    </row>
    <row r="35" spans="1:14">
      <c r="A35" s="117" t="s">
        <v>15</v>
      </c>
      <c r="B35" s="499">
        <v>12.338973989496003</v>
      </c>
      <c r="E35" s="831"/>
      <c r="F35" s="831"/>
      <c r="G35" s="840"/>
      <c r="H35" s="840"/>
      <c r="I35" s="10"/>
      <c r="J35" s="10"/>
      <c r="K35" s="10"/>
      <c r="L35" s="10"/>
    </row>
    <row r="36" spans="1:14">
      <c r="A36" s="118" t="s">
        <v>16</v>
      </c>
      <c r="B36" s="499">
        <v>0.19</v>
      </c>
      <c r="E36" s="831"/>
      <c r="F36" s="831"/>
      <c r="G36" s="840"/>
      <c r="H36" s="840"/>
      <c r="I36" s="10"/>
      <c r="J36" s="10"/>
      <c r="K36" s="10"/>
      <c r="L36" s="10"/>
    </row>
    <row r="37" spans="1:14">
      <c r="A37" s="118" t="s">
        <v>17</v>
      </c>
      <c r="B37" s="499">
        <v>0.13</v>
      </c>
      <c r="E37" s="621"/>
      <c r="F37" s="621"/>
      <c r="G37" s="841"/>
      <c r="H37" s="841"/>
    </row>
    <row r="38" spans="1:14">
      <c r="A38" s="118" t="s">
        <v>179</v>
      </c>
      <c r="B38" s="499">
        <v>1.5600000000000003</v>
      </c>
      <c r="E38" s="621"/>
      <c r="F38" s="621"/>
      <c r="G38" s="841"/>
      <c r="H38" s="841"/>
    </row>
    <row r="39" spans="1:14">
      <c r="A39" s="118" t="s">
        <v>180</v>
      </c>
      <c r="B39" s="499">
        <v>0.76</v>
      </c>
      <c r="E39" s="621"/>
      <c r="F39" s="621"/>
      <c r="G39" s="841"/>
      <c r="H39" s="841"/>
    </row>
    <row r="40" spans="1:14">
      <c r="A40" s="118" t="s">
        <v>18</v>
      </c>
      <c r="B40" s="500">
        <v>2.3578179597688972E-2</v>
      </c>
      <c r="E40" s="621"/>
      <c r="F40" s="621"/>
      <c r="G40" s="841"/>
      <c r="H40" s="841"/>
    </row>
    <row r="41" spans="1:14" ht="15.75" thickBot="1">
      <c r="A41" s="119"/>
      <c r="B41" s="504"/>
      <c r="E41" s="621"/>
      <c r="F41" s="621"/>
    </row>
    <row r="42" spans="1:14" s="43" customFormat="1" ht="15.75" thickBot="1">
      <c r="A42" s="192"/>
      <c r="B42" s="502"/>
      <c r="E42" s="835"/>
      <c r="F42" s="835"/>
      <c r="G42" s="193"/>
      <c r="H42" s="193"/>
      <c r="I42" s="193"/>
      <c r="J42" s="193"/>
      <c r="K42" s="193"/>
      <c r="L42" s="193"/>
      <c r="M42" s="193"/>
      <c r="N42" s="193"/>
    </row>
    <row r="43" spans="1:14" ht="15.75" thickBot="1">
      <c r="A43" s="121" t="s">
        <v>182</v>
      </c>
      <c r="B43" s="505"/>
      <c r="E43" s="621"/>
      <c r="F43" s="621"/>
    </row>
    <row r="44" spans="1:14">
      <c r="A44" s="44" t="s">
        <v>660</v>
      </c>
      <c r="B44" s="496"/>
      <c r="E44" s="621"/>
      <c r="F44" s="621"/>
    </row>
    <row r="45" spans="1:14">
      <c r="A45" s="44"/>
      <c r="B45" s="496"/>
      <c r="E45" s="621"/>
      <c r="F45" s="621"/>
    </row>
    <row r="46" spans="1:14" ht="18">
      <c r="A46" s="136" t="s">
        <v>183</v>
      </c>
      <c r="B46" s="497" t="s">
        <v>563</v>
      </c>
      <c r="E46" s="621"/>
      <c r="F46" s="621"/>
    </row>
    <row r="47" spans="1:14">
      <c r="A47" s="116" t="s">
        <v>184</v>
      </c>
      <c r="B47" s="506">
        <v>0.89674432482591948</v>
      </c>
      <c r="E47" s="621"/>
      <c r="F47" s="621"/>
    </row>
    <row r="48" spans="1:14">
      <c r="A48" s="118" t="s">
        <v>185</v>
      </c>
      <c r="B48" s="499">
        <v>0.91973434485529515</v>
      </c>
      <c r="E48" s="621"/>
      <c r="F48" s="621"/>
    </row>
    <row r="49" spans="1:12">
      <c r="A49" s="118" t="s">
        <v>178</v>
      </c>
      <c r="B49" s="499">
        <v>3.0877193202846927E-2</v>
      </c>
      <c r="E49" s="621"/>
      <c r="F49" s="621"/>
    </row>
    <row r="50" spans="1:12">
      <c r="A50" s="118" t="s">
        <v>18</v>
      </c>
      <c r="B50" s="499">
        <v>9.5501620569307048E-4</v>
      </c>
      <c r="E50" s="831"/>
      <c r="F50" s="831"/>
      <c r="G50" s="10"/>
      <c r="H50" s="10"/>
      <c r="I50" s="10"/>
      <c r="J50" s="10"/>
      <c r="K50" s="10"/>
      <c r="L50" s="10"/>
    </row>
    <row r="51" spans="1:12">
      <c r="A51" s="118" t="s">
        <v>16</v>
      </c>
      <c r="B51" s="499">
        <v>6.4577115766632142E-3</v>
      </c>
      <c r="E51" s="831"/>
      <c r="F51" s="831"/>
      <c r="G51" s="10"/>
      <c r="H51" s="10"/>
      <c r="I51" s="10"/>
      <c r="J51" s="10"/>
      <c r="K51" s="10"/>
      <c r="L51" s="10"/>
    </row>
    <row r="52" spans="1:12" ht="15.75" thickBot="1">
      <c r="A52" s="119" t="s">
        <v>120</v>
      </c>
      <c r="B52" s="507">
        <v>9.5369064624692981E-2</v>
      </c>
      <c r="E52" s="621"/>
      <c r="F52" s="621"/>
    </row>
    <row r="53" spans="1:12">
      <c r="B53" s="50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39" customWidth="1"/>
    <col min="3" max="3" width="70.28515625" style="512" customWidth="1"/>
  </cols>
  <sheetData>
    <row r="1" spans="1:3" s="322" customFormat="1" ht="15.75" thickBot="1">
      <c r="A1" s="356" t="s">
        <v>591</v>
      </c>
      <c r="B1" s="510"/>
      <c r="C1" s="511"/>
    </row>
    <row r="2" spans="1:3" s="322" customFormat="1">
      <c r="A2" s="360"/>
      <c r="B2" s="476"/>
      <c r="C2" s="513"/>
    </row>
    <row r="3" spans="1:3" s="322" customFormat="1">
      <c r="A3" s="358"/>
      <c r="B3" s="514">
        <v>2015</v>
      </c>
      <c r="C3" s="361" t="s">
        <v>175</v>
      </c>
    </row>
    <row r="4" spans="1:3">
      <c r="A4" s="120" t="s">
        <v>290</v>
      </c>
      <c r="B4" s="515">
        <f>4443371.28968977/1000</f>
        <v>4443.3712896897696</v>
      </c>
      <c r="C4" s="138" t="s">
        <v>661</v>
      </c>
    </row>
    <row r="5" spans="1:3" ht="15.75" thickBot="1">
      <c r="A5" s="852" t="s">
        <v>590</v>
      </c>
      <c r="B5" s="855">
        <v>673536</v>
      </c>
      <c r="C5" s="856" t="s">
        <v>643</v>
      </c>
    </row>
    <row r="11" spans="1:3">
      <c r="B11" s="72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6" t="s">
        <v>432</v>
      </c>
      <c r="B1" s="357"/>
    </row>
    <row r="2" spans="1:2" s="322" customFormat="1">
      <c r="A2" s="348"/>
      <c r="B2" s="355"/>
    </row>
    <row r="3" spans="1:2" s="322" customFormat="1" ht="18">
      <c r="A3" s="358"/>
      <c r="B3" s="359" t="s">
        <v>435</v>
      </c>
    </row>
    <row r="4" spans="1:2" ht="18">
      <c r="A4" s="120" t="s">
        <v>433</v>
      </c>
      <c r="B4" s="516">
        <v>310</v>
      </c>
    </row>
    <row r="5" spans="1:2" ht="18.75" thickBot="1">
      <c r="A5" s="115" t="s">
        <v>434</v>
      </c>
      <c r="B5" s="517">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280</v>
      </c>
    </row>
    <row r="2" spans="1:13" s="322" customFormat="1">
      <c r="A2" s="348" t="s">
        <v>422</v>
      </c>
      <c r="B2" s="328"/>
      <c r="C2" s="328"/>
      <c r="D2" s="328"/>
      <c r="E2" s="328"/>
      <c r="F2" s="328"/>
      <c r="G2" s="328"/>
      <c r="H2" s="328"/>
      <c r="I2" s="328"/>
      <c r="J2" s="328"/>
      <c r="K2" s="328"/>
      <c r="L2" s="328"/>
      <c r="M2" s="355"/>
    </row>
    <row r="3" spans="1:13">
      <c r="A3" s="44"/>
      <c r="B3" s="43"/>
      <c r="C3" s="43"/>
      <c r="D3" s="43"/>
      <c r="E3" s="43"/>
      <c r="F3" s="43"/>
      <c r="G3" s="43"/>
      <c r="H3" s="43"/>
      <c r="I3" s="43"/>
      <c r="J3" s="43"/>
      <c r="K3" s="43"/>
      <c r="L3" s="43"/>
      <c r="M3" s="96"/>
    </row>
    <row r="4" spans="1:13" ht="15.75" thickBot="1">
      <c r="A4" s="206" t="s">
        <v>423</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5" customWidth="1"/>
    <col min="3" max="3" width="12" style="815" customWidth="1"/>
    <col min="4" max="4" width="9.140625" style="815"/>
    <col min="5" max="5" width="50.42578125" style="815" customWidth="1"/>
    <col min="6" max="6" width="19.28515625" style="815" customWidth="1"/>
    <col min="7" max="7" width="9.140625" style="815"/>
    <col min="8" max="8" width="23.42578125" style="815" customWidth="1"/>
    <col min="9" max="10" width="9.140625" style="815"/>
    <col min="11" max="11" width="80.140625" style="815" customWidth="1"/>
    <col min="12" max="16384" width="9.140625" style="815"/>
  </cols>
  <sheetData>
    <row r="1" spans="1:11">
      <c r="A1" s="347" t="s">
        <v>474</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492</v>
      </c>
      <c r="B3" s="49">
        <f ca="1">IF(ISERROR('SEAP template'!C27),0,'SEAP template'!C27)</f>
        <v>194867.84806361404</v>
      </c>
      <c r="C3" s="43" t="s">
        <v>163</v>
      </c>
      <c r="D3" s="43"/>
      <c r="E3" s="153"/>
      <c r="F3" s="43"/>
      <c r="G3" s="43"/>
      <c r="H3" s="43"/>
      <c r="I3" s="43"/>
      <c r="J3" s="43"/>
      <c r="K3" s="96"/>
    </row>
    <row r="4" spans="1:11">
      <c r="A4" s="348" t="s">
        <v>164</v>
      </c>
      <c r="B4" s="49">
        <f>IF(ISERROR('SEAP template'!B78+'SEAP template'!C78),0,'SEAP template'!B78+'SEAP template'!C78)</f>
        <v>11039.91980569867</v>
      </c>
      <c r="C4" s="43" t="s">
        <v>163</v>
      </c>
      <c r="D4" s="43"/>
      <c r="E4" s="43"/>
      <c r="F4" s="43"/>
      <c r="G4" s="43"/>
      <c r="H4" s="43"/>
      <c r="I4" s="43"/>
      <c r="J4" s="43"/>
      <c r="K4" s="96"/>
    </row>
    <row r="5" spans="1:11">
      <c r="A5" s="348" t="s">
        <v>524</v>
      </c>
      <c r="B5" s="49">
        <f>IF(ISERROR('Eigen informatie GS &amp; warmtenet'!B4),0,'Eigen informatie GS &amp; warmtenet'!B4)</f>
        <v>0</v>
      </c>
      <c r="C5" s="43" t="s">
        <v>163</v>
      </c>
      <c r="D5" s="43"/>
      <c r="E5" s="43"/>
      <c r="F5" s="43"/>
      <c r="G5" s="43"/>
      <c r="H5" s="43"/>
      <c r="I5" s="43"/>
      <c r="J5" s="43"/>
      <c r="K5" s="96"/>
    </row>
    <row r="6" spans="1:11">
      <c r="A6" s="348" t="s">
        <v>165</v>
      </c>
      <c r="B6" s="519">
        <f>E6</f>
        <v>0.221</v>
      </c>
      <c r="C6" s="43" t="s">
        <v>166</v>
      </c>
      <c r="D6" s="43"/>
      <c r="E6" s="860">
        <v>0.221</v>
      </c>
      <c r="F6" s="43" t="s">
        <v>713</v>
      </c>
      <c r="G6" s="43" t="s">
        <v>727</v>
      </c>
      <c r="H6" s="43"/>
      <c r="I6" s="43"/>
      <c r="J6" s="43"/>
      <c r="K6" s="96"/>
    </row>
    <row r="7" spans="1:11">
      <c r="A7" s="348"/>
      <c r="B7" s="441"/>
      <c r="C7" s="43"/>
      <c r="D7" s="43"/>
      <c r="E7" s="43"/>
      <c r="F7" s="48"/>
      <c r="G7" s="43"/>
      <c r="H7" s="43"/>
      <c r="I7" s="43"/>
      <c r="J7" s="43"/>
      <c r="K7" s="96"/>
    </row>
    <row r="8" spans="1:11">
      <c r="A8" s="348"/>
      <c r="B8" s="441"/>
      <c r="C8" s="43"/>
      <c r="D8" s="43"/>
      <c r="E8" s="43"/>
      <c r="F8" s="48"/>
      <c r="G8" s="43"/>
      <c r="H8" s="859"/>
      <c r="I8" s="154"/>
      <c r="J8" s="43"/>
      <c r="K8" s="96"/>
    </row>
    <row r="9" spans="1:11">
      <c r="A9" s="348" t="s">
        <v>168</v>
      </c>
      <c r="B9" s="49">
        <f>IF(ISERROR('SEAP template'!Q78),0,'SEAP template'!Q78)</f>
        <v>277.29847058823532</v>
      </c>
      <c r="C9" s="43" t="s">
        <v>167</v>
      </c>
      <c r="D9" s="43"/>
      <c r="E9" s="43"/>
      <c r="F9" s="43"/>
      <c r="G9" s="43"/>
      <c r="H9" s="43"/>
      <c r="I9" s="43"/>
      <c r="J9" s="43"/>
      <c r="K9" s="96"/>
    </row>
    <row r="10" spans="1:11">
      <c r="A10" s="348" t="s">
        <v>397</v>
      </c>
      <c r="B10" s="48">
        <v>0</v>
      </c>
      <c r="C10" s="43" t="s">
        <v>167</v>
      </c>
      <c r="D10" s="153"/>
      <c r="E10" s="43"/>
      <c r="F10" s="43"/>
      <c r="G10" s="43"/>
      <c r="H10" s="43"/>
      <c r="I10" s="43"/>
      <c r="J10" s="43"/>
      <c r="K10" s="96"/>
    </row>
    <row r="11" spans="1:11">
      <c r="A11" s="348"/>
      <c r="B11" s="441"/>
      <c r="C11" s="43"/>
      <c r="D11" s="43"/>
      <c r="E11" s="43"/>
      <c r="F11" s="43"/>
      <c r="G11" s="43"/>
      <c r="H11" s="43"/>
      <c r="I11" s="43"/>
      <c r="J11" s="43"/>
      <c r="K11" s="96"/>
    </row>
    <row r="12" spans="1:11">
      <c r="A12" s="349" t="s">
        <v>169</v>
      </c>
      <c r="B12" s="518">
        <f ca="1">IF((B4+B5)&gt;B3,(B9+B10)/(B4+B5),((B3-B4-B5)*B6+B9+B10)/B3)</f>
        <v>0.20990261360219245</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8"/>
    </row>
    <row r="15" spans="1:11">
      <c r="A15" s="351" t="s">
        <v>475</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396.14067226890762</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291</v>
      </c>
      <c r="B19" s="49">
        <f>IF(ISERROR('Eigen informatie GS &amp; warmtenet'!B53),0,'Eigen informatie GS &amp; warmtenet'!B53)</f>
        <v>0</v>
      </c>
      <c r="C19" s="43" t="s">
        <v>167</v>
      </c>
      <c r="D19" s="43"/>
      <c r="E19" s="43"/>
      <c r="F19" s="43"/>
      <c r="G19" s="43"/>
      <c r="H19" s="43"/>
      <c r="I19" s="43"/>
      <c r="J19" s="43"/>
      <c r="K19" s="96"/>
    </row>
    <row r="20" spans="1:11">
      <c r="A20" s="348" t="s">
        <v>493</v>
      </c>
      <c r="B20" s="49">
        <f ca="1">IF(ISERROR('SEAP template'!D27),0,('SEAP template'!D27))</f>
        <v>1666.9285714285716</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0">
        <f ca="1">IF(B20=0,0,(B17+B18-B19)/B20)</f>
        <v>0.23764705882352943</v>
      </c>
      <c r="C22" s="43" t="s">
        <v>166</v>
      </c>
      <c r="K22" s="96"/>
    </row>
    <row r="23" spans="1:11" ht="15.75" thickBot="1">
      <c r="A23" s="350"/>
      <c r="B23" s="108"/>
      <c r="C23" s="108"/>
      <c r="D23" s="108"/>
      <c r="E23" s="108"/>
      <c r="F23" s="108"/>
      <c r="G23" s="108"/>
      <c r="H23" s="108"/>
      <c r="I23" s="108"/>
      <c r="J23" s="108"/>
      <c r="K23" s="109"/>
    </row>
    <row r="34" spans="1:1">
      <c r="A34" s="322"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6"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6" t="s">
        <v>642</v>
      </c>
      <c r="B1" s="816" t="s">
        <v>297</v>
      </c>
      <c r="C1" s="816" t="s">
        <v>301</v>
      </c>
      <c r="D1" s="816" t="s">
        <v>302</v>
      </c>
      <c r="E1" s="816" t="s">
        <v>303</v>
      </c>
      <c r="F1" s="816" t="s">
        <v>304</v>
      </c>
      <c r="H1" s="1005" t="s">
        <v>879</v>
      </c>
    </row>
    <row r="2" spans="1:8">
      <c r="A2" s="306" t="str">
        <f>CONCATENATE(TableECFTransport[[#This Row],[Voertuigtype]],"_",TableECFTransport[[#This Row],[Wegtype]],"_",TableECFTransport[[#This Row],[Brandstoftechnologie]],"_",TableECFTransport[[#This Row],[Brandstof]])</f>
        <v>Tram_gemiddeld_Electric_Electric</v>
      </c>
      <c r="B2" s="1004" t="s">
        <v>318</v>
      </c>
      <c r="C2" s="1004" t="s">
        <v>329</v>
      </c>
      <c r="D2" s="1004" t="s">
        <v>299</v>
      </c>
      <c r="E2" s="1004" t="s">
        <v>299</v>
      </c>
      <c r="F2" s="1003">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04" t="s">
        <v>625</v>
      </c>
      <c r="C3" s="1004" t="s">
        <v>64</v>
      </c>
      <c r="D3" s="1004" t="s">
        <v>838</v>
      </c>
      <c r="E3" s="1004" t="s">
        <v>839</v>
      </c>
      <c r="F3" s="1003">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04" t="s">
        <v>625</v>
      </c>
      <c r="C4" s="1004" t="s">
        <v>63</v>
      </c>
      <c r="D4" s="1004" t="s">
        <v>838</v>
      </c>
      <c r="E4" s="1004" t="s">
        <v>839</v>
      </c>
      <c r="F4" s="1003">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04" t="s">
        <v>625</v>
      </c>
      <c r="C5" s="1004" t="s">
        <v>65</v>
      </c>
      <c r="D5" s="1004" t="s">
        <v>838</v>
      </c>
      <c r="E5" s="1004" t="s">
        <v>839</v>
      </c>
      <c r="F5" s="1003">
        <v>1.5973299999999999E-9</v>
      </c>
    </row>
    <row r="6" spans="1:8" s="816" customFormat="1">
      <c r="A6" s="306" t="str">
        <f>CONCATENATE(TableECFTransport[[#This Row],[Voertuigtype]],"_",TableECFTransport[[#This Row],[Wegtype]],"_",TableECFTransport[[#This Row],[Brandstoftechnologie]],"_",TableECFTransport[[#This Row],[Brandstof]])</f>
        <v>Lichte voertuigen_Niet-genummerde wegen_Electric_Electric</v>
      </c>
      <c r="B6" s="1004" t="s">
        <v>625</v>
      </c>
      <c r="C6" s="1004" t="s">
        <v>64</v>
      </c>
      <c r="D6" s="1004" t="s">
        <v>299</v>
      </c>
      <c r="E6" s="1004" t="s">
        <v>299</v>
      </c>
      <c r="F6" s="1003">
        <v>6.8135608306427499E-10</v>
      </c>
    </row>
    <row r="7" spans="1:8">
      <c r="A7" s="306" t="str">
        <f>CONCATENATE(TableECFTransport[[#This Row],[Voertuigtype]],"_",TableECFTransport[[#This Row],[Wegtype]],"_",TableECFTransport[[#This Row],[Brandstoftechnologie]],"_",TableECFTransport[[#This Row],[Brandstof]])</f>
        <v>Lichte voertuigen_Genummerde wegen_Electric_Electric</v>
      </c>
      <c r="B7" s="1004" t="s">
        <v>625</v>
      </c>
      <c r="C7" s="1004" t="s">
        <v>63</v>
      </c>
      <c r="D7" s="1004" t="s">
        <v>299</v>
      </c>
      <c r="E7" s="1004" t="s">
        <v>299</v>
      </c>
      <c r="F7" s="1003">
        <v>6.8135608306427499E-10</v>
      </c>
    </row>
    <row r="8" spans="1:8">
      <c r="A8" s="306" t="str">
        <f>CONCATENATE(TableECFTransport[[#This Row],[Voertuigtype]],"_",TableECFTransport[[#This Row],[Wegtype]],"_",TableECFTransport[[#This Row],[Brandstoftechnologie]],"_",TableECFTransport[[#This Row],[Brandstof]])</f>
        <v>Lichte voertuigen_Snelwegen_Electric_Electric</v>
      </c>
      <c r="B8" s="1004" t="s">
        <v>625</v>
      </c>
      <c r="C8" s="1004" t="s">
        <v>65</v>
      </c>
      <c r="D8" s="1004" t="s">
        <v>299</v>
      </c>
      <c r="E8" s="1004" t="s">
        <v>299</v>
      </c>
      <c r="F8" s="1003">
        <v>6.8135608306427499E-10</v>
      </c>
    </row>
    <row r="9" spans="1:8">
      <c r="A9" s="306" t="str">
        <f>CONCATENATE(TableECFTransport[[#This Row],[Voertuigtype]],"_",TableECFTransport[[#This Row],[Wegtype]],"_",TableECFTransport[[#This Row],[Brandstoftechnologie]],"_",TableECFTransport[[#This Row],[Brandstof]])</f>
        <v>Zware voertuigen_Niet-genummerde wegen_Electric_Electric</v>
      </c>
      <c r="B9" s="1004" t="s">
        <v>626</v>
      </c>
      <c r="C9" s="1004" t="s">
        <v>64</v>
      </c>
      <c r="D9" s="1004" t="s">
        <v>299</v>
      </c>
      <c r="E9" s="1004" t="s">
        <v>299</v>
      </c>
      <c r="F9" s="1003">
        <v>4.4640000000000003E-9</v>
      </c>
    </row>
    <row r="10" spans="1:8">
      <c r="A10" s="306" t="str">
        <f>CONCATENATE(TableECFTransport[[#This Row],[Voertuigtype]],"_",TableECFTransport[[#This Row],[Wegtype]],"_",TableECFTransport[[#This Row],[Brandstoftechnologie]],"_",TableECFTransport[[#This Row],[Brandstof]])</f>
        <v>Zware voertuigen_Genummerde wegen_Electric_Electric</v>
      </c>
      <c r="B10" s="1004" t="s">
        <v>626</v>
      </c>
      <c r="C10" s="1004" t="s">
        <v>63</v>
      </c>
      <c r="D10" s="1004" t="s">
        <v>299</v>
      </c>
      <c r="E10" s="1004" t="s">
        <v>299</v>
      </c>
      <c r="F10" s="1003">
        <v>4.4640000000000003E-9</v>
      </c>
    </row>
    <row r="11" spans="1:8">
      <c r="A11" s="306" t="str">
        <f>CONCATENATE(TableECFTransport[[#This Row],[Voertuigtype]],"_",TableECFTransport[[#This Row],[Wegtype]],"_",TableECFTransport[[#This Row],[Brandstoftechnologie]],"_",TableECFTransport[[#This Row],[Brandstof]])</f>
        <v>Zware voertuigen_Snelwegen_Electric_Electric</v>
      </c>
      <c r="B11" s="1004" t="s">
        <v>626</v>
      </c>
      <c r="C11" s="1004" t="s">
        <v>65</v>
      </c>
      <c r="D11" s="1004" t="s">
        <v>299</v>
      </c>
      <c r="E11" s="1004" t="s">
        <v>299</v>
      </c>
      <c r="F11" s="1003">
        <v>4.4640000000000003E-9</v>
      </c>
    </row>
    <row r="12" spans="1:8">
      <c r="A12" s="306" t="str">
        <f>CONCATENATE(TableECFTransport[[#This Row],[Voertuigtype]],"_",TableECFTransport[[#This Row],[Wegtype]],"_",TableECFTransport[[#This Row],[Brandstoftechnologie]],"_",TableECFTransport[[#This Row],[Brandstof]])</f>
        <v>BUS_Niet-genummerde wegen_Electric_Electric</v>
      </c>
      <c r="B12" s="1004" t="s">
        <v>641</v>
      </c>
      <c r="C12" s="1004" t="s">
        <v>64</v>
      </c>
      <c r="D12" s="1004" t="s">
        <v>299</v>
      </c>
      <c r="E12" s="1004" t="s">
        <v>299</v>
      </c>
      <c r="F12" s="1003">
        <v>4.6799999999999996E-9</v>
      </c>
    </row>
    <row r="13" spans="1:8">
      <c r="A13" s="306" t="str">
        <f>CONCATENATE(TableECFTransport[[#This Row],[Voertuigtype]],"_",TableECFTransport[[#This Row],[Wegtype]],"_",TableECFTransport[[#This Row],[Brandstoftechnologie]],"_",TableECFTransport[[#This Row],[Brandstof]])</f>
        <v>BUS_Genummerde wegen_Electric_Electric</v>
      </c>
      <c r="B13" s="1004" t="s">
        <v>641</v>
      </c>
      <c r="C13" s="1004" t="s">
        <v>63</v>
      </c>
      <c r="D13" s="1004" t="s">
        <v>299</v>
      </c>
      <c r="E13" s="1004" t="s">
        <v>299</v>
      </c>
      <c r="F13" s="1003">
        <v>4.6799999999999996E-9</v>
      </c>
    </row>
    <row r="14" spans="1:8">
      <c r="A14" s="306" t="str">
        <f>CONCATENATE(TableECFTransport[[#This Row],[Voertuigtype]],"_",TableECFTransport[[#This Row],[Wegtype]],"_",TableECFTransport[[#This Row],[Brandstoftechnologie]],"_",TableECFTransport[[#This Row],[Brandstof]])</f>
        <v>BUS_Snelwegen_Electric_Electric</v>
      </c>
      <c r="B14" s="1004" t="s">
        <v>641</v>
      </c>
      <c r="C14" s="1004" t="s">
        <v>65</v>
      </c>
      <c r="D14" s="1004" t="s">
        <v>299</v>
      </c>
      <c r="E14" s="1004" t="s">
        <v>299</v>
      </c>
      <c r="F14" s="1003">
        <v>4.6799999999999996E-9</v>
      </c>
    </row>
    <row r="15" spans="1:8">
      <c r="A15" s="306" t="str">
        <f>CONCATENATE(TableECFTransport[[#This Row],[Voertuigtype]],"_",TableECFTransport[[#This Row],[Wegtype]],"_",TableECFTransport[[#This Row],[Brandstoftechnologie]],"_",TableECFTransport[[#This Row],[Brandstof]])</f>
        <v>Lichte voertuigen_Niet-genummerde wegen_CNG_CNG</v>
      </c>
      <c r="B15" s="1004" t="s">
        <v>625</v>
      </c>
      <c r="C15" s="1004" t="s">
        <v>64</v>
      </c>
      <c r="D15" s="1004" t="s">
        <v>298</v>
      </c>
      <c r="E15" s="1004" t="s">
        <v>298</v>
      </c>
      <c r="F15" s="1003">
        <v>4.2816565505306269E-9</v>
      </c>
    </row>
    <row r="16" spans="1:8">
      <c r="A16" s="306" t="str">
        <f>CONCATENATE(TableECFTransport[[#This Row],[Voertuigtype]],"_",TableECFTransport[[#This Row],[Wegtype]],"_",TableECFTransport[[#This Row],[Brandstoftechnologie]],"_",TableECFTransport[[#This Row],[Brandstof]])</f>
        <v>Lichte voertuigen_Genummerde wegen_CNG_CNG</v>
      </c>
      <c r="B16" s="1004" t="s">
        <v>625</v>
      </c>
      <c r="C16" s="1004" t="s">
        <v>63</v>
      </c>
      <c r="D16" s="1004" t="s">
        <v>298</v>
      </c>
      <c r="E16" s="1004" t="s">
        <v>298</v>
      </c>
      <c r="F16" s="1003">
        <v>2.5146172291437477E-9</v>
      </c>
    </row>
    <row r="17" spans="1:7">
      <c r="A17" s="306" t="str">
        <f>CONCATENATE(TableECFTransport[[#This Row],[Voertuigtype]],"_",TableECFTransport[[#This Row],[Wegtype]],"_",TableECFTransport[[#This Row],[Brandstoftechnologie]],"_",TableECFTransport[[#This Row],[Brandstof]])</f>
        <v>Lichte voertuigen_Snelwegen_CNG_CNG</v>
      </c>
      <c r="B17" s="1004" t="s">
        <v>625</v>
      </c>
      <c r="C17" s="1004" t="s">
        <v>65</v>
      </c>
      <c r="D17" s="1004" t="s">
        <v>298</v>
      </c>
      <c r="E17" s="1004" t="s">
        <v>298</v>
      </c>
      <c r="F17" s="1003">
        <v>2.5295932470454216E-9</v>
      </c>
    </row>
    <row r="18" spans="1:7">
      <c r="A18" s="306" t="str">
        <f>CONCATENATE(TableECFTransport[[#This Row],[Voertuigtype]],"_",TableECFTransport[[#This Row],[Wegtype]],"_",TableECFTransport[[#This Row],[Brandstoftechnologie]],"_",TableECFTransport[[#This Row],[Brandstof]])</f>
        <v>Lichte voertuigen_Niet-genummerde wegen_Diesel_Diesel</v>
      </c>
      <c r="B18" s="1004" t="s">
        <v>625</v>
      </c>
      <c r="C18" s="1004" t="s">
        <v>64</v>
      </c>
      <c r="D18" s="1004" t="s">
        <v>195</v>
      </c>
      <c r="E18" s="1004" t="s">
        <v>195</v>
      </c>
      <c r="F18" s="1003">
        <v>3.2955776166638359E-9</v>
      </c>
    </row>
    <row r="19" spans="1:7">
      <c r="A19" s="306" t="str">
        <f>CONCATENATE(TableECFTransport[[#This Row],[Voertuigtype]],"_",TableECFTransport[[#This Row],[Wegtype]],"_",TableECFTransport[[#This Row],[Brandstoftechnologie]],"_",TableECFTransport[[#This Row],[Brandstof]])</f>
        <v>Lichte voertuigen_Genummerde wegen_Diesel_Diesel</v>
      </c>
      <c r="B19" s="1004" t="s">
        <v>625</v>
      </c>
      <c r="C19" s="1004" t="s">
        <v>63</v>
      </c>
      <c r="D19" s="1004" t="s">
        <v>195</v>
      </c>
      <c r="E19" s="1004" t="s">
        <v>195</v>
      </c>
      <c r="F19" s="1003">
        <v>2.1759081576320431E-9</v>
      </c>
    </row>
    <row r="20" spans="1:7">
      <c r="A20" s="306" t="str">
        <f>CONCATENATE(TableECFTransport[[#This Row],[Voertuigtype]],"_",TableECFTransport[[#This Row],[Wegtype]],"_",TableECFTransport[[#This Row],[Brandstoftechnologie]],"_",TableECFTransport[[#This Row],[Brandstof]])</f>
        <v>Lichte voertuigen_Snelwegen_Diesel_Diesel</v>
      </c>
      <c r="B20" s="1004" t="s">
        <v>625</v>
      </c>
      <c r="C20" s="1004" t="s">
        <v>65</v>
      </c>
      <c r="D20" s="1004" t="s">
        <v>195</v>
      </c>
      <c r="E20" s="1004" t="s">
        <v>195</v>
      </c>
      <c r="F20" s="1003">
        <v>2.4438700483775669E-9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04" t="s">
        <v>625</v>
      </c>
      <c r="C21" s="1004" t="s">
        <v>64</v>
      </c>
      <c r="D21" s="1004" t="s">
        <v>840</v>
      </c>
      <c r="E21" s="1004" t="s">
        <v>195</v>
      </c>
      <c r="F21" s="1003">
        <v>1.9044123350805242E-9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04" t="s">
        <v>625</v>
      </c>
      <c r="C22" s="1004" t="s">
        <v>64</v>
      </c>
      <c r="D22" s="1004" t="s">
        <v>840</v>
      </c>
      <c r="E22" s="1004" t="s">
        <v>299</v>
      </c>
      <c r="F22" s="1003">
        <v>6.348041116935082E-10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04" t="s">
        <v>625</v>
      </c>
      <c r="C23" s="1004" t="s">
        <v>63</v>
      </c>
      <c r="D23" s="1004" t="s">
        <v>840</v>
      </c>
      <c r="E23" s="1004" t="s">
        <v>195</v>
      </c>
      <c r="F23" s="1003">
        <v>1.1740429472632054E-9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04" t="s">
        <v>625</v>
      </c>
      <c r="C24" s="1004" t="s">
        <v>63</v>
      </c>
      <c r="D24" s="1004" t="s">
        <v>840</v>
      </c>
      <c r="E24" s="1004" t="s">
        <v>299</v>
      </c>
      <c r="F24" s="1003">
        <v>3.913476490877351E-10</v>
      </c>
    </row>
    <row r="25" spans="1:7">
      <c r="A25" s="306" t="str">
        <f>CONCATENATE(TableECFTransport[[#This Row],[Voertuigtype]],"_",TableECFTransport[[#This Row],[Wegtype]],"_",TableECFTransport[[#This Row],[Brandstoftechnologie]],"_",TableECFTransport[[#This Row],[Brandstof]])</f>
        <v>Lichte voertuigen_Snelwegen_Diesel Hybrid PHEV_Diesel</v>
      </c>
      <c r="B25" s="1004" t="s">
        <v>625</v>
      </c>
      <c r="C25" s="1004" t="s">
        <v>65</v>
      </c>
      <c r="D25" s="1004" t="s">
        <v>840</v>
      </c>
      <c r="E25" s="1004" t="s">
        <v>195</v>
      </c>
      <c r="F25" s="1003">
        <v>1.8691772618501058E-9</v>
      </c>
    </row>
    <row r="26" spans="1:7">
      <c r="A26" s="306" t="str">
        <f>CONCATENATE(TableECFTransport[[#This Row],[Voertuigtype]],"_",TableECFTransport[[#This Row],[Wegtype]],"_",TableECFTransport[[#This Row],[Brandstoftechnologie]],"_",TableECFTransport[[#This Row],[Brandstof]])</f>
        <v>Lichte voertuigen_Snelwegen_Diesel Hybrid PHEV_Electric</v>
      </c>
      <c r="B26" s="1004" t="s">
        <v>625</v>
      </c>
      <c r="C26" s="1004" t="s">
        <v>65</v>
      </c>
      <c r="D26" s="1004" t="s">
        <v>840</v>
      </c>
      <c r="E26" s="1004" t="s">
        <v>299</v>
      </c>
      <c r="F26" s="1003">
        <v>6.2305908728336857E-10</v>
      </c>
    </row>
    <row r="27" spans="1:7">
      <c r="A27" s="306" t="str">
        <f>CONCATENATE(TableECFTransport[[#This Row],[Voertuigtype]],"_",TableECFTransport[[#This Row],[Wegtype]],"_",TableECFTransport[[#This Row],[Brandstoftechnologie]],"_",TableECFTransport[[#This Row],[Brandstof]])</f>
        <v>Lichte voertuigen_Niet-genummerde wegen_LPG_LPG</v>
      </c>
      <c r="B27" s="1004" t="s">
        <v>625</v>
      </c>
      <c r="C27" s="1004" t="s">
        <v>64</v>
      </c>
      <c r="D27" s="1004" t="s">
        <v>112</v>
      </c>
      <c r="E27" s="1004" t="s">
        <v>112</v>
      </c>
      <c r="F27" s="1003">
        <v>3.6402859373592397E-9</v>
      </c>
      <c r="G27" s="836"/>
    </row>
    <row r="28" spans="1:7">
      <c r="A28" s="306" t="str">
        <f>CONCATENATE(TableECFTransport[[#This Row],[Voertuigtype]],"_",TableECFTransport[[#This Row],[Wegtype]],"_",TableECFTransport[[#This Row],[Brandstoftechnologie]],"_",TableECFTransport[[#This Row],[Brandstof]])</f>
        <v>Lichte voertuigen_Genummerde wegen_LPG_LPG</v>
      </c>
      <c r="B28" s="1004" t="s">
        <v>625</v>
      </c>
      <c r="C28" s="1004" t="s">
        <v>63</v>
      </c>
      <c r="D28" s="1004" t="s">
        <v>112</v>
      </c>
      <c r="E28" s="1004" t="s">
        <v>112</v>
      </c>
      <c r="F28" s="1003">
        <v>2.2409728491813179E-9</v>
      </c>
    </row>
    <row r="29" spans="1:7">
      <c r="A29" s="306" t="str">
        <f>CONCATENATE(TableECFTransport[[#This Row],[Voertuigtype]],"_",TableECFTransport[[#This Row],[Wegtype]],"_",TableECFTransport[[#This Row],[Brandstoftechnologie]],"_",TableECFTransport[[#This Row],[Brandstof]])</f>
        <v>Lichte voertuigen_Snelwegen_LPG_LPG</v>
      </c>
      <c r="B29" s="1004" t="s">
        <v>625</v>
      </c>
      <c r="C29" s="1004" t="s">
        <v>65</v>
      </c>
      <c r="D29" s="1004" t="s">
        <v>112</v>
      </c>
      <c r="E29" s="1004" t="s">
        <v>112</v>
      </c>
      <c r="F29" s="1003">
        <v>2.7765025754723508E-9</v>
      </c>
    </row>
    <row r="30" spans="1:7">
      <c r="A30" s="306" t="str">
        <f>CONCATENATE(TableECFTransport[[#This Row],[Voertuigtype]],"_",TableECFTransport[[#This Row],[Wegtype]],"_",TableECFTransport[[#This Row],[Brandstoftechnologie]],"_",TableECFTransport[[#This Row],[Brandstof]])</f>
        <v>Lichte voertuigen_Niet-genummerde wegen_Petrol_Petrol</v>
      </c>
      <c r="B30" s="1004" t="s">
        <v>625</v>
      </c>
      <c r="C30" s="1004" t="s">
        <v>64</v>
      </c>
      <c r="D30" s="1004" t="s">
        <v>300</v>
      </c>
      <c r="E30" s="1004" t="s">
        <v>300</v>
      </c>
      <c r="F30" s="1003">
        <v>3.6180186179773634E-9</v>
      </c>
    </row>
    <row r="31" spans="1:7">
      <c r="A31" s="306" t="str">
        <f>CONCATENATE(TableECFTransport[[#This Row],[Voertuigtype]],"_",TableECFTransport[[#This Row],[Wegtype]],"_",TableECFTransport[[#This Row],[Brandstoftechnologie]],"_",TableECFTransport[[#This Row],[Brandstof]])</f>
        <v>Lichte voertuigen_Genummerde wegen_Petrol_Petrol</v>
      </c>
      <c r="B31" s="1004" t="s">
        <v>625</v>
      </c>
      <c r="C31" s="1004" t="s">
        <v>63</v>
      </c>
      <c r="D31" s="1004" t="s">
        <v>300</v>
      </c>
      <c r="E31" s="1004" t="s">
        <v>300</v>
      </c>
      <c r="F31" s="1003">
        <v>2.1928531251691321E-9</v>
      </c>
    </row>
    <row r="32" spans="1:7">
      <c r="A32" s="306" t="str">
        <f>CONCATENATE(TableECFTransport[[#This Row],[Voertuigtype]],"_",TableECFTransport[[#This Row],[Wegtype]],"_",TableECFTransport[[#This Row],[Brandstoftechnologie]],"_",TableECFTransport[[#This Row],[Brandstof]])</f>
        <v>Lichte voertuigen_Snelwegen_Petrol_Petrol</v>
      </c>
      <c r="B32" s="1004" t="s">
        <v>625</v>
      </c>
      <c r="C32" s="1004" t="s">
        <v>65</v>
      </c>
      <c r="D32" s="1004" t="s">
        <v>300</v>
      </c>
      <c r="E32" s="1004" t="s">
        <v>300</v>
      </c>
      <c r="F32" s="1003">
        <v>2.3070159714169498E-9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04" t="s">
        <v>625</v>
      </c>
      <c r="C33" s="1004" t="s">
        <v>64</v>
      </c>
      <c r="D33" s="1004" t="s">
        <v>841</v>
      </c>
      <c r="E33" s="1004" t="s">
        <v>300</v>
      </c>
      <c r="F33" s="1003">
        <v>2.7042634126961514E-9</v>
      </c>
    </row>
    <row r="34" spans="1:6">
      <c r="A34" s="1004" t="str">
        <f>CONCATENATE(TableECFTransport[[#This Row],[Voertuigtype]],"_",TableECFTransport[[#This Row],[Wegtype]],"_",TableECFTransport[[#This Row],[Brandstoftechnologie]],"_",TableECFTransport[[#This Row],[Brandstof]])</f>
        <v>Lichte voertuigen_Genummerde wegen_Petrol Hybrid CS_Petrol</v>
      </c>
      <c r="B34" s="1004" t="s">
        <v>625</v>
      </c>
      <c r="C34" s="1004" t="s">
        <v>63</v>
      </c>
      <c r="D34" s="1004" t="s">
        <v>841</v>
      </c>
      <c r="E34" s="1004" t="s">
        <v>300</v>
      </c>
      <c r="F34" s="1003">
        <v>1.486854449369025E-9</v>
      </c>
    </row>
    <row r="35" spans="1:6">
      <c r="A35" s="1004" t="str">
        <f>CONCATENATE(TableECFTransport[[#This Row],[Voertuigtype]],"_",TableECFTransport[[#This Row],[Wegtype]],"_",TableECFTransport[[#This Row],[Brandstoftechnologie]],"_",TableECFTransport[[#This Row],[Brandstof]])</f>
        <v>Lichte voertuigen_Snelwegen_Petrol Hybrid CS_Petrol</v>
      </c>
      <c r="B35" s="1004" t="s">
        <v>625</v>
      </c>
      <c r="C35" s="1004" t="s">
        <v>65</v>
      </c>
      <c r="D35" s="1004" t="s">
        <v>841</v>
      </c>
      <c r="E35" s="1004" t="s">
        <v>300</v>
      </c>
      <c r="F35" s="1003">
        <v>1.8396345880863373E-9</v>
      </c>
    </row>
    <row r="36" spans="1:6">
      <c r="A36" s="1004" t="str">
        <f>CONCATENATE(TableECFTransport[[#This Row],[Voertuigtype]],"_",TableECFTransport[[#This Row],[Wegtype]],"_",TableECFTransport[[#This Row],[Brandstoftechnologie]],"_",TableECFTransport[[#This Row],[Brandstof]])</f>
        <v>Lichte voertuigen_Niet-genummerde wegen_Petrol Hybrid PHEV_Electric</v>
      </c>
      <c r="B36" s="1004" t="s">
        <v>625</v>
      </c>
      <c r="C36" s="1004" t="s">
        <v>64</v>
      </c>
      <c r="D36" s="1004" t="s">
        <v>842</v>
      </c>
      <c r="E36" s="1004" t="s">
        <v>299</v>
      </c>
      <c r="F36" s="1003">
        <v>6.9346376230934196E-10</v>
      </c>
    </row>
    <row r="37" spans="1:6">
      <c r="A37" s="1004" t="str">
        <f>CONCATENATE(TableECFTransport[[#This Row],[Voertuigtype]],"_",TableECFTransport[[#This Row],[Wegtype]],"_",TableECFTransport[[#This Row],[Brandstoftechnologie]],"_",TableECFTransport[[#This Row],[Brandstof]])</f>
        <v>Lichte voertuigen_Niet-genummerde wegen_Petrol Hybrid PHEV_Petrol</v>
      </c>
      <c r="B37" s="1004" t="s">
        <v>625</v>
      </c>
      <c r="C37" s="1004" t="s">
        <v>64</v>
      </c>
      <c r="D37" s="1004" t="s">
        <v>842</v>
      </c>
      <c r="E37" s="1004" t="s">
        <v>300</v>
      </c>
      <c r="F37" s="1003">
        <v>2.080391286928026E-9</v>
      </c>
    </row>
    <row r="38" spans="1:6">
      <c r="A38" s="1004" t="str">
        <f>CONCATENATE(TableECFTransport[[#This Row],[Voertuigtype]],"_",TableECFTransport[[#This Row],[Wegtype]],"_",TableECFTransport[[#This Row],[Brandstoftechnologie]],"_",TableECFTransport[[#This Row],[Brandstof]])</f>
        <v>Lichte voertuigen_Genummerde wegen_Petrol Hybrid PHEV_Electric</v>
      </c>
      <c r="B38" s="1004" t="s">
        <v>625</v>
      </c>
      <c r="C38" s="1004" t="s">
        <v>63</v>
      </c>
      <c r="D38" s="1004" t="s">
        <v>842</v>
      </c>
      <c r="E38" s="1004" t="s">
        <v>299</v>
      </c>
      <c r="F38" s="1003">
        <v>3.8986738638835514E-10</v>
      </c>
    </row>
    <row r="39" spans="1:6">
      <c r="A39" s="1004" t="str">
        <f>CONCATENATE(TableECFTransport[[#This Row],[Voertuigtype]],"_",TableECFTransport[[#This Row],[Wegtype]],"_",TableECFTransport[[#This Row],[Brandstoftechnologie]],"_",TableECFTransport[[#This Row],[Brandstof]])</f>
        <v>Lichte voertuigen_Genummerde wegen_Petrol Hybrid PHEV_Petrol</v>
      </c>
      <c r="B39" s="1004" t="s">
        <v>625</v>
      </c>
      <c r="C39" s="1004" t="s">
        <v>63</v>
      </c>
      <c r="D39" s="1004" t="s">
        <v>842</v>
      </c>
      <c r="E39" s="1004" t="s">
        <v>300</v>
      </c>
      <c r="F39" s="1003">
        <v>1.1696021591650657E-9</v>
      </c>
    </row>
    <row r="40" spans="1:6">
      <c r="A40" s="1004" t="str">
        <f>CONCATENATE(TableECFTransport[[#This Row],[Voertuigtype]],"_",TableECFTransport[[#This Row],[Wegtype]],"_",TableECFTransport[[#This Row],[Brandstoftechnologie]],"_",TableECFTransport[[#This Row],[Brandstof]])</f>
        <v>Lichte voertuigen_Snelwegen_Petrol Hybrid PHEV_Electric</v>
      </c>
      <c r="B40" s="1004" t="s">
        <v>625</v>
      </c>
      <c r="C40" s="1004" t="s">
        <v>65</v>
      </c>
      <c r="D40" s="1004" t="s">
        <v>842</v>
      </c>
      <c r="E40" s="1004" t="s">
        <v>299</v>
      </c>
      <c r="F40" s="1003">
        <v>6.0304294490557083E-10</v>
      </c>
    </row>
    <row r="41" spans="1:6">
      <c r="A41" s="1004" t="str">
        <f>CONCATENATE(TableECFTransport[[#This Row],[Voertuigtype]],"_",TableECFTransport[[#This Row],[Wegtype]],"_",TableECFTransport[[#This Row],[Brandstoftechnologie]],"_",TableECFTransport[[#This Row],[Brandstof]])</f>
        <v>Lichte voertuigen_Snelwegen_Petrol Hybrid PHEV_Petrol</v>
      </c>
      <c r="B41" s="1004" t="s">
        <v>625</v>
      </c>
      <c r="C41" s="1004" t="s">
        <v>65</v>
      </c>
      <c r="D41" s="1004" t="s">
        <v>842</v>
      </c>
      <c r="E41" s="1004" t="s">
        <v>300</v>
      </c>
      <c r="F41" s="1003">
        <v>1.8091288347167124E-9</v>
      </c>
    </row>
    <row r="42" spans="1:6">
      <c r="A42" s="1004" t="str">
        <f>CONCATENATE(TableECFTransport[[#This Row],[Voertuigtype]],"_",TableECFTransport[[#This Row],[Wegtype]],"_",TableECFTransport[[#This Row],[Brandstoftechnologie]],"_",TableECFTransport[[#This Row],[Brandstof]])</f>
        <v>Zware voertuigen_Niet-genummerde wegen_Diesel_Diesel</v>
      </c>
      <c r="B42" s="1004" t="s">
        <v>626</v>
      </c>
      <c r="C42" s="1004" t="s">
        <v>64</v>
      </c>
      <c r="D42" s="1004" t="s">
        <v>195</v>
      </c>
      <c r="E42" s="1004" t="s">
        <v>195</v>
      </c>
      <c r="F42" s="1003">
        <v>1.2757304390269015E-8</v>
      </c>
    </row>
    <row r="43" spans="1:6">
      <c r="A43" s="1004" t="str">
        <f>CONCATENATE(TableECFTransport[[#This Row],[Voertuigtype]],"_",TableECFTransport[[#This Row],[Wegtype]],"_",TableECFTransport[[#This Row],[Brandstoftechnologie]],"_",TableECFTransport[[#This Row],[Brandstof]])</f>
        <v>Zware voertuigen_Genummerde wegen_Diesel_Diesel</v>
      </c>
      <c r="B43" s="1004" t="s">
        <v>626</v>
      </c>
      <c r="C43" s="1004" t="s">
        <v>63</v>
      </c>
      <c r="D43" s="1004" t="s">
        <v>195</v>
      </c>
      <c r="E43" s="1004" t="s">
        <v>195</v>
      </c>
      <c r="F43" s="1003">
        <v>9.9219684225303461E-9</v>
      </c>
    </row>
    <row r="44" spans="1:6">
      <c r="A44" s="1004" t="str">
        <f>CONCATENATE(TableECFTransport[[#This Row],[Voertuigtype]],"_",TableECFTransport[[#This Row],[Wegtype]],"_",TableECFTransport[[#This Row],[Brandstoftechnologie]],"_",TableECFTransport[[#This Row],[Brandstof]])</f>
        <v>Zware voertuigen_Snelwegen_Diesel_Diesel</v>
      </c>
      <c r="B44" s="1004" t="s">
        <v>626</v>
      </c>
      <c r="C44" s="1004" t="s">
        <v>65</v>
      </c>
      <c r="D44" s="1004" t="s">
        <v>195</v>
      </c>
      <c r="E44" s="1004" t="s">
        <v>195</v>
      </c>
      <c r="F44" s="1003">
        <v>9.454219655661442E-9</v>
      </c>
    </row>
    <row r="45" spans="1:6">
      <c r="A45" s="1004" t="str">
        <f>CONCATENATE(TableECFTransport[[#This Row],[Voertuigtype]],"_",TableECFTransport[[#This Row],[Wegtype]],"_",TableECFTransport[[#This Row],[Brandstoftechnologie]],"_",TableECFTransport[[#This Row],[Brandstof]])</f>
        <v>Zware voertuigen_Niet-genummerde wegen_Petrol_Petrol</v>
      </c>
      <c r="B45" s="1004" t="s">
        <v>626</v>
      </c>
      <c r="C45" s="1004" t="s">
        <v>64</v>
      </c>
      <c r="D45" s="1004" t="s">
        <v>300</v>
      </c>
      <c r="E45" s="1004" t="s">
        <v>300</v>
      </c>
      <c r="F45" s="1003">
        <v>7.6653519389191332E-9</v>
      </c>
    </row>
    <row r="46" spans="1:6">
      <c r="A46" s="1004" t="str">
        <f>CONCATENATE(TableECFTransport[[#This Row],[Voertuigtype]],"_",TableECFTransport[[#This Row],[Wegtype]],"_",TableECFTransport[[#This Row],[Brandstoftechnologie]],"_",TableECFTransport[[#This Row],[Brandstof]])</f>
        <v>Zware voertuigen_Genummerde wegen_Petrol_Petrol</v>
      </c>
      <c r="B46" s="1004" t="s">
        <v>626</v>
      </c>
      <c r="C46" s="1004" t="s">
        <v>63</v>
      </c>
      <c r="D46" s="1004" t="s">
        <v>300</v>
      </c>
      <c r="E46" s="1004" t="s">
        <v>300</v>
      </c>
      <c r="F46" s="1003">
        <v>6.3506130742713411E-9</v>
      </c>
    </row>
    <row r="47" spans="1:6">
      <c r="A47" s="1004" t="str">
        <f>CONCATENATE(TableECFTransport[[#This Row],[Voertuigtype]],"_",TableECFTransport[[#This Row],[Wegtype]],"_",TableECFTransport[[#This Row],[Brandstoftechnologie]],"_",TableECFTransport[[#This Row],[Brandstof]])</f>
        <v>Zware voertuigen_Snelwegen_Petrol_Petrol</v>
      </c>
      <c r="B47" s="1004" t="s">
        <v>626</v>
      </c>
      <c r="C47" s="1004" t="s">
        <v>65</v>
      </c>
      <c r="D47" s="1004" t="s">
        <v>300</v>
      </c>
      <c r="E47" s="1004" t="s">
        <v>300</v>
      </c>
      <c r="F47" s="1003">
        <v>6.5365124469575587E-9</v>
      </c>
    </row>
    <row r="48" spans="1:6">
      <c r="A48" s="1004" t="str">
        <f>CONCATENATE(TableECFTransport[[#This Row],[Voertuigtype]],"_",TableECFTransport[[#This Row],[Wegtype]],"_",TableECFTransport[[#This Row],[Brandstoftechnologie]],"_",TableECFTransport[[#This Row],[Brandstof]])</f>
        <v>BUS_Niet-genummerde wegen_CNG_CNG</v>
      </c>
      <c r="B48" s="1004" t="s">
        <v>641</v>
      </c>
      <c r="C48" s="1004" t="s">
        <v>64</v>
      </c>
      <c r="D48" s="1004" t="s">
        <v>298</v>
      </c>
      <c r="E48" s="1004" t="s">
        <v>298</v>
      </c>
      <c r="F48" s="1003">
        <v>2.3303083752649972E-8</v>
      </c>
    </row>
    <row r="49" spans="1:6">
      <c r="A49" s="1004" t="str">
        <f>CONCATENATE(TableECFTransport[[#This Row],[Voertuigtype]],"_",TableECFTransport[[#This Row],[Wegtype]],"_",TableECFTransport[[#This Row],[Brandstoftechnologie]],"_",TableECFTransport[[#This Row],[Brandstof]])</f>
        <v>BUS_Genummerde wegen_CNG_CNG</v>
      </c>
      <c r="B49" s="1004" t="s">
        <v>641</v>
      </c>
      <c r="C49" s="1004" t="s">
        <v>63</v>
      </c>
      <c r="D49" s="1004" t="s">
        <v>298</v>
      </c>
      <c r="E49" s="1004" t="s">
        <v>298</v>
      </c>
      <c r="F49" s="1003">
        <v>1.2452720009185941E-8</v>
      </c>
    </row>
    <row r="50" spans="1:6">
      <c r="A50" s="1004" t="str">
        <f>CONCATENATE(TableECFTransport[[#This Row],[Voertuigtype]],"_",TableECFTransport[[#This Row],[Wegtype]],"_",TableECFTransport[[#This Row],[Brandstoftechnologie]],"_",TableECFTransport[[#This Row],[Brandstof]])</f>
        <v>BUS_Niet-genummerde wegen_Diesel_Diesel</v>
      </c>
      <c r="B50" s="1004" t="s">
        <v>641</v>
      </c>
      <c r="C50" s="1004" t="s">
        <v>64</v>
      </c>
      <c r="D50" s="1004" t="s">
        <v>195</v>
      </c>
      <c r="E50" s="1004" t="s">
        <v>195</v>
      </c>
      <c r="F50" s="1003">
        <v>1.7143830410809315E-8</v>
      </c>
    </row>
    <row r="51" spans="1:6">
      <c r="A51" s="1004" t="str">
        <f>CONCATENATE(TableECFTransport[[#This Row],[Voertuigtype]],"_",TableECFTransport[[#This Row],[Wegtype]],"_",TableECFTransport[[#This Row],[Brandstoftechnologie]],"_",TableECFTransport[[#This Row],[Brandstof]])</f>
        <v>BUS_Genummerde wegen_Diesel_Diesel</v>
      </c>
      <c r="B51" s="1004" t="s">
        <v>641</v>
      </c>
      <c r="C51" s="1004" t="s">
        <v>63</v>
      </c>
      <c r="D51" s="1004" t="s">
        <v>195</v>
      </c>
      <c r="E51" s="1004" t="s">
        <v>195</v>
      </c>
      <c r="F51" s="1003">
        <v>9.5423482752596141E-9</v>
      </c>
    </row>
    <row r="52" spans="1:6">
      <c r="A52" s="1004" t="str">
        <f>CONCATENATE(TableECFTransport[[#This Row],[Voertuigtype]],"_",TableECFTransport[[#This Row],[Wegtype]],"_",TableECFTransport[[#This Row],[Brandstoftechnologie]],"_",TableECFTransport[[#This Row],[Brandstof]])</f>
        <v>BUS_Niet-genummerde wegen_Diesel Hybrid PHEV_Diesel</v>
      </c>
      <c r="B52" s="1004" t="s">
        <v>641</v>
      </c>
      <c r="C52" s="1004" t="s">
        <v>64</v>
      </c>
      <c r="D52" s="1004" t="s">
        <v>840</v>
      </c>
      <c r="E52" s="1004" t="s">
        <v>195</v>
      </c>
      <c r="F52" s="1003">
        <v>1.2122949179999998E-8</v>
      </c>
    </row>
    <row r="53" spans="1:6">
      <c r="A53" s="1004" t="str">
        <f>CONCATENATE(TableECFTransport[[#This Row],[Voertuigtype]],"_",TableECFTransport[[#This Row],[Wegtype]],"_",TableECFTransport[[#This Row],[Brandstoftechnologie]],"_",TableECFTransport[[#This Row],[Brandstof]])</f>
        <v>BUS_Niet-genummerde wegen_Diesel Hybrid PHEV_Electric</v>
      </c>
      <c r="B53" s="1004" t="s">
        <v>641</v>
      </c>
      <c r="C53" s="1004" t="s">
        <v>64</v>
      </c>
      <c r="D53" s="1004" t="s">
        <v>840</v>
      </c>
      <c r="E53" s="1004" t="s">
        <v>299</v>
      </c>
      <c r="F53" s="1003">
        <v>4.040983059999999E-9</v>
      </c>
    </row>
    <row r="54" spans="1:6">
      <c r="A54" s="1004" t="str">
        <f>CONCATENATE(TableECFTransport[[#This Row],[Voertuigtype]],"_",TableECFTransport[[#This Row],[Wegtype]],"_",TableECFTransport[[#This Row],[Brandstoftechnologie]],"_",TableECFTransport[[#This Row],[Brandstof]])</f>
        <v>BUS_Genummerde wegen_Diesel Hybrid PHEV_Diesel</v>
      </c>
      <c r="B54" s="1004" t="s">
        <v>641</v>
      </c>
      <c r="C54" s="1004" t="s">
        <v>63</v>
      </c>
      <c r="D54" s="1004" t="s">
        <v>840</v>
      </c>
      <c r="E54" s="1004" t="s">
        <v>195</v>
      </c>
      <c r="F54" s="1003">
        <v>6.0281746425000019E-9</v>
      </c>
    </row>
    <row r="55" spans="1:6">
      <c r="A55" s="1004" t="str">
        <f>CONCATENATE(TableECFTransport[[#This Row],[Voertuigtype]],"_",TableECFTransport[[#This Row],[Wegtype]],"_",TableECFTransport[[#This Row],[Brandstoftechnologie]],"_",TableECFTransport[[#This Row],[Brandstof]])</f>
        <v>BUS_Genummerde wegen_Diesel Hybrid PHEV_Electric</v>
      </c>
      <c r="B55" s="1004" t="s">
        <v>641</v>
      </c>
      <c r="C55" s="1004" t="s">
        <v>63</v>
      </c>
      <c r="D55" s="1004" t="s">
        <v>840</v>
      </c>
      <c r="E55" s="1004" t="s">
        <v>299</v>
      </c>
      <c r="F55" s="1003">
        <v>2.0093915475000008E-9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AC27" sqref="AC27:AC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44">
        <v>2015</v>
      </c>
      <c r="B1" s="114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46"/>
      <c r="B2" s="114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46"/>
      <c r="B3" s="114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48"/>
      <c r="B4" s="114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381</v>
      </c>
      <c r="B5" s="844" t="s">
        <v>869</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8">
        <v>0</v>
      </c>
      <c r="D7" s="788">
        <v>0.97374213193035108</v>
      </c>
      <c r="E7" s="788">
        <v>0</v>
      </c>
      <c r="F7" s="789">
        <v>0.97374213193035108</v>
      </c>
      <c r="G7" s="788">
        <v>0</v>
      </c>
      <c r="H7" s="788">
        <v>0</v>
      </c>
      <c r="I7" s="788">
        <v>2.0617199999999998</v>
      </c>
      <c r="J7" s="788">
        <v>0.83846645154125798</v>
      </c>
      <c r="K7" s="788">
        <v>0</v>
      </c>
      <c r="L7" s="788">
        <v>52.800858080922637</v>
      </c>
      <c r="M7" s="788">
        <v>0</v>
      </c>
      <c r="N7" s="788">
        <v>0</v>
      </c>
      <c r="O7" s="788">
        <v>0</v>
      </c>
      <c r="P7" s="788">
        <v>0</v>
      </c>
      <c r="Q7" s="788">
        <v>0</v>
      </c>
      <c r="R7" s="789">
        <v>55.701044532463897</v>
      </c>
      <c r="S7" s="788">
        <v>85.35704737906579</v>
      </c>
      <c r="T7" s="788">
        <v>0</v>
      </c>
      <c r="U7" s="788">
        <v>0</v>
      </c>
      <c r="V7" s="789">
        <v>85.35704737906579</v>
      </c>
      <c r="W7" s="789">
        <v>142.03183404346004</v>
      </c>
      <c r="X7" s="788">
        <v>0</v>
      </c>
      <c r="Y7" s="788">
        <v>12.848247544564218</v>
      </c>
      <c r="Z7" s="788">
        <v>39.271671951616597</v>
      </c>
      <c r="AA7" s="790">
        <v>1.9656597941903522</v>
      </c>
      <c r="AB7" s="790">
        <v>0</v>
      </c>
      <c r="AC7" s="789">
        <v>196.11741333383119</v>
      </c>
    </row>
    <row r="8" spans="1:29">
      <c r="A8" s="212" t="s">
        <v>149</v>
      </c>
      <c r="B8" s="213"/>
      <c r="C8" s="791">
        <v>0</v>
      </c>
      <c r="D8" s="791">
        <v>9.376000000000001E-5</v>
      </c>
      <c r="E8" s="791">
        <v>0</v>
      </c>
      <c r="F8" s="792">
        <v>9.376000000000001E-5</v>
      </c>
      <c r="G8" s="791">
        <v>0</v>
      </c>
      <c r="H8" s="791">
        <v>0</v>
      </c>
      <c r="I8" s="791">
        <v>0.57932023601242288</v>
      </c>
      <c r="J8" s="791">
        <v>5.1739128092292497E-3</v>
      </c>
      <c r="K8" s="791">
        <v>0</v>
      </c>
      <c r="L8" s="791">
        <v>10.161143248084784</v>
      </c>
      <c r="M8" s="791">
        <v>0</v>
      </c>
      <c r="N8" s="791">
        <v>7.8378644729305461E-2</v>
      </c>
      <c r="O8" s="791">
        <v>0</v>
      </c>
      <c r="P8" s="791">
        <v>0</v>
      </c>
      <c r="Q8" s="791">
        <v>0</v>
      </c>
      <c r="R8" s="792">
        <v>10.82401604163574</v>
      </c>
      <c r="S8" s="791">
        <v>46.517143265582284</v>
      </c>
      <c r="T8" s="791">
        <v>0</v>
      </c>
      <c r="U8" s="791">
        <v>0</v>
      </c>
      <c r="V8" s="792">
        <v>46.517143265582284</v>
      </c>
      <c r="W8" s="792">
        <v>57.34125306721802</v>
      </c>
      <c r="X8" s="791">
        <v>1.8763489999999998</v>
      </c>
      <c r="Y8" s="791">
        <v>3.3354879880357631</v>
      </c>
      <c r="Z8" s="791">
        <v>42.82644122657468</v>
      </c>
      <c r="AA8" s="793">
        <v>1.0657312201917319</v>
      </c>
      <c r="AB8" s="793">
        <v>0</v>
      </c>
      <c r="AC8" s="792">
        <v>106.4452625020202</v>
      </c>
    </row>
    <row r="9" spans="1:29">
      <c r="A9" s="3"/>
      <c r="B9" s="6" t="s">
        <v>150</v>
      </c>
      <c r="C9" s="794">
        <v>0</v>
      </c>
      <c r="D9" s="794">
        <v>0</v>
      </c>
      <c r="E9" s="794">
        <v>0</v>
      </c>
      <c r="F9" s="795">
        <v>0</v>
      </c>
      <c r="G9" s="794">
        <v>0</v>
      </c>
      <c r="H9" s="794">
        <v>0</v>
      </c>
      <c r="I9" s="794">
        <v>5.7877115335189466E-2</v>
      </c>
      <c r="J9" s="794">
        <v>0</v>
      </c>
      <c r="K9" s="794">
        <v>0</v>
      </c>
      <c r="L9" s="794">
        <v>0.51181822031286239</v>
      </c>
      <c r="M9" s="794">
        <v>0</v>
      </c>
      <c r="N9" s="794">
        <v>0</v>
      </c>
      <c r="O9" s="794">
        <v>0</v>
      </c>
      <c r="P9" s="794">
        <v>0</v>
      </c>
      <c r="Q9" s="794">
        <v>0</v>
      </c>
      <c r="R9" s="795">
        <v>0.56969533564805186</v>
      </c>
      <c r="S9" s="794">
        <v>5.8046564890434542</v>
      </c>
      <c r="T9" s="794">
        <v>0</v>
      </c>
      <c r="U9" s="794">
        <v>0</v>
      </c>
      <c r="V9" s="795">
        <v>5.8046564890434542</v>
      </c>
      <c r="W9" s="795">
        <v>6.3743518246915061</v>
      </c>
      <c r="X9" s="794">
        <v>0</v>
      </c>
      <c r="Y9" s="794">
        <v>1.079887619E-3</v>
      </c>
      <c r="Z9" s="794">
        <v>4.5315500782667257</v>
      </c>
      <c r="AA9" s="796">
        <v>0</v>
      </c>
      <c r="AB9" s="796">
        <v>0</v>
      </c>
      <c r="AC9" s="795">
        <v>10.906981790577232</v>
      </c>
    </row>
    <row r="10" spans="1:29">
      <c r="A10" s="3"/>
      <c r="B10" s="6" t="s">
        <v>151</v>
      </c>
      <c r="C10" s="794">
        <v>0</v>
      </c>
      <c r="D10" s="794">
        <v>0</v>
      </c>
      <c r="E10" s="794">
        <v>0</v>
      </c>
      <c r="F10" s="795">
        <v>0</v>
      </c>
      <c r="G10" s="794">
        <v>0</v>
      </c>
      <c r="H10" s="794">
        <v>0</v>
      </c>
      <c r="I10" s="794">
        <v>1.894109659391088E-4</v>
      </c>
      <c r="J10" s="794">
        <v>0</v>
      </c>
      <c r="K10" s="794">
        <v>0</v>
      </c>
      <c r="L10" s="794">
        <v>0.44941115907575735</v>
      </c>
      <c r="M10" s="794">
        <v>0</v>
      </c>
      <c r="N10" s="794">
        <v>0</v>
      </c>
      <c r="O10" s="794">
        <v>0</v>
      </c>
      <c r="P10" s="794">
        <v>0</v>
      </c>
      <c r="Q10" s="794">
        <v>0</v>
      </c>
      <c r="R10" s="795">
        <v>0.44960057004169646</v>
      </c>
      <c r="S10" s="794">
        <v>5.5846634356344165</v>
      </c>
      <c r="T10" s="794">
        <v>0</v>
      </c>
      <c r="U10" s="794">
        <v>0</v>
      </c>
      <c r="V10" s="795">
        <v>5.5846634356344165</v>
      </c>
      <c r="W10" s="795">
        <v>6.0342640056761132</v>
      </c>
      <c r="X10" s="794">
        <v>0</v>
      </c>
      <c r="Y10" s="794">
        <v>3.5951622400000001E-2</v>
      </c>
      <c r="Z10" s="794">
        <v>3.3918775648152852</v>
      </c>
      <c r="AA10" s="796">
        <v>0</v>
      </c>
      <c r="AB10" s="796">
        <v>0</v>
      </c>
      <c r="AC10" s="795">
        <v>9.4620931928913983</v>
      </c>
    </row>
    <row r="11" spans="1:29">
      <c r="A11" s="3"/>
      <c r="B11" s="6" t="s">
        <v>152</v>
      </c>
      <c r="C11" s="794">
        <v>0</v>
      </c>
      <c r="D11" s="794">
        <v>0</v>
      </c>
      <c r="E11" s="794">
        <v>0</v>
      </c>
      <c r="F11" s="795">
        <v>0</v>
      </c>
      <c r="G11" s="794">
        <v>0</v>
      </c>
      <c r="H11" s="794">
        <v>0</v>
      </c>
      <c r="I11" s="794">
        <v>1.935720382993792E-2</v>
      </c>
      <c r="J11" s="794">
        <v>0</v>
      </c>
      <c r="K11" s="794">
        <v>0</v>
      </c>
      <c r="L11" s="794">
        <v>0.2247881648312354</v>
      </c>
      <c r="M11" s="794">
        <v>0</v>
      </c>
      <c r="N11" s="794">
        <v>0</v>
      </c>
      <c r="O11" s="794">
        <v>0</v>
      </c>
      <c r="P11" s="794">
        <v>0</v>
      </c>
      <c r="Q11" s="794">
        <v>0</v>
      </c>
      <c r="R11" s="795">
        <v>0.24414536866117331</v>
      </c>
      <c r="S11" s="794">
        <v>3.6406434858904086</v>
      </c>
      <c r="T11" s="794">
        <v>0</v>
      </c>
      <c r="U11" s="794">
        <v>0</v>
      </c>
      <c r="V11" s="795">
        <v>3.6406434858904086</v>
      </c>
      <c r="W11" s="795">
        <v>3.8847888545515818</v>
      </c>
      <c r="X11" s="794">
        <v>0</v>
      </c>
      <c r="Y11" s="794">
        <v>3.3213180000000002E-3</v>
      </c>
      <c r="Z11" s="794">
        <v>1.4383931750723238</v>
      </c>
      <c r="AA11" s="796">
        <v>0</v>
      </c>
      <c r="AB11" s="796">
        <v>0</v>
      </c>
      <c r="AC11" s="795">
        <v>5.3265033476239054</v>
      </c>
    </row>
    <row r="12" spans="1:29">
      <c r="A12" s="3"/>
      <c r="B12" s="6" t="s">
        <v>153</v>
      </c>
      <c r="C12" s="794">
        <v>0</v>
      </c>
      <c r="D12" s="794">
        <v>0</v>
      </c>
      <c r="E12" s="794">
        <v>0</v>
      </c>
      <c r="F12" s="795">
        <v>0</v>
      </c>
      <c r="G12" s="794">
        <v>0</v>
      </c>
      <c r="H12" s="794">
        <v>0</v>
      </c>
      <c r="I12" s="794">
        <v>7.6386402534155986E-21</v>
      </c>
      <c r="J12" s="794">
        <v>0</v>
      </c>
      <c r="K12" s="794">
        <v>0</v>
      </c>
      <c r="L12" s="794">
        <v>1.813785728381724</v>
      </c>
      <c r="M12" s="794">
        <v>0</v>
      </c>
      <c r="N12" s="794">
        <v>0</v>
      </c>
      <c r="O12" s="794">
        <v>0</v>
      </c>
      <c r="P12" s="794">
        <v>0</v>
      </c>
      <c r="Q12" s="794">
        <v>0</v>
      </c>
      <c r="R12" s="795">
        <v>1.813785728381724</v>
      </c>
      <c r="S12" s="794">
        <v>15.509298808999118</v>
      </c>
      <c r="T12" s="794">
        <v>0</v>
      </c>
      <c r="U12" s="794">
        <v>0</v>
      </c>
      <c r="V12" s="795">
        <v>15.509298808999118</v>
      </c>
      <c r="W12" s="795">
        <v>17.323084537380844</v>
      </c>
      <c r="X12" s="794">
        <v>0</v>
      </c>
      <c r="Y12" s="794">
        <v>1.6862706843630001E-2</v>
      </c>
      <c r="Z12" s="794">
        <v>13.417210104889213</v>
      </c>
      <c r="AA12" s="796">
        <v>0</v>
      </c>
      <c r="AB12" s="796">
        <v>0</v>
      </c>
      <c r="AC12" s="795">
        <v>30.757157349113683</v>
      </c>
    </row>
    <row r="13" spans="1:29">
      <c r="A13" s="3"/>
      <c r="B13" s="6" t="s">
        <v>154</v>
      </c>
      <c r="C13" s="794">
        <v>0</v>
      </c>
      <c r="D13" s="794">
        <v>0</v>
      </c>
      <c r="E13" s="794">
        <v>0</v>
      </c>
      <c r="F13" s="795">
        <v>0</v>
      </c>
      <c r="G13" s="794">
        <v>0</v>
      </c>
      <c r="H13" s="794">
        <v>0</v>
      </c>
      <c r="I13" s="794">
        <v>0.40195087908571397</v>
      </c>
      <c r="J13" s="794">
        <v>8.8016389999999998E-4</v>
      </c>
      <c r="K13" s="794">
        <v>0</v>
      </c>
      <c r="L13" s="794">
        <v>2.1243947640288035</v>
      </c>
      <c r="M13" s="794">
        <v>0</v>
      </c>
      <c r="N13" s="794">
        <v>6.5907727293054606E-3</v>
      </c>
      <c r="O13" s="794">
        <v>0</v>
      </c>
      <c r="P13" s="794">
        <v>0</v>
      </c>
      <c r="Q13" s="794">
        <v>0</v>
      </c>
      <c r="R13" s="795">
        <v>2.533816579743823</v>
      </c>
      <c r="S13" s="794">
        <v>9.2520970905130451</v>
      </c>
      <c r="T13" s="794">
        <v>0</v>
      </c>
      <c r="U13" s="794">
        <v>0</v>
      </c>
      <c r="V13" s="795">
        <v>9.2520970905130451</v>
      </c>
      <c r="W13" s="795">
        <v>11.785913670256868</v>
      </c>
      <c r="X13" s="794">
        <v>0</v>
      </c>
      <c r="Y13" s="794">
        <v>1.4485870999999999E-2</v>
      </c>
      <c r="Z13" s="794">
        <v>12.307742068382082</v>
      </c>
      <c r="AA13" s="796">
        <v>0</v>
      </c>
      <c r="AB13" s="796">
        <v>0</v>
      </c>
      <c r="AC13" s="795">
        <v>24.108141609638949</v>
      </c>
    </row>
    <row r="14" spans="1:29">
      <c r="A14" s="214"/>
      <c r="B14" s="215" t="s">
        <v>155</v>
      </c>
      <c r="C14" s="797">
        <v>0</v>
      </c>
      <c r="D14" s="797">
        <v>9.376000000000001E-5</v>
      </c>
      <c r="E14" s="797">
        <v>0</v>
      </c>
      <c r="F14" s="798">
        <v>9.376000000000001E-5</v>
      </c>
      <c r="G14" s="794">
        <v>0</v>
      </c>
      <c r="H14" s="794">
        <v>0</v>
      </c>
      <c r="I14" s="794">
        <v>9.994562679564252E-2</v>
      </c>
      <c r="J14" s="794">
        <v>4.2937489092292492E-3</v>
      </c>
      <c r="K14" s="794">
        <v>0</v>
      </c>
      <c r="L14" s="794">
        <v>5.0369452114544</v>
      </c>
      <c r="M14" s="794">
        <v>0</v>
      </c>
      <c r="N14" s="794">
        <v>7.1787872000000003E-2</v>
      </c>
      <c r="O14" s="794">
        <v>0</v>
      </c>
      <c r="P14" s="794">
        <v>0</v>
      </c>
      <c r="Q14" s="794">
        <v>0</v>
      </c>
      <c r="R14" s="798">
        <v>5.2129724591592712</v>
      </c>
      <c r="S14" s="794">
        <v>6.7257839555018473</v>
      </c>
      <c r="T14" s="797">
        <v>0</v>
      </c>
      <c r="U14" s="797">
        <v>0</v>
      </c>
      <c r="V14" s="798">
        <v>6.7257839555018473</v>
      </c>
      <c r="W14" s="798">
        <v>11.93885017466112</v>
      </c>
      <c r="X14" s="794">
        <v>1.8763489999999998</v>
      </c>
      <c r="Y14" s="794">
        <v>3.2637865821731329</v>
      </c>
      <c r="Z14" s="794">
        <v>7.7396682351490522</v>
      </c>
      <c r="AA14" s="799">
        <v>0</v>
      </c>
      <c r="AB14" s="799">
        <v>0</v>
      </c>
      <c r="AC14" s="798">
        <v>24.818653991983304</v>
      </c>
    </row>
    <row r="15" spans="1:29">
      <c r="A15" s="212" t="s">
        <v>156</v>
      </c>
      <c r="B15" s="216"/>
      <c r="C15" s="800">
        <v>0</v>
      </c>
      <c r="D15" s="800">
        <v>0.19343917840000008</v>
      </c>
      <c r="E15" s="800">
        <v>0.16806480000000013</v>
      </c>
      <c r="F15" s="800">
        <v>0.3615039784000002</v>
      </c>
      <c r="G15" s="800">
        <v>0</v>
      </c>
      <c r="H15" s="800">
        <v>0</v>
      </c>
      <c r="I15" s="800">
        <v>2.4200796840300405</v>
      </c>
      <c r="J15" s="800">
        <v>0.18831586442104797</v>
      </c>
      <c r="K15" s="800">
        <v>0</v>
      </c>
      <c r="L15" s="800">
        <v>9.1822405717342122</v>
      </c>
      <c r="M15" s="800">
        <v>0</v>
      </c>
      <c r="N15" s="800">
        <v>0.53652456753156952</v>
      </c>
      <c r="O15" s="800">
        <v>0</v>
      </c>
      <c r="P15" s="800">
        <v>0</v>
      </c>
      <c r="Q15" s="800">
        <v>0</v>
      </c>
      <c r="R15" s="800">
        <v>12.327160687716866</v>
      </c>
      <c r="S15" s="800">
        <v>31.652698741296245</v>
      </c>
      <c r="T15" s="800">
        <v>0</v>
      </c>
      <c r="U15" s="800">
        <v>0</v>
      </c>
      <c r="V15" s="800">
        <v>31.652698741296245</v>
      </c>
      <c r="W15" s="800">
        <v>44.341363407413112</v>
      </c>
      <c r="X15" s="800">
        <v>0</v>
      </c>
      <c r="Y15" s="800">
        <f>SUM(Y16:Y24)</f>
        <v>2.5020913430998628</v>
      </c>
      <c r="Z15" s="800">
        <v>44.590949286888645</v>
      </c>
      <c r="AA15" s="802">
        <v>0</v>
      </c>
      <c r="AB15" s="802">
        <v>0</v>
      </c>
      <c r="AC15" s="801">
        <f>SUM(W15:Z15)</f>
        <v>91.43440403740162</v>
      </c>
    </row>
    <row r="16" spans="1:29">
      <c r="A16" s="5"/>
      <c r="B16" s="6" t="s">
        <v>34</v>
      </c>
      <c r="C16" s="803">
        <v>0</v>
      </c>
      <c r="D16" s="803">
        <v>0</v>
      </c>
      <c r="E16" s="803">
        <v>0</v>
      </c>
      <c r="F16" s="795">
        <v>0</v>
      </c>
      <c r="G16" s="803">
        <v>0</v>
      </c>
      <c r="H16" s="803">
        <v>0</v>
      </c>
      <c r="I16" s="803">
        <v>1.5080999999999998E-3</v>
      </c>
      <c r="J16" s="803">
        <v>0</v>
      </c>
      <c r="K16" s="803">
        <v>0</v>
      </c>
      <c r="L16" s="803">
        <v>6.7768586435859993E-2</v>
      </c>
      <c r="M16" s="803">
        <v>0</v>
      </c>
      <c r="N16" s="803">
        <v>1.8423510000000001E-2</v>
      </c>
      <c r="O16" s="803">
        <v>0</v>
      </c>
      <c r="P16" s="803">
        <v>0</v>
      </c>
      <c r="Q16" s="803">
        <v>0</v>
      </c>
      <c r="R16" s="795">
        <v>8.7700196435859995E-2</v>
      </c>
      <c r="S16" s="803">
        <v>0.33031616162024058</v>
      </c>
      <c r="T16" s="803">
        <v>0</v>
      </c>
      <c r="U16" s="803">
        <v>0</v>
      </c>
      <c r="V16" s="804">
        <v>0.33031616162024058</v>
      </c>
      <c r="W16" s="795">
        <v>0.4180163580561006</v>
      </c>
      <c r="X16" s="803">
        <v>0</v>
      </c>
      <c r="Y16" s="803">
        <v>0</v>
      </c>
      <c r="Z16" s="803">
        <v>0.69052132799999821</v>
      </c>
      <c r="AA16" s="796">
        <v>0</v>
      </c>
      <c r="AB16" s="796">
        <v>0</v>
      </c>
      <c r="AC16" s="795">
        <f t="shared" ref="AC16:AC24" si="0">SUM(W16:Z16)</f>
        <v>1.1085376860560987</v>
      </c>
    </row>
    <row r="17" spans="1:31">
      <c r="A17" s="5"/>
      <c r="B17" s="6" t="s">
        <v>37</v>
      </c>
      <c r="C17" s="803">
        <v>0</v>
      </c>
      <c r="D17" s="803">
        <v>0</v>
      </c>
      <c r="E17" s="803">
        <v>0.16806480000000013</v>
      </c>
      <c r="F17" s="795">
        <v>0.16806480000000013</v>
      </c>
      <c r="G17" s="803">
        <v>0</v>
      </c>
      <c r="H17" s="803">
        <v>0</v>
      </c>
      <c r="I17" s="803">
        <v>4.187761727E-3</v>
      </c>
      <c r="J17" s="803">
        <v>0</v>
      </c>
      <c r="K17" s="803">
        <v>0</v>
      </c>
      <c r="L17" s="803">
        <v>8.9212057588980015E-2</v>
      </c>
      <c r="M17" s="803">
        <v>0</v>
      </c>
      <c r="N17" s="803">
        <v>0</v>
      </c>
      <c r="O17" s="803">
        <v>0</v>
      </c>
      <c r="P17" s="803">
        <v>0</v>
      </c>
      <c r="Q17" s="803">
        <v>0</v>
      </c>
      <c r="R17" s="795">
        <v>9.3399819315980015E-2</v>
      </c>
      <c r="S17" s="803">
        <v>0.48841661584800011</v>
      </c>
      <c r="T17" s="803">
        <v>0</v>
      </c>
      <c r="U17" s="803">
        <v>0</v>
      </c>
      <c r="V17" s="804">
        <v>0.48841661584800011</v>
      </c>
      <c r="W17" s="795">
        <v>0.74988123516398031</v>
      </c>
      <c r="X17" s="803">
        <v>0</v>
      </c>
      <c r="Y17" s="803">
        <v>0</v>
      </c>
      <c r="Z17" s="803">
        <v>0.33713825760000127</v>
      </c>
      <c r="AA17" s="796">
        <v>0</v>
      </c>
      <c r="AB17" s="796">
        <v>0</v>
      </c>
      <c r="AC17" s="795">
        <f t="shared" si="0"/>
        <v>1.0870194927639816</v>
      </c>
    </row>
    <row r="18" spans="1:31">
      <c r="A18" s="5"/>
      <c r="B18" s="6" t="s">
        <v>35</v>
      </c>
      <c r="C18" s="803">
        <v>0</v>
      </c>
      <c r="D18" s="803">
        <v>0</v>
      </c>
      <c r="E18" s="803">
        <v>0</v>
      </c>
      <c r="F18" s="795">
        <v>0</v>
      </c>
      <c r="G18" s="803">
        <v>0</v>
      </c>
      <c r="H18" s="803">
        <v>0</v>
      </c>
      <c r="I18" s="803">
        <v>6.1138272033187731E-2</v>
      </c>
      <c r="J18" s="803">
        <v>0</v>
      </c>
      <c r="K18" s="803">
        <v>0</v>
      </c>
      <c r="L18" s="803">
        <v>0.72735507723775938</v>
      </c>
      <c r="M18" s="803">
        <v>0</v>
      </c>
      <c r="N18" s="803">
        <v>1.4580914947284787E-2</v>
      </c>
      <c r="O18" s="803">
        <v>0</v>
      </c>
      <c r="P18" s="803">
        <v>0</v>
      </c>
      <c r="Q18" s="803">
        <v>0</v>
      </c>
      <c r="R18" s="795">
        <v>0.80307426421823191</v>
      </c>
      <c r="S18" s="803">
        <v>5.3257075122304656</v>
      </c>
      <c r="T18" s="803">
        <v>0</v>
      </c>
      <c r="U18" s="803">
        <v>0</v>
      </c>
      <c r="V18" s="804">
        <v>5.3257075122304656</v>
      </c>
      <c r="W18" s="795">
        <v>6.1287817764486974</v>
      </c>
      <c r="X18" s="803">
        <v>0</v>
      </c>
      <c r="Y18" s="803">
        <v>8.5157060279999988E-2</v>
      </c>
      <c r="Z18" s="803">
        <v>1.6990864910538126</v>
      </c>
      <c r="AA18" s="796">
        <v>0</v>
      </c>
      <c r="AB18" s="796">
        <v>0</v>
      </c>
      <c r="AC18" s="795">
        <f t="shared" si="0"/>
        <v>7.9130253277825098</v>
      </c>
    </row>
    <row r="19" spans="1:31">
      <c r="A19" s="5"/>
      <c r="B19" s="6" t="s">
        <v>32</v>
      </c>
      <c r="C19" s="803">
        <v>0</v>
      </c>
      <c r="D19" s="803">
        <v>0</v>
      </c>
      <c r="E19" s="803">
        <v>0</v>
      </c>
      <c r="F19" s="795">
        <v>0</v>
      </c>
      <c r="G19" s="803">
        <v>0</v>
      </c>
      <c r="H19" s="803">
        <v>0</v>
      </c>
      <c r="I19" s="803">
        <v>2.1824399900561504</v>
      </c>
      <c r="J19" s="803">
        <v>0.18831586442104797</v>
      </c>
      <c r="K19" s="803">
        <v>0</v>
      </c>
      <c r="L19" s="803">
        <v>7.1568789401385189</v>
      </c>
      <c r="M19" s="803">
        <v>0</v>
      </c>
      <c r="N19" s="803">
        <v>0.20630048569270404</v>
      </c>
      <c r="O19" s="803">
        <v>0</v>
      </c>
      <c r="P19" s="803">
        <v>0</v>
      </c>
      <c r="Q19" s="803">
        <v>0</v>
      </c>
      <c r="R19" s="795">
        <v>9.7339352803084225</v>
      </c>
      <c r="S19" s="803">
        <v>6.441027061450141</v>
      </c>
      <c r="T19" s="803">
        <v>0</v>
      </c>
      <c r="U19" s="803">
        <v>0</v>
      </c>
      <c r="V19" s="804">
        <v>6.441027061450141</v>
      </c>
      <c r="W19" s="795">
        <v>16.174962341758565</v>
      </c>
      <c r="X19" s="803">
        <v>0</v>
      </c>
      <c r="Y19" s="803">
        <v>0.67470314462399994</v>
      </c>
      <c r="Z19" s="803">
        <v>8.5526391024131065</v>
      </c>
      <c r="AA19" s="796">
        <v>0</v>
      </c>
      <c r="AB19" s="796">
        <v>0</v>
      </c>
      <c r="AC19" s="795">
        <f t="shared" si="0"/>
        <v>25.402304588795673</v>
      </c>
    </row>
    <row r="20" spans="1:31">
      <c r="A20" s="5"/>
      <c r="B20" s="6" t="s">
        <v>40</v>
      </c>
      <c r="C20" s="803">
        <v>0</v>
      </c>
      <c r="D20" s="803">
        <v>0</v>
      </c>
      <c r="E20" s="803">
        <v>0</v>
      </c>
      <c r="F20" s="795">
        <v>0</v>
      </c>
      <c r="G20" s="803">
        <v>0</v>
      </c>
      <c r="H20" s="803">
        <v>0</v>
      </c>
      <c r="I20" s="803">
        <v>5.4780452094109207E-2</v>
      </c>
      <c r="J20" s="803">
        <v>0</v>
      </c>
      <c r="K20" s="803">
        <v>0</v>
      </c>
      <c r="L20" s="803">
        <v>0.47861213564064325</v>
      </c>
      <c r="M20" s="803">
        <v>0</v>
      </c>
      <c r="N20" s="803">
        <v>9.0088094799999994E-3</v>
      </c>
      <c r="O20" s="803">
        <v>0</v>
      </c>
      <c r="P20" s="803">
        <v>0</v>
      </c>
      <c r="Q20" s="803">
        <v>0</v>
      </c>
      <c r="R20" s="795">
        <v>0.54240139721475256</v>
      </c>
      <c r="S20" s="803">
        <v>10.262513005960651</v>
      </c>
      <c r="T20" s="803">
        <v>0</v>
      </c>
      <c r="U20" s="803">
        <v>0</v>
      </c>
      <c r="V20" s="804">
        <v>10.262513005960651</v>
      </c>
      <c r="W20" s="795">
        <v>10.804914403175403</v>
      </c>
      <c r="X20" s="803">
        <v>0</v>
      </c>
      <c r="Y20" s="803">
        <v>0.80814495451976265</v>
      </c>
      <c r="Z20" s="803">
        <v>2.1548974499383249</v>
      </c>
      <c r="AA20" s="796">
        <v>0</v>
      </c>
      <c r="AB20" s="796">
        <v>0</v>
      </c>
      <c r="AC20" s="795">
        <f t="shared" si="0"/>
        <v>13.767956807633491</v>
      </c>
    </row>
    <row r="21" spans="1:31">
      <c r="A21" s="5"/>
      <c r="B21" s="6" t="s">
        <v>39</v>
      </c>
      <c r="C21" s="803">
        <v>0</v>
      </c>
      <c r="D21" s="803">
        <v>0</v>
      </c>
      <c r="E21" s="803">
        <v>0</v>
      </c>
      <c r="F21" s="795">
        <v>0</v>
      </c>
      <c r="G21" s="803">
        <v>0</v>
      </c>
      <c r="H21" s="803">
        <v>0</v>
      </c>
      <c r="I21" s="803">
        <v>1.6927820408319288E-2</v>
      </c>
      <c r="J21" s="803">
        <v>0</v>
      </c>
      <c r="K21" s="803">
        <v>0</v>
      </c>
      <c r="L21" s="803">
        <v>0.12557121144127745</v>
      </c>
      <c r="M21" s="803">
        <v>0</v>
      </c>
      <c r="N21" s="803">
        <v>0.20133391732818626</v>
      </c>
      <c r="O21" s="803">
        <v>0</v>
      </c>
      <c r="P21" s="803">
        <v>0</v>
      </c>
      <c r="Q21" s="803">
        <v>0</v>
      </c>
      <c r="R21" s="795">
        <v>0.34383294917778295</v>
      </c>
      <c r="S21" s="803">
        <v>2.1181464164658594</v>
      </c>
      <c r="T21" s="803">
        <v>0</v>
      </c>
      <c r="U21" s="803">
        <v>0</v>
      </c>
      <c r="V21" s="804">
        <v>2.1181464164658594</v>
      </c>
      <c r="W21" s="795">
        <v>2.4619793656436424</v>
      </c>
      <c r="X21" s="803">
        <v>0</v>
      </c>
      <c r="Y21" s="803">
        <v>1.2393E-2</v>
      </c>
      <c r="Z21" s="803">
        <v>6.1661793012046822</v>
      </c>
      <c r="AA21" s="796">
        <v>0</v>
      </c>
      <c r="AB21" s="796">
        <v>0</v>
      </c>
      <c r="AC21" s="795">
        <f t="shared" si="0"/>
        <v>8.6405516668483244</v>
      </c>
    </row>
    <row r="22" spans="1:31">
      <c r="A22" s="5"/>
      <c r="B22" s="6" t="s">
        <v>36</v>
      </c>
      <c r="C22" s="803">
        <v>0</v>
      </c>
      <c r="D22" s="803">
        <v>3.3090000000000619E-3</v>
      </c>
      <c r="E22" s="803">
        <v>0</v>
      </c>
      <c r="F22" s="795">
        <v>3.3090000000000619E-3</v>
      </c>
      <c r="G22" s="803">
        <v>0</v>
      </c>
      <c r="H22" s="803">
        <v>0</v>
      </c>
      <c r="I22" s="803">
        <v>6.0345343735897602E-2</v>
      </c>
      <c r="J22" s="803">
        <v>0</v>
      </c>
      <c r="K22" s="803">
        <v>0</v>
      </c>
      <c r="L22" s="803">
        <v>0.38076017370710402</v>
      </c>
      <c r="M22" s="803">
        <v>0</v>
      </c>
      <c r="N22" s="803">
        <v>8.2628930083394669E-2</v>
      </c>
      <c r="O22" s="803">
        <v>0</v>
      </c>
      <c r="P22" s="803">
        <v>0</v>
      </c>
      <c r="Q22" s="803">
        <v>0</v>
      </c>
      <c r="R22" s="795">
        <v>0.52373444752639631</v>
      </c>
      <c r="S22" s="803">
        <v>0.70477190120100808</v>
      </c>
      <c r="T22" s="803">
        <v>0</v>
      </c>
      <c r="U22" s="803">
        <v>0</v>
      </c>
      <c r="V22" s="804">
        <v>0.70477190120100808</v>
      </c>
      <c r="W22" s="795">
        <v>1.2318153487274044</v>
      </c>
      <c r="X22" s="803">
        <v>0</v>
      </c>
      <c r="Y22" s="803">
        <v>0</v>
      </c>
      <c r="Z22" s="803">
        <v>2.8401158445797829</v>
      </c>
      <c r="AA22" s="796">
        <v>0</v>
      </c>
      <c r="AB22" s="796">
        <v>0</v>
      </c>
      <c r="AC22" s="795">
        <f t="shared" si="0"/>
        <v>4.0719311933071873</v>
      </c>
    </row>
    <row r="23" spans="1:31">
      <c r="A23" s="5"/>
      <c r="B23" s="6" t="s">
        <v>38</v>
      </c>
      <c r="C23" s="803">
        <v>0</v>
      </c>
      <c r="D23" s="803">
        <v>0.19013017840000002</v>
      </c>
      <c r="E23" s="803">
        <v>0</v>
      </c>
      <c r="F23" s="795">
        <v>0.19013017840000002</v>
      </c>
      <c r="G23" s="803">
        <v>0</v>
      </c>
      <c r="H23" s="803">
        <v>0</v>
      </c>
      <c r="I23" s="803">
        <v>1.2180430617196099E-2</v>
      </c>
      <c r="J23" s="803">
        <v>0</v>
      </c>
      <c r="K23" s="803">
        <v>0</v>
      </c>
      <c r="L23" s="803">
        <v>7.1380926332698158E-2</v>
      </c>
      <c r="M23" s="803">
        <v>0</v>
      </c>
      <c r="N23" s="803">
        <v>0</v>
      </c>
      <c r="O23" s="803">
        <v>0</v>
      </c>
      <c r="P23" s="803">
        <v>0</v>
      </c>
      <c r="Q23" s="803">
        <v>0</v>
      </c>
      <c r="R23" s="795">
        <v>8.356135694989425E-2</v>
      </c>
      <c r="S23" s="803">
        <v>0.37071793972367972</v>
      </c>
      <c r="T23" s="803">
        <v>0</v>
      </c>
      <c r="U23" s="803">
        <v>0</v>
      </c>
      <c r="V23" s="804">
        <v>0.37071793972367972</v>
      </c>
      <c r="W23" s="795">
        <v>0.64440947507357405</v>
      </c>
      <c r="X23" s="803">
        <v>0</v>
      </c>
      <c r="Y23" s="803">
        <v>0.69260101870009994</v>
      </c>
      <c r="Z23" s="803">
        <v>11.066638674201531</v>
      </c>
      <c r="AA23" s="796">
        <v>0</v>
      </c>
      <c r="AB23" s="796">
        <v>0</v>
      </c>
      <c r="AC23" s="795">
        <f t="shared" si="0"/>
        <v>12.403649167975205</v>
      </c>
    </row>
    <row r="24" spans="1:31">
      <c r="A24" s="217"/>
      <c r="B24" s="215" t="s">
        <v>33</v>
      </c>
      <c r="C24" s="803">
        <v>0</v>
      </c>
      <c r="D24" s="803">
        <v>0</v>
      </c>
      <c r="E24" s="803">
        <v>0</v>
      </c>
      <c r="F24" s="795">
        <v>0</v>
      </c>
      <c r="G24" s="803">
        <v>0</v>
      </c>
      <c r="H24" s="803">
        <v>0</v>
      </c>
      <c r="I24" s="803">
        <v>2.6571513358180001E-2</v>
      </c>
      <c r="J24" s="803">
        <v>0</v>
      </c>
      <c r="K24" s="803">
        <v>0</v>
      </c>
      <c r="L24" s="803">
        <v>8.4701463211367983E-2</v>
      </c>
      <c r="M24" s="803">
        <v>0</v>
      </c>
      <c r="N24" s="803">
        <v>4.2479999999998075E-3</v>
      </c>
      <c r="O24" s="803">
        <v>0</v>
      </c>
      <c r="P24" s="803">
        <v>0</v>
      </c>
      <c r="Q24" s="803">
        <v>0</v>
      </c>
      <c r="R24" s="795">
        <v>0.1155209765695478</v>
      </c>
      <c r="S24" s="803">
        <v>5.6110821267961981</v>
      </c>
      <c r="T24" s="803">
        <v>0</v>
      </c>
      <c r="U24" s="803">
        <v>0</v>
      </c>
      <c r="V24" s="804">
        <v>5.6110821267961981</v>
      </c>
      <c r="W24" s="795">
        <v>5.7266031033657461</v>
      </c>
      <c r="X24" s="803">
        <v>0</v>
      </c>
      <c r="Y24" s="803">
        <v>0.22909216497599999</v>
      </c>
      <c r="Z24" s="803">
        <v>11.083732837897401</v>
      </c>
      <c r="AA24" s="796">
        <v>0</v>
      </c>
      <c r="AB24" s="796">
        <v>0</v>
      </c>
      <c r="AC24" s="795">
        <f t="shared" si="0"/>
        <v>17.039428106239146</v>
      </c>
    </row>
    <row r="25" spans="1:31">
      <c r="A25" s="5" t="s">
        <v>620</v>
      </c>
      <c r="B25" s="127"/>
      <c r="C25" s="800">
        <f>SUM(C27:C32)</f>
        <v>0</v>
      </c>
      <c r="D25" s="800">
        <f t="shared" ref="D25:Y25" si="1">SUM(D27:D32)</f>
        <v>0.60620204737314487</v>
      </c>
      <c r="E25" s="800">
        <f t="shared" si="1"/>
        <v>0</v>
      </c>
      <c r="F25" s="800">
        <f t="shared" si="1"/>
        <v>0.60620204737314487</v>
      </c>
      <c r="G25" s="800">
        <f t="shared" si="1"/>
        <v>0</v>
      </c>
      <c r="H25" s="800">
        <f t="shared" si="1"/>
        <v>0</v>
      </c>
      <c r="I25" s="800">
        <f t="shared" si="1"/>
        <v>5.0578543105576093E-2</v>
      </c>
      <c r="J25" s="800">
        <f t="shared" si="1"/>
        <v>7.5601803708064574E-2</v>
      </c>
      <c r="K25" s="800">
        <f t="shared" si="1"/>
        <v>0</v>
      </c>
      <c r="L25" s="800">
        <f t="shared" si="1"/>
        <v>9.0080070104441852</v>
      </c>
      <c r="M25" s="800">
        <f t="shared" si="1"/>
        <v>0</v>
      </c>
      <c r="N25" s="800">
        <f t="shared" si="1"/>
        <v>0.30232486703432288</v>
      </c>
      <c r="O25" s="800">
        <f t="shared" si="1"/>
        <v>0</v>
      </c>
      <c r="P25" s="800">
        <f t="shared" si="1"/>
        <v>0</v>
      </c>
      <c r="Q25" s="800">
        <f t="shared" si="1"/>
        <v>0</v>
      </c>
      <c r="R25" s="800">
        <f t="shared" si="1"/>
        <v>9.4365122242921462</v>
      </c>
      <c r="S25" s="800">
        <f t="shared" si="1"/>
        <v>15.665468684396625</v>
      </c>
      <c r="T25" s="800">
        <f t="shared" si="1"/>
        <v>0</v>
      </c>
      <c r="U25" s="800">
        <f t="shared" si="1"/>
        <v>0</v>
      </c>
      <c r="V25" s="800">
        <f t="shared" si="1"/>
        <v>15.665468684396625</v>
      </c>
      <c r="W25" s="800">
        <f t="shared" si="1"/>
        <v>25.708182956061918</v>
      </c>
      <c r="X25" s="800">
        <f t="shared" si="1"/>
        <v>0</v>
      </c>
      <c r="Y25" s="800">
        <f t="shared" si="1"/>
        <v>3.5253712547367928</v>
      </c>
      <c r="Z25" s="793">
        <f>SUM(Z27:Z32)</f>
        <v>-2.0609968926267501</v>
      </c>
      <c r="AA25" s="802">
        <f>SUM(AA27:AA32)</f>
        <v>0</v>
      </c>
      <c r="AB25" s="802">
        <f>SUM(AB27:AB32)</f>
        <v>0</v>
      </c>
      <c r="AC25" s="792">
        <f>SUM(AC27:AC32)</f>
        <v>27.172557318171961</v>
      </c>
      <c r="AE25" s="38"/>
    </row>
    <row r="26" spans="1:31">
      <c r="A26" s="5"/>
      <c r="B26" s="127"/>
      <c r="C26" s="805"/>
      <c r="D26" s="806"/>
      <c r="E26" s="805"/>
      <c r="F26" s="795"/>
      <c r="G26" s="806"/>
      <c r="H26" s="806"/>
      <c r="I26" s="806"/>
      <c r="J26" s="806"/>
      <c r="K26" s="806"/>
      <c r="L26" s="806"/>
      <c r="M26" s="806"/>
      <c r="N26" s="806"/>
      <c r="O26" s="806"/>
      <c r="P26" s="806"/>
      <c r="Q26" s="806"/>
      <c r="R26" s="795"/>
      <c r="S26" s="806"/>
      <c r="T26" s="805"/>
      <c r="U26" s="805"/>
      <c r="V26" s="795"/>
      <c r="W26" s="795"/>
      <c r="X26" s="805"/>
      <c r="Y26" s="809"/>
      <c r="Z26" s="809">
        <v>2.553071552008769</v>
      </c>
      <c r="AA26" s="810"/>
      <c r="AB26" s="807"/>
      <c r="AC26" s="808"/>
      <c r="AE26" s="38"/>
    </row>
    <row r="27" spans="1:31">
      <c r="A27" s="3"/>
      <c r="B27" s="6" t="s">
        <v>157</v>
      </c>
      <c r="C27" s="794">
        <v>0</v>
      </c>
      <c r="D27" s="794">
        <v>3.2072622633164873E-3</v>
      </c>
      <c r="E27" s="794">
        <v>0</v>
      </c>
      <c r="F27" s="795">
        <v>3.2072622633164873E-3</v>
      </c>
      <c r="G27" s="794">
        <v>0</v>
      </c>
      <c r="H27" s="794">
        <v>0</v>
      </c>
      <c r="I27" s="794">
        <v>3.5901265855751006E-2</v>
      </c>
      <c r="J27" s="794">
        <v>2.5959933953920945E-3</v>
      </c>
      <c r="K27" s="794">
        <v>0</v>
      </c>
      <c r="L27" s="794">
        <v>5.2414723868224957</v>
      </c>
      <c r="M27" s="794">
        <v>0</v>
      </c>
      <c r="N27" s="794">
        <v>0</v>
      </c>
      <c r="O27" s="794">
        <v>0</v>
      </c>
      <c r="P27" s="794">
        <v>0</v>
      </c>
      <c r="Q27" s="794">
        <v>0</v>
      </c>
      <c r="R27" s="795">
        <v>5.2799696460736385</v>
      </c>
      <c r="S27" s="794">
        <v>0.35811261680564133</v>
      </c>
      <c r="T27" s="794">
        <v>0</v>
      </c>
      <c r="U27" s="794">
        <v>0</v>
      </c>
      <c r="V27" s="795">
        <v>0.35811261680564133</v>
      </c>
      <c r="W27" s="795">
        <v>5.6412895251425965</v>
      </c>
      <c r="X27" s="794">
        <v>0</v>
      </c>
      <c r="Y27" s="794">
        <v>1.2575308895367929</v>
      </c>
      <c r="Z27" s="794">
        <v>2.0064468118461978</v>
      </c>
      <c r="AA27" s="796">
        <v>0</v>
      </c>
      <c r="AB27" s="796">
        <v>0</v>
      </c>
      <c r="AC27" s="795">
        <v>8.9052672265255879</v>
      </c>
    </row>
    <row r="28" spans="1:31">
      <c r="A28" s="3"/>
      <c r="B28" s="6" t="s">
        <v>158</v>
      </c>
      <c r="C28" s="794">
        <v>0</v>
      </c>
      <c r="D28" s="794">
        <v>4.3735023917342968E-4</v>
      </c>
      <c r="E28" s="794">
        <v>0</v>
      </c>
      <c r="F28" s="795">
        <v>4.3735023917342968E-4</v>
      </c>
      <c r="G28" s="794">
        <v>0</v>
      </c>
      <c r="H28" s="794">
        <v>0</v>
      </c>
      <c r="I28" s="794">
        <v>1.651385750055341E-3</v>
      </c>
      <c r="J28" s="794">
        <v>3.99478226965958E-4</v>
      </c>
      <c r="K28" s="794">
        <v>0</v>
      </c>
      <c r="L28" s="794">
        <v>1.9819887983552629</v>
      </c>
      <c r="M28" s="794">
        <v>0</v>
      </c>
      <c r="N28" s="794">
        <v>0</v>
      </c>
      <c r="O28" s="794">
        <v>0</v>
      </c>
      <c r="P28" s="794">
        <v>0</v>
      </c>
      <c r="Q28" s="794">
        <v>0</v>
      </c>
      <c r="R28" s="795">
        <v>1.9840396623322842</v>
      </c>
      <c r="S28" s="794">
        <v>0.24710666399522882</v>
      </c>
      <c r="T28" s="794">
        <v>0</v>
      </c>
      <c r="U28" s="794">
        <v>0</v>
      </c>
      <c r="V28" s="795">
        <v>0.24710666399522882</v>
      </c>
      <c r="W28" s="795">
        <v>2.2315836765666863</v>
      </c>
      <c r="X28" s="794">
        <v>0</v>
      </c>
      <c r="Y28" s="794">
        <v>1.8958881773318002</v>
      </c>
      <c r="Z28" s="794">
        <v>-4.6184139921112716E-3</v>
      </c>
      <c r="AA28" s="796">
        <v>0</v>
      </c>
      <c r="AB28" s="796">
        <v>0</v>
      </c>
      <c r="AC28" s="795">
        <v>4.1228534399063745</v>
      </c>
    </row>
    <row r="29" spans="1:31">
      <c r="A29" s="3"/>
      <c r="B29" s="6" t="s">
        <v>159</v>
      </c>
      <c r="C29" s="794">
        <v>0</v>
      </c>
      <c r="D29" s="794">
        <v>0.57889218495773975</v>
      </c>
      <c r="E29" s="794">
        <v>0</v>
      </c>
      <c r="F29" s="795">
        <v>0.57889218495773975</v>
      </c>
      <c r="G29" s="794">
        <v>0</v>
      </c>
      <c r="H29" s="794">
        <v>0</v>
      </c>
      <c r="I29" s="794">
        <v>6.0740234420837485E-3</v>
      </c>
      <c r="J29" s="794">
        <v>2.6131909235607418E-3</v>
      </c>
      <c r="K29" s="794">
        <v>0</v>
      </c>
      <c r="L29" s="794">
        <v>0.91233755912815928</v>
      </c>
      <c r="M29" s="794">
        <v>0</v>
      </c>
      <c r="N29" s="794">
        <v>0.27756494998007791</v>
      </c>
      <c r="O29" s="794">
        <v>0</v>
      </c>
      <c r="P29" s="794">
        <v>0</v>
      </c>
      <c r="Q29" s="794">
        <v>0</v>
      </c>
      <c r="R29" s="795">
        <v>1.1985897234738816</v>
      </c>
      <c r="S29" s="794">
        <v>15.033921854934553</v>
      </c>
      <c r="T29" s="794">
        <v>0</v>
      </c>
      <c r="U29" s="794">
        <v>0</v>
      </c>
      <c r="V29" s="795">
        <v>15.033921854934553</v>
      </c>
      <c r="W29" s="795">
        <v>16.811403763366176</v>
      </c>
      <c r="X29" s="794">
        <v>0</v>
      </c>
      <c r="Y29" s="794">
        <v>0.37184570850819992</v>
      </c>
      <c r="Z29" s="794">
        <v>-4.8896301783260885</v>
      </c>
      <c r="AA29" s="796">
        <v>0</v>
      </c>
      <c r="AB29" s="796">
        <v>0</v>
      </c>
      <c r="AC29" s="795">
        <v>12.293619293548288</v>
      </c>
    </row>
    <row r="30" spans="1:31">
      <c r="A30" s="3"/>
      <c r="B30" s="6" t="s">
        <v>160</v>
      </c>
      <c r="C30" s="794">
        <v>0</v>
      </c>
      <c r="D30" s="794">
        <v>2.3665249912915177E-2</v>
      </c>
      <c r="E30" s="794">
        <v>0</v>
      </c>
      <c r="F30" s="795">
        <v>2.3665249912915177E-2</v>
      </c>
      <c r="G30" s="794">
        <v>0</v>
      </c>
      <c r="H30" s="794">
        <v>0</v>
      </c>
      <c r="I30" s="794">
        <v>6.9499565123579991E-3</v>
      </c>
      <c r="J30" s="794">
        <v>4.5135781418569167E-3</v>
      </c>
      <c r="K30" s="794">
        <v>0</v>
      </c>
      <c r="L30" s="794">
        <v>0.86252678749432921</v>
      </c>
      <c r="M30" s="794">
        <v>0</v>
      </c>
      <c r="N30" s="794">
        <v>2.4759917054244955E-2</v>
      </c>
      <c r="O30" s="794">
        <v>0</v>
      </c>
      <c r="P30" s="794">
        <v>0</v>
      </c>
      <c r="Q30" s="794">
        <v>0</v>
      </c>
      <c r="R30" s="795">
        <v>0.89875023920278907</v>
      </c>
      <c r="S30" s="794">
        <v>2.632754866120162E-2</v>
      </c>
      <c r="T30" s="794">
        <v>0</v>
      </c>
      <c r="U30" s="794">
        <v>0</v>
      </c>
      <c r="V30" s="795">
        <v>2.632754866120162E-2</v>
      </c>
      <c r="W30" s="795">
        <v>0.94874303777690583</v>
      </c>
      <c r="X30" s="794">
        <v>0</v>
      </c>
      <c r="Y30" s="794">
        <v>1.0647935999999999E-4</v>
      </c>
      <c r="Z30" s="794">
        <v>0.82676705954925223</v>
      </c>
      <c r="AA30" s="796">
        <v>0</v>
      </c>
      <c r="AB30" s="796">
        <v>0</v>
      </c>
      <c r="AC30" s="795">
        <v>1.775616576686158</v>
      </c>
    </row>
    <row r="31" spans="1:31">
      <c r="A31" s="3"/>
      <c r="B31" s="6" t="s">
        <v>161</v>
      </c>
      <c r="C31" s="794">
        <v>0</v>
      </c>
      <c r="D31" s="794">
        <v>0</v>
      </c>
      <c r="E31" s="794">
        <v>0</v>
      </c>
      <c r="F31" s="795">
        <v>0</v>
      </c>
      <c r="G31" s="794">
        <v>0</v>
      </c>
      <c r="H31" s="794">
        <v>0</v>
      </c>
      <c r="I31" s="794">
        <v>1.9115453280000004E-6</v>
      </c>
      <c r="J31" s="794">
        <v>6.3348474900260909E-2</v>
      </c>
      <c r="K31" s="794">
        <v>0</v>
      </c>
      <c r="L31" s="794">
        <v>7.2077875509668999E-3</v>
      </c>
      <c r="M31" s="794">
        <v>0</v>
      </c>
      <c r="N31" s="794">
        <v>0</v>
      </c>
      <c r="O31" s="794">
        <v>0</v>
      </c>
      <c r="P31" s="794">
        <v>0</v>
      </c>
      <c r="Q31" s="794">
        <v>0</v>
      </c>
      <c r="R31" s="795">
        <v>7.0558173996555812E-2</v>
      </c>
      <c r="S31" s="794">
        <v>0</v>
      </c>
      <c r="T31" s="794">
        <v>0</v>
      </c>
      <c r="U31" s="794">
        <v>0</v>
      </c>
      <c r="V31" s="795">
        <v>0</v>
      </c>
      <c r="W31" s="795">
        <v>7.0558173996555812E-2</v>
      </c>
      <c r="X31" s="794">
        <v>0</v>
      </c>
      <c r="Y31" s="794">
        <v>0</v>
      </c>
      <c r="Z31" s="794">
        <v>0</v>
      </c>
      <c r="AA31" s="796">
        <v>0</v>
      </c>
      <c r="AB31" s="796">
        <v>0</v>
      </c>
      <c r="AC31" s="795">
        <v>7.0558173996555812E-2</v>
      </c>
    </row>
    <row r="32" spans="1:31">
      <c r="A32" s="4"/>
      <c r="B32" s="126" t="s">
        <v>162</v>
      </c>
      <c r="C32" s="812">
        <v>0</v>
      </c>
      <c r="D32" s="812">
        <v>0</v>
      </c>
      <c r="E32" s="812">
        <v>0</v>
      </c>
      <c r="F32" s="811">
        <v>0</v>
      </c>
      <c r="G32" s="812">
        <v>0</v>
      </c>
      <c r="H32" s="812">
        <v>0</v>
      </c>
      <c r="I32" s="812">
        <v>0</v>
      </c>
      <c r="J32" s="812">
        <v>2.13108812002795E-3</v>
      </c>
      <c r="K32" s="812">
        <v>0</v>
      </c>
      <c r="L32" s="812">
        <v>2.4736910929695002E-3</v>
      </c>
      <c r="M32" s="812">
        <v>0</v>
      </c>
      <c r="N32" s="812">
        <v>0</v>
      </c>
      <c r="O32" s="812">
        <v>0</v>
      </c>
      <c r="P32" s="812">
        <v>0</v>
      </c>
      <c r="Q32" s="812">
        <v>0</v>
      </c>
      <c r="R32" s="811">
        <v>4.6047792129974502E-3</v>
      </c>
      <c r="S32" s="812">
        <v>0</v>
      </c>
      <c r="T32" s="812">
        <v>0</v>
      </c>
      <c r="U32" s="812">
        <v>0</v>
      </c>
      <c r="V32" s="811">
        <v>0</v>
      </c>
      <c r="W32" s="811">
        <v>4.6047792129974502E-3</v>
      </c>
      <c r="X32" s="812">
        <v>0</v>
      </c>
      <c r="Y32" s="812">
        <v>0</v>
      </c>
      <c r="Z32" s="812">
        <v>3.7828296000000008E-5</v>
      </c>
      <c r="AA32" s="813">
        <v>0</v>
      </c>
      <c r="AB32" s="813">
        <v>0</v>
      </c>
      <c r="AC32" s="811">
        <v>4.6426075089974501E-3</v>
      </c>
    </row>
    <row r="35" spans="5:8">
      <c r="E35" s="848"/>
      <c r="F35" s="848"/>
      <c r="G35" s="848"/>
      <c r="H35" s="848"/>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0" t="s">
        <v>460</v>
      </c>
      <c r="B2" s="115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462</v>
      </c>
      <c r="C6" s="160" t="s">
        <v>478</v>
      </c>
    </row>
    <row r="7" spans="1:3" s="11" customFormat="1">
      <c r="A7" s="131"/>
      <c r="B7" s="132"/>
      <c r="C7" s="133"/>
    </row>
    <row r="8" spans="1:3" s="11" customFormat="1" ht="60">
      <c r="A8" s="113" t="s">
        <v>148</v>
      </c>
      <c r="B8" s="129" t="s">
        <v>462</v>
      </c>
      <c r="C8" s="303" t="s">
        <v>479</v>
      </c>
    </row>
    <row r="9" spans="1:3" s="11" customFormat="1">
      <c r="A9" s="131"/>
      <c r="B9" s="132"/>
      <c r="C9" s="133"/>
    </row>
    <row r="10" spans="1:3" s="11" customFormat="1" ht="60">
      <c r="A10" s="113" t="s">
        <v>149</v>
      </c>
      <c r="B10" s="129" t="s">
        <v>462</v>
      </c>
      <c r="C10" s="303" t="s">
        <v>479</v>
      </c>
    </row>
    <row r="11" spans="1:3" s="11" customFormat="1">
      <c r="A11" s="131"/>
      <c r="B11" s="132"/>
      <c r="C11" s="133"/>
    </row>
    <row r="12" spans="1:3" s="11" customFormat="1" ht="60">
      <c r="A12" s="113" t="s">
        <v>376</v>
      </c>
      <c r="B12" s="129" t="s">
        <v>462</v>
      </c>
      <c r="C12" s="303" t="s">
        <v>479</v>
      </c>
    </row>
    <row r="13" spans="1:3" s="11" customFormat="1">
      <c r="A13" s="131"/>
      <c r="B13" s="132"/>
      <c r="C13" s="133"/>
    </row>
    <row r="14" spans="1:3" s="11" customFormat="1" ht="60">
      <c r="A14" s="113" t="s">
        <v>105</v>
      </c>
      <c r="B14" s="129" t="s">
        <v>480</v>
      </c>
      <c r="C14" s="303" t="s">
        <v>479</v>
      </c>
    </row>
    <row r="15" spans="1:3" s="11" customFormat="1" ht="63">
      <c r="A15" s="123"/>
      <c r="B15" s="129" t="s">
        <v>481</v>
      </c>
      <c r="C15" s="303" t="s">
        <v>485</v>
      </c>
    </row>
    <row r="16" spans="1:3" s="11" customFormat="1">
      <c r="A16" s="131"/>
      <c r="B16" s="132"/>
      <c r="C16" s="133"/>
    </row>
    <row r="17" spans="1:3" s="11" customFormat="1" ht="45">
      <c r="A17" s="113" t="s">
        <v>461</v>
      </c>
      <c r="B17" s="129" t="s">
        <v>530</v>
      </c>
      <c r="C17" s="160" t="s">
        <v>531</v>
      </c>
    </row>
    <row r="18" spans="1:3" s="11" customFormat="1">
      <c r="A18" s="131"/>
      <c r="B18" s="132"/>
      <c r="C18" s="133"/>
    </row>
    <row r="19" spans="1:3" s="11" customFormat="1" ht="60">
      <c r="A19" s="113" t="s">
        <v>379</v>
      </c>
      <c r="B19" s="302" t="s">
        <v>528</v>
      </c>
      <c r="C19" s="160" t="s">
        <v>529</v>
      </c>
    </row>
    <row r="20" spans="1:3" s="11" customFormat="1">
      <c r="A20" s="113"/>
      <c r="B20" s="129"/>
      <c r="C20" s="130"/>
    </row>
    <row r="21" spans="1:3" ht="21">
      <c r="A21" s="125" t="s">
        <v>464</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52" t="s">
        <v>187</v>
      </c>
      <c r="B1" s="1153" t="s">
        <v>188</v>
      </c>
      <c r="C1" s="1154"/>
      <c r="D1" s="1154"/>
      <c r="E1" s="1154"/>
      <c r="F1" s="1154"/>
      <c r="G1" s="1154"/>
      <c r="H1" s="1154"/>
      <c r="I1" s="1154"/>
      <c r="J1" s="1154"/>
      <c r="K1" s="1154"/>
      <c r="L1" s="1154"/>
      <c r="M1" s="1154"/>
      <c r="N1" s="1154"/>
      <c r="O1" s="1154"/>
      <c r="P1" s="1154"/>
    </row>
    <row r="2" spans="1:16" s="322"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525</v>
      </c>
      <c r="B5" s="30">
        <f>SUM(OV_ov_ele_kWh,OV_rest_ele_kWh)/1000</f>
        <v>1273.327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465</v>
      </c>
      <c r="B8" s="21">
        <f>MAX((B5+B6),0)</f>
        <v>1273.327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0.20990261360219245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267.27466527023893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52" t="s">
        <v>148</v>
      </c>
      <c r="B1" s="1153" t="s">
        <v>188</v>
      </c>
      <c r="C1" s="1154"/>
      <c r="D1" s="1154"/>
      <c r="E1" s="1154"/>
      <c r="F1" s="1154"/>
      <c r="G1" s="1154"/>
      <c r="H1" s="1154"/>
      <c r="I1" s="1154"/>
      <c r="J1" s="1154"/>
      <c r="K1" s="1154"/>
      <c r="L1" s="1154"/>
      <c r="M1" s="1154"/>
      <c r="N1" s="1154"/>
      <c r="O1" s="1154"/>
      <c r="P1" s="1154"/>
    </row>
    <row r="2" spans="1:16" s="322"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527</v>
      </c>
      <c r="B5" s="30">
        <f>IF(ISERROR(SUM(HH_hh_ele_kWh,HH_rest_kWh)/1000),0,SUM(HH_hh_ele_kWh,HH_rest_kWh)/1000)</f>
        <v>26824.191215999999</v>
      </c>
      <c r="C5" s="17">
        <f>IF(ISERROR('Eigen informatie GS &amp; warmtenet'!B57),0,'Eigen informatie GS &amp; warmtenet'!B57)</f>
        <v>0</v>
      </c>
      <c r="D5" s="30">
        <f>(SUM(HH_hh_gas_kWh,HH_rest_gas_kWh)/1000)*0.902</f>
        <v>28843.549122674001</v>
      </c>
      <c r="E5" s="17">
        <f>B32*B41</f>
        <v>2226.6355141328413</v>
      </c>
      <c r="F5" s="17">
        <f>B36*B45</f>
        <v>60537.812290076487</v>
      </c>
      <c r="G5" s="18"/>
      <c r="H5" s="17"/>
      <c r="I5" s="17"/>
      <c r="J5" s="17">
        <f>B35*B44+C35*C44</f>
        <v>1116.4253867123598</v>
      </c>
      <c r="K5" s="17"/>
      <c r="L5" s="17"/>
      <c r="M5" s="17"/>
      <c r="N5" s="17">
        <f>B34*B43+C34*C43</f>
        <v>8950.9038747338345</v>
      </c>
      <c r="O5" s="17">
        <f>B52*B53*B54</f>
        <v>314.23</v>
      </c>
      <c r="P5" s="17">
        <f>B60*B61*B62/1000-B60*B61*B62/1000/B63</f>
        <v>1201.2</v>
      </c>
    </row>
    <row r="6" spans="1:16">
      <c r="A6" s="16" t="s">
        <v>586</v>
      </c>
      <c r="B6" s="716">
        <f>kWh_PV_kleiner_dan_10kW</f>
        <v>3460.1560952482123</v>
      </c>
      <c r="C6" s="717"/>
      <c r="D6" s="717"/>
      <c r="E6" s="718"/>
      <c r="F6" s="718"/>
      <c r="G6" s="718"/>
      <c r="H6" s="718"/>
      <c r="I6" s="718"/>
      <c r="J6" s="718"/>
      <c r="K6" s="718"/>
      <c r="L6" s="718"/>
      <c r="M6" s="718"/>
      <c r="N6" s="718"/>
      <c r="O6" s="718"/>
      <c r="P6" s="718"/>
    </row>
    <row r="7" spans="1:16">
      <c r="B7" s="19"/>
      <c r="C7" s="19"/>
      <c r="D7" s="19"/>
      <c r="E7" s="19"/>
      <c r="F7" s="19"/>
      <c r="G7" s="19"/>
      <c r="H7" s="19"/>
      <c r="I7" s="19"/>
      <c r="J7" s="19"/>
      <c r="K7" s="19"/>
      <c r="L7" s="19"/>
      <c r="M7" s="19"/>
      <c r="N7" s="19"/>
      <c r="O7" s="19"/>
      <c r="P7" s="19"/>
    </row>
    <row r="8" spans="1:16" s="8" customFormat="1">
      <c r="A8" s="20" t="s">
        <v>205</v>
      </c>
      <c r="B8" s="21">
        <f>B5+B6</f>
        <v>30284.34731124821</v>
      </c>
      <c r="C8" s="21">
        <f>C5</f>
        <v>0</v>
      </c>
      <c r="D8" s="21">
        <f>D5</f>
        <v>28843.549122674001</v>
      </c>
      <c r="E8" s="21">
        <f>E5</f>
        <v>2226.6355141328413</v>
      </c>
      <c r="F8" s="21">
        <f>F5</f>
        <v>60537.812290076487</v>
      </c>
      <c r="G8" s="21"/>
      <c r="H8" s="21"/>
      <c r="I8" s="21"/>
      <c r="J8" s="21">
        <f>J5</f>
        <v>1116.4253867123598</v>
      </c>
      <c r="K8" s="21"/>
      <c r="L8" s="21">
        <f>L5</f>
        <v>0</v>
      </c>
      <c r="M8" s="21">
        <f>M5</f>
        <v>0</v>
      </c>
      <c r="N8" s="21">
        <f>N5</f>
        <v>8950.9038747338345</v>
      </c>
      <c r="O8" s="21">
        <f>O5</f>
        <v>314.23</v>
      </c>
      <c r="P8" s="21">
        <f>P5</f>
        <v>1201.2</v>
      </c>
    </row>
    <row r="9" spans="1:16">
      <c r="B9" s="19"/>
      <c r="C9" s="19"/>
      <c r="D9" s="253"/>
      <c r="E9" s="19"/>
      <c r="F9" s="19"/>
      <c r="G9" s="19"/>
      <c r="H9" s="19"/>
      <c r="I9" s="19"/>
      <c r="J9" s="19"/>
      <c r="K9" s="19"/>
      <c r="L9" s="19"/>
      <c r="M9" s="19"/>
      <c r="N9" s="19"/>
      <c r="O9" s="19"/>
      <c r="P9" s="19"/>
    </row>
    <row r="10" spans="1:16">
      <c r="A10" s="24" t="s">
        <v>207</v>
      </c>
      <c r="B10" s="25">
        <f ca="1">'EF ele_warmte'!B12</f>
        <v>0.20990261360219245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6356.763651867529</v>
      </c>
      <c r="C12" s="23">
        <f ca="1">C10*C8</f>
        <v>0</v>
      </c>
      <c r="D12" s="23">
        <f>D8*D10</f>
        <v>5826.396922780149</v>
      </c>
      <c r="E12" s="23">
        <f>E10*E8</f>
        <v>505.44626170815502</v>
      </c>
      <c r="F12" s="23">
        <f>F10*F8</f>
        <v>16163.595881450423</v>
      </c>
      <c r="G12" s="23"/>
      <c r="H12" s="23"/>
      <c r="I12" s="23"/>
      <c r="J12" s="23">
        <f>J10*J8</f>
        <v>395.21458689617532</v>
      </c>
      <c r="K12" s="23"/>
      <c r="L12" s="23">
        <f>L10*L8</f>
        <v>0</v>
      </c>
      <c r="M12" s="23">
        <f>M10*M8</f>
        <v>0</v>
      </c>
      <c r="N12" s="23">
        <f>N10*N8</f>
        <v>0</v>
      </c>
      <c r="O12" s="23">
        <f>O10*O8</f>
        <v>0</v>
      </c>
      <c r="P12" s="23">
        <f>P10*P8</f>
        <v>0</v>
      </c>
    </row>
    <row r="15" spans="1:16">
      <c r="A15" s="189" t="s">
        <v>476</v>
      </c>
      <c r="B15" s="199"/>
      <c r="C15" s="199"/>
      <c r="D15" s="221"/>
    </row>
    <row r="16" spans="1:16">
      <c r="A16" s="3"/>
      <c r="B16" s="43"/>
      <c r="C16" s="43"/>
      <c r="D16" s="170"/>
    </row>
    <row r="17" spans="1:5">
      <c r="A17" s="222" t="s">
        <v>862</v>
      </c>
      <c r="B17" s="198" t="s">
        <v>855</v>
      </c>
      <c r="C17" s="198" t="s">
        <v>856</v>
      </c>
      <c r="D17" s="223" t="s">
        <v>175</v>
      </c>
      <c r="E17" s="15"/>
    </row>
    <row r="18" spans="1:5">
      <c r="A18" s="240" t="s">
        <v>77</v>
      </c>
      <c r="B18" s="1015">
        <v>0.70239401140003854</v>
      </c>
      <c r="C18" s="1015"/>
      <c r="D18" s="224" t="s">
        <v>864</v>
      </c>
      <c r="E18" s="15"/>
    </row>
    <row r="19" spans="1:5">
      <c r="A19" s="240" t="s">
        <v>857</v>
      </c>
      <c r="B19" s="1015">
        <v>2.179367249742245E-2</v>
      </c>
      <c r="C19" s="1015"/>
      <c r="D19" s="225"/>
      <c r="E19" s="15"/>
    </row>
    <row r="20" spans="1:5">
      <c r="A20" s="240" t="s">
        <v>858</v>
      </c>
      <c r="B20" s="1015"/>
      <c r="C20" s="1015"/>
      <c r="D20" s="225"/>
      <c r="E20" s="15"/>
    </row>
    <row r="21" spans="1:5">
      <c r="A21" s="240" t="s">
        <v>859</v>
      </c>
      <c r="B21" s="1015">
        <v>6.4534268311957424E-3</v>
      </c>
      <c r="C21" s="1015"/>
      <c r="D21" s="225"/>
      <c r="E21" s="15"/>
    </row>
    <row r="22" spans="1:5">
      <c r="A22" s="240" t="s">
        <v>860</v>
      </c>
      <c r="B22" s="1015">
        <v>0.22473176571946499</v>
      </c>
      <c r="C22" s="1015"/>
      <c r="D22" s="225"/>
      <c r="E22" s="15"/>
    </row>
    <row r="23" spans="1:5">
      <c r="A23" s="240" t="s">
        <v>78</v>
      </c>
      <c r="B23" s="1015"/>
      <c r="C23" s="1015"/>
      <c r="D23" s="224"/>
      <c r="E23" s="52"/>
    </row>
    <row r="24" spans="1:5">
      <c r="A24" s="240" t="s">
        <v>861</v>
      </c>
      <c r="B24" s="1015">
        <v>4.4627123551878541E-2</v>
      </c>
      <c r="C24" s="1015">
        <v>0.2046623403986654</v>
      </c>
      <c r="D24" s="224"/>
      <c r="E24" s="15"/>
    </row>
    <row r="25" spans="1:5" s="15" customFormat="1">
      <c r="A25" s="167"/>
      <c r="B25" s="29"/>
      <c r="C25" s="36"/>
      <c r="D25" s="224"/>
    </row>
    <row r="26" spans="1:5" s="15" customFormat="1">
      <c r="A26" s="226" t="s">
        <v>654</v>
      </c>
      <c r="B26" s="37">
        <f>aantalHuishoudens</f>
        <v>6283</v>
      </c>
      <c r="C26" s="36"/>
      <c r="D26" s="224"/>
    </row>
    <row r="27" spans="1:5" s="15" customFormat="1">
      <c r="A27" s="226" t="s">
        <v>655</v>
      </c>
      <c r="B27" s="37">
        <f>SUM(HH_hh_gas_aantal,HH_rest_gas_aantal)</f>
        <v>2097</v>
      </c>
      <c r="C27" s="36"/>
      <c r="D27" s="224"/>
    </row>
    <row r="28" spans="1:5" s="15" customFormat="1">
      <c r="A28" s="227"/>
      <c r="B28" s="29"/>
      <c r="C28" s="36"/>
      <c r="D28" s="228"/>
    </row>
    <row r="29" spans="1:5">
      <c r="A29" s="3"/>
      <c r="B29" s="43"/>
      <c r="C29" s="43"/>
      <c r="D29" s="170"/>
    </row>
    <row r="30" spans="1:5">
      <c r="A30" s="168" t="s">
        <v>468</v>
      </c>
      <c r="B30" s="165" t="s">
        <v>652</v>
      </c>
      <c r="C30" s="165" t="s">
        <v>653</v>
      </c>
      <c r="D30" s="170"/>
    </row>
    <row r="31" spans="1:5">
      <c r="A31" s="167" t="s">
        <v>863</v>
      </c>
      <c r="B31" s="33">
        <f>B27-0.05*B27</f>
        <v>1992.15</v>
      </c>
      <c r="C31" s="34" t="s">
        <v>104</v>
      </c>
      <c r="D31" s="170"/>
    </row>
    <row r="32" spans="1:5">
      <c r="A32" s="167" t="s">
        <v>72</v>
      </c>
      <c r="B32" s="33">
        <f>IF((B21*($B$26-($B$27-0.05*$B$27)-$B$60))&lt;0,0,B21*($B$26-($B$27-0.05*$B$27)-$B$60))</f>
        <v>27.284120628270923</v>
      </c>
      <c r="C32" s="34" t="s">
        <v>104</v>
      </c>
      <c r="D32" s="170"/>
    </row>
    <row r="33" spans="1:6">
      <c r="A33" s="167" t="s">
        <v>73</v>
      </c>
      <c r="B33" s="33">
        <f>IF((B22*($B$26-($B$27-0.05*$B$27)-$B$60))&lt;0,0,B22*($B$26-($B$27-0.05*$B$27)-$B$60))</f>
        <v>950.13219569704017</v>
      </c>
      <c r="C33" s="34" t="s">
        <v>104</v>
      </c>
      <c r="D33" s="170"/>
    </row>
    <row r="34" spans="1:6">
      <c r="A34" s="167" t="s">
        <v>74</v>
      </c>
      <c r="B34" s="33">
        <f>IF((B24*($B$26-($B$27-0.05*$B$27)-$B$60))&lt;0,0,B24*($B$26-($B$27-0.05*$B$27)-$B$60))</f>
        <v>188.67678430880972</v>
      </c>
      <c r="C34" s="33">
        <f>B26*C24</f>
        <v>1285.8934847248147</v>
      </c>
      <c r="D34" s="229"/>
    </row>
    <row r="35" spans="1:6">
      <c r="A35" s="167" t="s">
        <v>76</v>
      </c>
      <c r="B35" s="33">
        <f>IF((B19*($B$26-($B$27-0.05*$B$27)-$B$60))&lt;0,0,B19*($B$26-($B$27-0.05*$B$27)-$B$60))</f>
        <v>92.140378268227522</v>
      </c>
      <c r="C35" s="33">
        <f>B35/2</f>
        <v>46.070189134113761</v>
      </c>
      <c r="D35" s="229"/>
    </row>
    <row r="36" spans="1:6">
      <c r="A36" s="167" t="s">
        <v>77</v>
      </c>
      <c r="B36" s="33">
        <f>IF((B18*($B$26-($B$27-0.05*$B$27)-$B$60))&lt;0,0,B18*($B$26-($B$27-0.05*$B$27)-$B$60))</f>
        <v>2969.6165210976533</v>
      </c>
      <c r="C36" s="34" t="s">
        <v>104</v>
      </c>
      <c r="D36" s="170"/>
    </row>
    <row r="37" spans="1:6">
      <c r="A37" s="167" t="s">
        <v>78</v>
      </c>
      <c r="B37" s="33">
        <f>B60</f>
        <v>63</v>
      </c>
      <c r="C37" s="34" t="s">
        <v>104</v>
      </c>
      <c r="D37" s="170"/>
    </row>
    <row r="38" spans="1:6">
      <c r="A38" s="3"/>
      <c r="B38" s="43"/>
      <c r="C38" s="43"/>
      <c r="D38" s="170"/>
    </row>
    <row r="39" spans="1:6">
      <c r="A39" s="168" t="s">
        <v>471</v>
      </c>
      <c r="B39" s="164" t="s">
        <v>650</v>
      </c>
      <c r="C39" s="164" t="s">
        <v>651</v>
      </c>
      <c r="D39" s="292" t="s">
        <v>864</v>
      </c>
      <c r="E39" s="161"/>
      <c r="F39" s="161"/>
    </row>
    <row r="40" spans="1:6">
      <c r="A40" s="167" t="s">
        <v>70</v>
      </c>
      <c r="B40" s="162">
        <v>13.887300543753122</v>
      </c>
      <c r="C40" s="166" t="s">
        <v>104</v>
      </c>
      <c r="D40" s="169"/>
      <c r="E40" s="162"/>
      <c r="F40" s="162"/>
    </row>
    <row r="41" spans="1:6">
      <c r="A41" s="167" t="s">
        <v>72</v>
      </c>
      <c r="B41" s="162">
        <v>81.609209417791305</v>
      </c>
      <c r="C41" s="166" t="s">
        <v>104</v>
      </c>
      <c r="D41" s="169"/>
      <c r="E41" s="162"/>
      <c r="F41" s="162"/>
    </row>
    <row r="42" spans="1:6">
      <c r="A42" s="167" t="s">
        <v>73</v>
      </c>
      <c r="B42" s="162">
        <v>9.7333635948071429</v>
      </c>
      <c r="C42" s="166" t="s">
        <v>104</v>
      </c>
      <c r="D42" s="169"/>
      <c r="E42" s="162"/>
      <c r="F42" s="162"/>
    </row>
    <row r="43" spans="1:6">
      <c r="A43" s="167" t="s">
        <v>74</v>
      </c>
      <c r="B43" s="166">
        <v>9.3977144732917584</v>
      </c>
      <c r="C43" s="166">
        <v>5.5819345951479429</v>
      </c>
      <c r="D43" s="169"/>
      <c r="E43" s="162"/>
      <c r="F43" s="162"/>
    </row>
    <row r="44" spans="1:6">
      <c r="A44" s="167" t="s">
        <v>76</v>
      </c>
      <c r="B44" s="162">
        <v>10.221306358240932</v>
      </c>
      <c r="C44" s="166">
        <v>3.7905282298763581</v>
      </c>
      <c r="D44" s="169"/>
      <c r="E44" s="162"/>
      <c r="F44" s="162"/>
    </row>
    <row r="45" spans="1:6">
      <c r="A45" s="167" t="s">
        <v>77</v>
      </c>
      <c r="B45" s="166">
        <v>20.38573393567329</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469</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09">
        <f>aantalZB_NB_wonen+aantalZB_NB_wonen_met_kantoor+ZB_HH_bestaande_bouw</f>
        <v>201</v>
      </c>
      <c r="C52" s="43"/>
      <c r="D52" s="169"/>
    </row>
    <row r="53" spans="1:4">
      <c r="A53" s="167" t="s">
        <v>466</v>
      </c>
      <c r="B53" s="305">
        <v>4.2</v>
      </c>
      <c r="C53" s="43"/>
      <c r="D53" s="299" t="s">
        <v>496</v>
      </c>
    </row>
    <row r="54" spans="1:4">
      <c r="A54" s="240" t="s">
        <v>467</v>
      </c>
      <c r="B54" s="310">
        <f>1.34/3.6</f>
        <v>0.37222222222222223</v>
      </c>
      <c r="C54" s="43" t="s">
        <v>208</v>
      </c>
      <c r="D54" s="299" t="s">
        <v>496</v>
      </c>
    </row>
    <row r="55" spans="1:4">
      <c r="A55" s="171"/>
      <c r="B55" s="241"/>
      <c r="C55" s="174"/>
      <c r="D55" s="175"/>
    </row>
    <row r="56" spans="1:4">
      <c r="D56" s="163"/>
    </row>
    <row r="57" spans="1:4">
      <c r="A57" s="190" t="s">
        <v>470</v>
      </c>
      <c r="B57" s="199"/>
      <c r="C57" s="199"/>
      <c r="D57" s="200"/>
    </row>
    <row r="58" spans="1:4">
      <c r="A58" s="168"/>
      <c r="B58" s="32"/>
      <c r="C58" s="32"/>
      <c r="D58" s="205"/>
    </row>
    <row r="59" spans="1:4">
      <c r="A59" s="179"/>
      <c r="B59" s="178"/>
      <c r="C59" s="204" t="s">
        <v>364</v>
      </c>
      <c r="D59" s="219" t="s">
        <v>175</v>
      </c>
    </row>
    <row r="60" spans="1:4">
      <c r="A60" s="167" t="s">
        <v>255</v>
      </c>
      <c r="B60" s="309">
        <f>aantalWP_NB_wonen+aantalWP_NB_wonen_met_kantoor+WP_HH_bestaande_bouw</f>
        <v>63</v>
      </c>
      <c r="C60" s="32"/>
      <c r="D60" s="173"/>
    </row>
    <row r="61" spans="1:4">
      <c r="A61" s="167" t="s">
        <v>436</v>
      </c>
      <c r="B61" s="305">
        <v>13</v>
      </c>
      <c r="C61" s="32" t="s">
        <v>252</v>
      </c>
      <c r="D61" s="299" t="s">
        <v>496</v>
      </c>
    </row>
    <row r="62" spans="1:4">
      <c r="A62" s="167" t="s">
        <v>437</v>
      </c>
      <c r="B62" s="305">
        <v>2000</v>
      </c>
      <c r="C62" s="32" t="s">
        <v>254</v>
      </c>
      <c r="D62" s="299" t="s">
        <v>496</v>
      </c>
    </row>
    <row r="63" spans="1:4">
      <c r="A63" s="167" t="s">
        <v>398</v>
      </c>
      <c r="B63" s="305">
        <v>3.75</v>
      </c>
      <c r="C63" s="43"/>
      <c r="D63" s="299" t="s">
        <v>496</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149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15405.663888499999</v>
      </c>
      <c r="C5" s="17">
        <f>IF(ISERROR('Eigen informatie GS &amp; warmtenet'!B58),0,'Eigen informatie GS &amp; warmtenet'!B58)</f>
        <v>0</v>
      </c>
      <c r="D5" s="30">
        <f>SUM(D6:D12)</f>
        <v>14544.585413871217</v>
      </c>
      <c r="E5" s="17">
        <f>SUM(E6:E12)</f>
        <v>270.27310109584118</v>
      </c>
      <c r="F5" s="17">
        <f>SUM(F6:F12)</f>
        <v>3103.1182549972491</v>
      </c>
      <c r="G5" s="18"/>
      <c r="H5" s="17"/>
      <c r="I5" s="17"/>
      <c r="J5" s="17">
        <f>SUM(J6:J12)</f>
        <v>1.9099614228215885E-2</v>
      </c>
      <c r="K5" s="17"/>
      <c r="L5" s="17"/>
      <c r="M5" s="17"/>
      <c r="N5" s="17">
        <f>SUM(N6:N12)</f>
        <v>685.64273716879211</v>
      </c>
      <c r="O5" s="17">
        <f>B38*B39*B40</f>
        <v>7.8166666666666664</v>
      </c>
      <c r="P5" s="17">
        <f>B46*B47*B48/1000-B46*B47*B48/1000/B49</f>
        <v>114.4</v>
      </c>
      <c r="R5" s="32"/>
    </row>
    <row r="6" spans="1:18">
      <c r="A6" s="32" t="s">
        <v>53</v>
      </c>
      <c r="B6" s="37">
        <f>B26</f>
        <v>2313.5773331099999</v>
      </c>
      <c r="C6" s="33"/>
      <c r="D6" s="37">
        <f>IF(ISERROR(TER_kantoor_gas_kWh/1000),0,TER_kantoor_gas_kWh/1000)*0.902</f>
        <v>2110.0021768562001</v>
      </c>
      <c r="E6" s="33">
        <f>$C$26*'E Balans VL '!I12/100/3.6*1000000</f>
        <v>1.3171579492255318E-18</v>
      </c>
      <c r="F6" s="33">
        <f>$C$26*('E Balans VL '!L12+'E Balans VL '!N12)/100/3.6*1000000</f>
        <v>312.75753420401685</v>
      </c>
      <c r="G6" s="34"/>
      <c r="H6" s="33"/>
      <c r="I6" s="33"/>
      <c r="J6" s="33">
        <f>$C$26*('E Balans VL '!D12+'E Balans VL '!E12)/100/3.6*1000000</f>
        <v>0</v>
      </c>
      <c r="K6" s="33"/>
      <c r="L6" s="33"/>
      <c r="M6" s="33"/>
      <c r="N6" s="33">
        <f>$C$26*'E Balans VL '!Y12/100/3.6*1000000</f>
        <v>2.9076966093036654</v>
      </c>
      <c r="O6" s="33"/>
      <c r="P6" s="33"/>
      <c r="R6" s="32"/>
    </row>
    <row r="7" spans="1:18">
      <c r="A7" s="32" t="s">
        <v>52</v>
      </c>
      <c r="B7" s="37">
        <f t="shared" ref="B7:B12" si="0">B27</f>
        <v>2097.54338241</v>
      </c>
      <c r="C7" s="33"/>
      <c r="D7" s="37">
        <f>IF(ISERROR(TER_horeca_gas_kWh/1000),0,TER_horeca_gas_kWh/1000)*0.902</f>
        <v>572.17375980666009</v>
      </c>
      <c r="E7" s="33">
        <f>$C$27*'E Balans VL '!I9/100/3.6*1000000</f>
        <v>26.789897092065512</v>
      </c>
      <c r="F7" s="33">
        <f>$C$27*('E Balans VL '!L9+'E Balans VL '!N9)/100/3.6*1000000</f>
        <v>236.90810042305321</v>
      </c>
      <c r="G7" s="34"/>
      <c r="H7" s="33"/>
      <c r="I7" s="33"/>
      <c r="J7" s="33">
        <f>$C$27*('E Balans VL '!D9+'E Balans VL '!E9)/100/3.6*1000000</f>
        <v>0</v>
      </c>
      <c r="K7" s="33"/>
      <c r="L7" s="33"/>
      <c r="M7" s="33"/>
      <c r="N7" s="33">
        <f>$C$27*'E Balans VL '!Y9/100/3.6*1000000</f>
        <v>0.49985349159957304</v>
      </c>
      <c r="O7" s="33"/>
      <c r="P7" s="33"/>
      <c r="R7" s="32"/>
    </row>
    <row r="8" spans="1:18">
      <c r="A8" s="6" t="s">
        <v>51</v>
      </c>
      <c r="B8" s="37">
        <f t="shared" si="0"/>
        <v>5192.3934939000001</v>
      </c>
      <c r="C8" s="33"/>
      <c r="D8" s="37">
        <f>IF(ISERROR(TER_handel_gas_kWh/1000),0,TER_handel_gas_kWh/1000)*0.902</f>
        <v>517.51429994055002</v>
      </c>
      <c r="E8" s="33">
        <f>$C$28*'E Balans VL '!I13/100/3.6*1000000</f>
        <v>169.57514366454424</v>
      </c>
      <c r="F8" s="33">
        <f>$C$28*('E Balans VL '!L13+'E Balans VL '!N13)/100/3.6*1000000</f>
        <v>899.02074443719209</v>
      </c>
      <c r="G8" s="34"/>
      <c r="H8" s="33"/>
      <c r="I8" s="33"/>
      <c r="J8" s="33">
        <f>$C$28*('E Balans VL '!D13+'E Balans VL '!E13)/100/3.6*1000000</f>
        <v>0</v>
      </c>
      <c r="K8" s="33"/>
      <c r="L8" s="33"/>
      <c r="M8" s="33"/>
      <c r="N8" s="33">
        <f>$C$28*'E Balans VL '!Y13/100/3.6*1000000</f>
        <v>6.111303106286357</v>
      </c>
      <c r="O8" s="33"/>
      <c r="P8" s="33"/>
      <c r="R8" s="32"/>
    </row>
    <row r="9" spans="1:18">
      <c r="A9" s="32" t="s">
        <v>50</v>
      </c>
      <c r="B9" s="37">
        <f t="shared" si="0"/>
        <v>307.32821646000002</v>
      </c>
      <c r="C9" s="33"/>
      <c r="D9" s="37">
        <f>IF(ISERROR(TER_gezond_gas_kWh/1000),0,TER_gezond_gas_kWh/1000)*0.902</f>
        <v>150.72574827668601</v>
      </c>
      <c r="E9" s="33">
        <f>$C$29*'E Balans VL '!I10/100/3.6*1000000</f>
        <v>1.716197982612094E-2</v>
      </c>
      <c r="F9" s="33">
        <f>$C$29*('E Balans VL '!L10+'E Balans VL '!N10)/100/3.6*1000000</f>
        <v>40.719845376699325</v>
      </c>
      <c r="G9" s="34"/>
      <c r="H9" s="33"/>
      <c r="I9" s="33"/>
      <c r="J9" s="33">
        <f>$C$29*('E Balans VL '!D10+'E Balans VL '!E10)/100/3.6*1000000</f>
        <v>0</v>
      </c>
      <c r="K9" s="33"/>
      <c r="L9" s="33"/>
      <c r="M9" s="33"/>
      <c r="N9" s="33">
        <f>$C$29*'E Balans VL '!Y10/100/3.6*1000000</f>
        <v>3.2574725295655216</v>
      </c>
      <c r="O9" s="33"/>
      <c r="P9" s="33"/>
      <c r="R9" s="32"/>
    </row>
    <row r="10" spans="1:18">
      <c r="A10" s="32" t="s">
        <v>49</v>
      </c>
      <c r="B10" s="37">
        <f t="shared" si="0"/>
        <v>713.68672671999991</v>
      </c>
      <c r="C10" s="33"/>
      <c r="D10" s="37">
        <f>IF(ISERROR(TER_ander_gas_kWh/1000),0,TER_ander_gas_kWh/1000)*0.902</f>
        <v>1129.3249427803203</v>
      </c>
      <c r="E10" s="33">
        <f>$C$30*'E Balans VL '!I14/100/3.6*1000000</f>
        <v>9.2161401588019256</v>
      </c>
      <c r="F10" s="33">
        <f>$C$30*('E Balans VL '!L14+'E Balans VL '!N14)/100/3.6*1000000</f>
        <v>471.08414485501851</v>
      </c>
      <c r="G10" s="34"/>
      <c r="H10" s="33"/>
      <c r="I10" s="33"/>
      <c r="J10" s="33">
        <f>$C$30*('E Balans VL '!D14+'E Balans VL '!E14)/100/3.6*1000000</f>
        <v>8.6457539863759435E-3</v>
      </c>
      <c r="K10" s="33"/>
      <c r="L10" s="33"/>
      <c r="M10" s="33"/>
      <c r="N10" s="33">
        <f>$C$30*'E Balans VL '!Y14/100/3.6*1000000</f>
        <v>300.9587868334437</v>
      </c>
      <c r="O10" s="33"/>
      <c r="P10" s="33"/>
      <c r="R10" s="32"/>
    </row>
    <row r="11" spans="1:18">
      <c r="A11" s="32" t="s">
        <v>54</v>
      </c>
      <c r="B11" s="37">
        <f t="shared" si="0"/>
        <v>6.16</v>
      </c>
      <c r="C11" s="33"/>
      <c r="D11" s="37">
        <f>IF(ISERROR(TER_onderwijs_gas_kWh/1000),0,TER_onderwijs_gas_kWh/1000)*0.902</f>
        <v>0</v>
      </c>
      <c r="E11" s="33">
        <f>$C$31*'E Balans VL '!I11/100/3.6*1000000</f>
        <v>8.2898318525754994E-2</v>
      </c>
      <c r="F11" s="33">
        <f>$C$31*('E Balans VL '!L11+'E Balans VL '!N11)/100/3.6*1000000</f>
        <v>0.96266800994156987</v>
      </c>
      <c r="G11" s="34"/>
      <c r="H11" s="33"/>
      <c r="I11" s="33"/>
      <c r="J11" s="33">
        <f>$C$31*('E Balans VL '!D11+'E Balans VL '!E11)/100/3.6*1000000</f>
        <v>0</v>
      </c>
      <c r="K11" s="33"/>
      <c r="L11" s="33"/>
      <c r="M11" s="33"/>
      <c r="N11" s="33">
        <f>$C$31*'E Balans VL '!Y11/100/3.6*1000000</f>
        <v>1.4223731893730157E-2</v>
      </c>
      <c r="O11" s="33"/>
      <c r="P11" s="33"/>
      <c r="R11" s="32"/>
    </row>
    <row r="12" spans="1:18">
      <c r="A12" s="32" t="s">
        <v>249</v>
      </c>
      <c r="B12" s="37">
        <f t="shared" si="0"/>
        <v>4774.9747358999994</v>
      </c>
      <c r="C12" s="33"/>
      <c r="D12" s="37">
        <f>IF(ISERROR(TER_rest_gas_kWh/1000),0,TER_rest_gas_kWh/1000)*0.902</f>
        <v>10064.844486210801</v>
      </c>
      <c r="E12" s="33">
        <f>$C$32*'E Balans VL '!I8/100/3.6*1000000</f>
        <v>64.591859882077628</v>
      </c>
      <c r="F12" s="33">
        <f>$C$32*('E Balans VL '!L8+'E Balans VL '!N8)/100/3.6*1000000</f>
        <v>1141.6652176913271</v>
      </c>
      <c r="G12" s="34"/>
      <c r="H12" s="33"/>
      <c r="I12" s="33"/>
      <c r="J12" s="33">
        <f>$C$32*('E Balans VL '!D8+'E Balans VL '!E8)/100/3.6*1000000</f>
        <v>1.0453860241839941E-2</v>
      </c>
      <c r="K12" s="33"/>
      <c r="L12" s="33"/>
      <c r="M12" s="33"/>
      <c r="N12" s="33">
        <f>$C$32*'E Balans VL '!Y8/100/3.6*1000000</f>
        <v>371.89340086669961</v>
      </c>
      <c r="O12" s="33"/>
      <c r="P12" s="33"/>
      <c r="R12" s="32"/>
    </row>
    <row r="13" spans="1:18">
      <c r="A13" s="16" t="s">
        <v>477</v>
      </c>
      <c r="B13" s="242">
        <f ca="1">'lokale energieproductie'!N39+'lokale energieproductie'!N32</f>
        <v>23.85</v>
      </c>
      <c r="C13" s="242">
        <f ca="1">'lokale energieproductie'!O39+'lokale energieproductie'!O32</f>
        <v>34.071428571428577</v>
      </c>
      <c r="D13" s="300">
        <f ca="1">('lokale energieproductie'!P32+'lokale energieproductie'!P39)*(-1)</f>
        <v>-68.142857142857153</v>
      </c>
      <c r="E13" s="243"/>
      <c r="F13" s="300">
        <f ca="1">('lokale energieproductie'!S32+'lokale energieproductie'!S39)*(-1)</f>
        <v>0</v>
      </c>
      <c r="G13" s="244"/>
      <c r="H13" s="243"/>
      <c r="I13" s="243"/>
      <c r="J13" s="243"/>
      <c r="K13" s="243"/>
      <c r="L13" s="300">
        <f ca="1">('lokale energieproductie'!U32+'lokale energieproductie'!T32+'lokale energieproductie'!U39+'lokale energieproductie'!T39)*(-1)</f>
        <v>0</v>
      </c>
      <c r="M13" s="243"/>
      <c r="N13" s="300">
        <f ca="1">('lokale energieproductie'!Q32+'lokale energieproductie'!R32+'lokale energieproductie'!V32+'lokale energieproductie'!Q39+'lokale energieproductie'!R39+'lokale energieproductie'!V39)*(-1)</f>
        <v>0</v>
      </c>
      <c r="O13" s="243"/>
      <c r="P13" s="243"/>
      <c r="R13" s="32"/>
    </row>
    <row r="14" spans="1:18">
      <c r="A14" s="16" t="s">
        <v>491</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15429.5138885</v>
      </c>
      <c r="C16" s="21">
        <f t="shared" ca="1" si="1"/>
        <v>34.071428571428577</v>
      </c>
      <c r="D16" s="21">
        <f t="shared" ca="1" si="1"/>
        <v>14476.44255672836</v>
      </c>
      <c r="E16" s="21">
        <f t="shared" si="1"/>
        <v>270.27310109584118</v>
      </c>
      <c r="F16" s="21">
        <f t="shared" ca="1" si="1"/>
        <v>3103.1182549972491</v>
      </c>
      <c r="G16" s="21">
        <f t="shared" si="1"/>
        <v>0</v>
      </c>
      <c r="H16" s="21">
        <f t="shared" si="1"/>
        <v>0</v>
      </c>
      <c r="I16" s="21">
        <f t="shared" si="1"/>
        <v>0</v>
      </c>
      <c r="J16" s="21">
        <f t="shared" si="1"/>
        <v>1.9099614228215885E-2</v>
      </c>
      <c r="K16" s="21">
        <f t="shared" si="1"/>
        <v>0</v>
      </c>
      <c r="L16" s="21">
        <f t="shared" ca="1" si="1"/>
        <v>0</v>
      </c>
      <c r="M16" s="21">
        <f t="shared" si="1"/>
        <v>0</v>
      </c>
      <c r="N16" s="21">
        <f t="shared" ca="1" si="1"/>
        <v>685.64273716879211</v>
      </c>
      <c r="O16" s="21">
        <f>O5</f>
        <v>7.8166666666666664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0.20990261360219245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3238.6952918074771</v>
      </c>
      <c r="C20" s="23">
        <f t="shared" ref="C20:P20" ca="1" si="2">C16*C18</f>
        <v>8.0969747899159685</v>
      </c>
      <c r="D20" s="23">
        <f t="shared" ca="1" si="2"/>
        <v>2924.2413964591287</v>
      </c>
      <c r="E20" s="23">
        <f t="shared" si="2"/>
        <v>61.351993948755954</v>
      </c>
      <c r="F20" s="23">
        <f t="shared" ca="1" si="2"/>
        <v>828.53257408426555</v>
      </c>
      <c r="G20" s="23">
        <f t="shared" si="2"/>
        <v>0</v>
      </c>
      <c r="H20" s="23">
        <f t="shared" si="2"/>
        <v>0</v>
      </c>
      <c r="I20" s="23">
        <f t="shared" si="2"/>
        <v>0</v>
      </c>
      <c r="J20" s="23">
        <f t="shared" si="2"/>
        <v>6.7612634367884231E-3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476</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2313.5773331099999</v>
      </c>
      <c r="C26" s="39">
        <f>IF(ISERROR(B26*3.6/1000000/'E Balans VL '!Z12*100),0,B26*3.6/1000000/'E Balans VL '!Z12*100)</f>
        <v>6.2076082390339619E-2</v>
      </c>
      <c r="D26" s="232" t="s">
        <v>621</v>
      </c>
      <c r="F26" s="6"/>
    </row>
    <row r="27" spans="1:18">
      <c r="A27" s="227" t="s">
        <v>52</v>
      </c>
      <c r="B27" s="33">
        <f>IF(ISERROR(TER_horeca_ele_kWh/1000),0,TER_horeca_ele_kWh/1000)</f>
        <v>2097.54338241</v>
      </c>
      <c r="C27" s="39">
        <f>IF(ISERROR(B27*3.6/1000000/'E Balans VL '!Z9*100),0,B27*3.6/1000000/'E Balans VL '!Z9*100)</f>
        <v>0.16663517000267258</v>
      </c>
      <c r="D27" s="232" t="s">
        <v>621</v>
      </c>
      <c r="F27" s="6"/>
    </row>
    <row r="28" spans="1:18">
      <c r="A28" s="167" t="s">
        <v>51</v>
      </c>
      <c r="B28" s="33">
        <f>IF(ISERROR(TER_handel_ele_kWh/1000),0,TER_handel_ele_kWh/1000)</f>
        <v>5192.3934939000001</v>
      </c>
      <c r="C28" s="39">
        <f>IF(ISERROR(B28*3.6/1000000/'E Balans VL '!Z13*100),0,B28*3.6/1000000/'E Balans VL '!Z13*100)</f>
        <v>0.15187689564977408</v>
      </c>
      <c r="D28" s="232" t="s">
        <v>621</v>
      </c>
      <c r="F28" s="6"/>
    </row>
    <row r="29" spans="1:18">
      <c r="A29" s="227" t="s">
        <v>50</v>
      </c>
      <c r="B29" s="33">
        <f>IF(ISERROR(TER_gezond_ele_kWh/1000),0,TER_gezond_ele_kWh/1000)</f>
        <v>307.32821646000002</v>
      </c>
      <c r="C29" s="39">
        <f>IF(ISERROR(B29*3.6/1000000/'E Balans VL '!Z10*100),0,B29*3.6/1000000/'E Balans VL '!Z10*100)</f>
        <v>3.2618558839881108E-2</v>
      </c>
      <c r="D29" s="232" t="s">
        <v>621</v>
      </c>
      <c r="F29" s="6"/>
    </row>
    <row r="30" spans="1:18">
      <c r="A30" s="227" t="s">
        <v>49</v>
      </c>
      <c r="B30" s="33">
        <f>IF(ISERROR(TER_ander_ele_kWh/1000),0,TER_ander_ele_kWh/1000)</f>
        <v>713.68672671999991</v>
      </c>
      <c r="C30" s="39">
        <f>IF(ISERROR(B30*3.6/1000000/'E Balans VL '!Z14*100),0,B30*3.6/1000000/'E Balans VL '!Z14*100)</f>
        <v>3.3196154384549273E-2</v>
      </c>
      <c r="D30" s="232" t="s">
        <v>621</v>
      </c>
      <c r="F30" s="6"/>
    </row>
    <row r="31" spans="1:18">
      <c r="A31" s="227" t="s">
        <v>54</v>
      </c>
      <c r="B31" s="33">
        <f>IF(ISERROR(TER_onderwijs_ele_kWh/1000),0,TER_onderwijs_ele_kWh/1000)</f>
        <v>6.16</v>
      </c>
      <c r="C31" s="39">
        <f>IF(ISERROR(B31*3.6/1000000/'E Balans VL '!Z11*100),0,B31*3.6/1000000/'E Balans VL '!Z11*100)</f>
        <v>1.5417203296230163E-3</v>
      </c>
      <c r="D31" s="232" t="s">
        <v>621</v>
      </c>
    </row>
    <row r="32" spans="1:18">
      <c r="A32" s="227" t="s">
        <v>249</v>
      </c>
      <c r="B32" s="33">
        <f>IF(ISERROR(TER_rest_ele_kWh/1000),0,TER_rest_ele_kWh/1000)</f>
        <v>4774.9747358999994</v>
      </c>
      <c r="C32" s="39">
        <f>IF(ISERROR(B32*3.6/1000000/'E Balans VL '!Z8*100),0,B32*3.6/1000000/'E Balans VL '!Z8*100)</f>
        <v>4.0138541884197722E-2</v>
      </c>
      <c r="D32" s="232" t="s">
        <v>621</v>
      </c>
    </row>
    <row r="33" spans="1:4">
      <c r="A33" s="235"/>
      <c r="B33" s="176"/>
      <c r="C33" s="176"/>
      <c r="D33" s="236"/>
    </row>
    <row r="34" spans="1:4">
      <c r="A34" s="32"/>
      <c r="B34" s="32"/>
      <c r="C34" s="32"/>
    </row>
    <row r="35" spans="1:4">
      <c r="A35" s="189" t="s">
        <v>469</v>
      </c>
      <c r="B35" s="199"/>
      <c r="C35" s="199"/>
      <c r="D35" s="221"/>
    </row>
    <row r="36" spans="1:4">
      <c r="A36" s="231"/>
      <c r="B36" s="32"/>
      <c r="C36" s="32"/>
      <c r="D36" s="228"/>
    </row>
    <row r="37" spans="1:4">
      <c r="A37" s="237"/>
      <c r="B37" s="238"/>
      <c r="C37" s="220" t="s">
        <v>364</v>
      </c>
      <c r="D37" s="239" t="s">
        <v>175</v>
      </c>
    </row>
    <row r="38" spans="1:4">
      <c r="A38" s="167" t="s">
        <v>255</v>
      </c>
      <c r="B38" s="309">
        <f>aantalZB_NB_ander+aantalZB_NB_ander_met_kantoor+aantalZB_NB_kantoor+aantalZB_NB_school+ZB_NHH_bestaande_bouw+aantalZB_NB_NIET_RESIDENTIEEL_EPN</f>
        <v>5</v>
      </c>
      <c r="C38" s="43"/>
      <c r="D38" s="228"/>
    </row>
    <row r="39" spans="1:4">
      <c r="A39" s="167" t="s">
        <v>466</v>
      </c>
      <c r="B39" s="305">
        <v>4.2</v>
      </c>
      <c r="C39" s="43"/>
      <c r="D39" s="299" t="s">
        <v>496</v>
      </c>
    </row>
    <row r="40" spans="1:4">
      <c r="A40" s="6" t="s">
        <v>467</v>
      </c>
      <c r="B40" s="310">
        <f>1.34/3.6</f>
        <v>0.37222222222222223</v>
      </c>
      <c r="C40" s="43" t="s">
        <v>208</v>
      </c>
      <c r="D40" s="299" t="s">
        <v>496</v>
      </c>
    </row>
    <row r="41" spans="1:4">
      <c r="A41" s="235"/>
      <c r="B41" s="176"/>
      <c r="C41" s="176"/>
      <c r="D41" s="236"/>
    </row>
    <row r="43" spans="1:4">
      <c r="A43" s="190" t="s">
        <v>470</v>
      </c>
      <c r="B43" s="199"/>
      <c r="C43" s="199"/>
      <c r="D43" s="221"/>
    </row>
    <row r="44" spans="1:4">
      <c r="A44" s="226"/>
      <c r="B44" s="32"/>
      <c r="C44" s="32"/>
      <c r="D44" s="228"/>
    </row>
    <row r="45" spans="1:4">
      <c r="A45" s="237"/>
      <c r="B45" s="238"/>
      <c r="C45" s="220" t="s">
        <v>364</v>
      </c>
      <c r="D45" s="239" t="s">
        <v>175</v>
      </c>
    </row>
    <row r="46" spans="1:4">
      <c r="A46" s="167" t="s">
        <v>255</v>
      </c>
      <c r="B46" s="521">
        <f>aantalWP_NB_ander+antalWP_NB_ander_met_kantoor+aantalWP_NB_kantoor+aantalWP_NB_school+WP_NHH_bestaande_bouw+aantalWP_NB_NIET_RESIDENTIEEL_EPN</f>
        <v>6</v>
      </c>
      <c r="C46" s="32"/>
      <c r="D46" s="228"/>
    </row>
    <row r="47" spans="1:4">
      <c r="A47" s="167" t="s">
        <v>436</v>
      </c>
      <c r="B47" s="522">
        <v>13</v>
      </c>
      <c r="C47" s="32" t="s">
        <v>252</v>
      </c>
      <c r="D47" s="299" t="s">
        <v>496</v>
      </c>
    </row>
    <row r="48" spans="1:4">
      <c r="A48" s="167" t="s">
        <v>437</v>
      </c>
      <c r="B48" s="522">
        <v>2000</v>
      </c>
      <c r="C48" s="32" t="s">
        <v>254</v>
      </c>
      <c r="D48" s="299" t="s">
        <v>496</v>
      </c>
    </row>
    <row r="49" spans="1:4">
      <c r="A49" s="167" t="s">
        <v>398</v>
      </c>
      <c r="B49" s="522">
        <v>3.75</v>
      </c>
      <c r="C49" s="32"/>
      <c r="D49" s="299" t="s">
        <v>496</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156</v>
      </c>
      <c r="B1" s="1153" t="s">
        <v>188</v>
      </c>
      <c r="C1" s="1154"/>
      <c r="D1" s="1154"/>
      <c r="E1" s="1154"/>
      <c r="F1" s="1154"/>
      <c r="G1" s="1154"/>
      <c r="H1" s="1154"/>
      <c r="I1" s="1154"/>
      <c r="J1" s="1154"/>
      <c r="K1" s="1154"/>
      <c r="L1" s="1154"/>
      <c r="M1" s="1154"/>
      <c r="N1" s="1154"/>
      <c r="O1" s="1154"/>
      <c r="P1" s="1154"/>
      <c r="R1" s="701"/>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c r="R2" s="701"/>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01"/>
    </row>
    <row r="4" spans="1:18" ht="15.75">
      <c r="A4" s="13"/>
      <c r="B4" s="14"/>
      <c r="C4" s="14"/>
      <c r="D4" s="14"/>
      <c r="E4" s="14"/>
      <c r="F4" s="14"/>
      <c r="G4" s="14"/>
      <c r="H4" s="14"/>
      <c r="I4" s="14"/>
      <c r="J4" s="14"/>
      <c r="K4" s="14"/>
      <c r="L4" s="14"/>
      <c r="M4" s="14"/>
      <c r="N4" s="14"/>
      <c r="O4" s="14"/>
      <c r="P4" s="14"/>
      <c r="R4" s="6"/>
    </row>
    <row r="5" spans="1:18">
      <c r="A5" s="16" t="s">
        <v>258</v>
      </c>
      <c r="B5" s="30">
        <f>SUM(B6:B15)</f>
        <v>142591.15479064401</v>
      </c>
      <c r="C5" s="17">
        <f>IF(ISERROR('Eigen informatie GS &amp; warmtenet'!B59),0,'Eigen informatie GS &amp; warmtenet'!B59)</f>
        <v>0</v>
      </c>
      <c r="D5" s="30">
        <f>SUM(D6:D15)</f>
        <v>134715.99723309584</v>
      </c>
      <c r="E5" s="17">
        <f>SUM(E6:E15)</f>
        <v>2566.2642597595623</v>
      </c>
      <c r="F5" s="17">
        <f>SUM(F6:F15)</f>
        <v>16072.69528830444</v>
      </c>
      <c r="G5" s="18"/>
      <c r="H5" s="17"/>
      <c r="I5" s="17"/>
      <c r="J5" s="17">
        <f>SUM(J6:J15)</f>
        <v>201.49102366325025</v>
      </c>
      <c r="K5" s="17"/>
      <c r="L5" s="17"/>
      <c r="M5" s="17"/>
      <c r="N5" s="17">
        <f>SUM(N6:N15)</f>
        <v>6203.0662849267264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1432.5190654600001</v>
      </c>
      <c r="C8" s="33"/>
      <c r="D8" s="37">
        <f>IF( ISERROR(IND_metaal_Gas_kWH/1000),0,IND_metaal_Gas_kWH/1000)*0.902</f>
        <v>0</v>
      </c>
      <c r="E8" s="33">
        <f>C30*'E Balans VL '!I18/100/3.6*1000000</f>
        <v>51.546369639194268</v>
      </c>
      <c r="F8" s="33">
        <f>C30*'E Balans VL '!L18/100/3.6*1000000+C30*'E Balans VL '!N18/100/3.6*1000000</f>
        <v>625.53463861445994</v>
      </c>
      <c r="G8" s="34"/>
      <c r="H8" s="33"/>
      <c r="I8" s="33"/>
      <c r="J8" s="40">
        <f>C30*'E Balans VL '!D18/100/3.6*1000000+C30*'E Balans VL '!E18/100/3.6*1000000</f>
        <v>0</v>
      </c>
      <c r="K8" s="33"/>
      <c r="L8" s="33"/>
      <c r="M8" s="33"/>
      <c r="N8" s="33">
        <f>C30*'E Balans VL '!Y18/100/3.6*1000000</f>
        <v>71.796882060998584</v>
      </c>
      <c r="O8" s="33"/>
      <c r="P8" s="33"/>
      <c r="R8" s="32"/>
    </row>
    <row r="9" spans="1:18">
      <c r="A9" s="6" t="s">
        <v>32</v>
      </c>
      <c r="B9" s="37">
        <f t="shared" si="0"/>
        <v>4049.6459658000003</v>
      </c>
      <c r="C9" s="33"/>
      <c r="D9" s="37">
        <f>IF( ISERROR(IND_andere_gas_kWh/1000),0,IND_andere_gas_kWh/1000)*0.902</f>
        <v>659.78970424444003</v>
      </c>
      <c r="E9" s="33">
        <f>C31*'E Balans VL '!I19/100/3.6*1000000</f>
        <v>1033.3780246658403</v>
      </c>
      <c r="F9" s="33">
        <f>C31*'E Balans VL '!L19/100/3.6*1000000+C31*'E Balans VL '!N19/100/3.6*1000000</f>
        <v>3486.4407933296075</v>
      </c>
      <c r="G9" s="34"/>
      <c r="H9" s="33"/>
      <c r="I9" s="33"/>
      <c r="J9" s="40">
        <f>C31*'E Balans VL '!D19/100/3.6*1000000+C31*'E Balans VL '!E19/100/3.6*1000000</f>
        <v>0</v>
      </c>
      <c r="K9" s="33"/>
      <c r="L9" s="33"/>
      <c r="M9" s="33"/>
      <c r="N9" s="33">
        <f>C31*'E Balans VL '!Y19/100/3.6*1000000</f>
        <v>319.46967889341209</v>
      </c>
      <c r="O9" s="33"/>
      <c r="P9" s="33"/>
      <c r="R9" s="32"/>
    </row>
    <row r="10" spans="1:18">
      <c r="A10" s="6" t="s">
        <v>40</v>
      </c>
      <c r="B10" s="37">
        <f t="shared" si="0"/>
        <v>11811.70115614</v>
      </c>
      <c r="C10" s="33"/>
      <c r="D10" s="37">
        <f>IF( ISERROR(IND_voed_gas_kWh/1000),0,IND_voed_gas_kWh/1000)*0.902</f>
        <v>37.305813304188</v>
      </c>
      <c r="E10" s="33">
        <f>C32*'E Balans VL '!I20/100/3.6*1000000</f>
        <v>300.269662183869</v>
      </c>
      <c r="F10" s="33">
        <f>C32*'E Balans VL '!L20/100/3.6*1000000+C32*'E Balans VL '!N20/100/3.6*1000000</f>
        <v>2672.8106627089974</v>
      </c>
      <c r="G10" s="34"/>
      <c r="H10" s="33"/>
      <c r="I10" s="33"/>
      <c r="J10" s="40">
        <f>C32*'E Balans VL '!D20/100/3.6*1000000+C32*'E Balans VL '!E20/100/3.6*1000000</f>
        <v>0</v>
      </c>
      <c r="K10" s="33"/>
      <c r="L10" s="33"/>
      <c r="M10" s="33"/>
      <c r="N10" s="33">
        <f>C32*'E Balans VL '!Y20/100/3.6*1000000</f>
        <v>4429.7081023057463</v>
      </c>
      <c r="O10" s="33"/>
      <c r="P10" s="33"/>
      <c r="R10" s="32"/>
    </row>
    <row r="11" spans="1:18">
      <c r="A11" s="6" t="s">
        <v>39</v>
      </c>
      <c r="B11" s="37">
        <f t="shared" si="0"/>
        <v>108036.814374344</v>
      </c>
      <c r="C11" s="33"/>
      <c r="D11" s="37">
        <f>IF( ISERROR(IND_textiel_gas_kWh/1000),0,IND_textiel_gas_kWh/1000)*0.902</f>
        <v>0</v>
      </c>
      <c r="E11" s="33">
        <f>C33*'E Balans VL '!I21/100/3.6*1000000</f>
        <v>296.59010902562079</v>
      </c>
      <c r="F11" s="33">
        <f>C33*'E Balans VL '!L21/100/3.6*1000000+C33*'E Balans VL '!N21/100/3.6*1000000</f>
        <v>5727.6616507060626</v>
      </c>
      <c r="G11" s="34"/>
      <c r="H11" s="33"/>
      <c r="I11" s="33"/>
      <c r="J11" s="40">
        <f>C33*'E Balans VL '!D21/100/3.6*1000000+C33*'E Balans VL '!E21/100/3.6*1000000</f>
        <v>0</v>
      </c>
      <c r="K11" s="33"/>
      <c r="L11" s="33"/>
      <c r="M11" s="33"/>
      <c r="N11" s="33">
        <f>C33*'E Balans VL '!Y21/100/3.6*1000000</f>
        <v>217.13611867881707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1046.2454997</v>
      </c>
      <c r="C13" s="33"/>
      <c r="D13" s="37">
        <f>IF( ISERROR(IND_papier_gas_kWh/1000),0,IND_papier_gas_kWh/1000)*0.902</f>
        <v>0</v>
      </c>
      <c r="E13" s="33">
        <f>C35*'E Balans VL '!I23/100/3.6*1000000</f>
        <v>4.4870425767914552</v>
      </c>
      <c r="F13" s="33">
        <f>C35*'E Balans VL '!L23/100/3.6*1000000+C35*'E Balans VL '!N23/100/3.6*1000000</f>
        <v>26.295396746766304</v>
      </c>
      <c r="G13" s="34"/>
      <c r="H13" s="33"/>
      <c r="I13" s="33"/>
      <c r="J13" s="40">
        <f>C35*'E Balans VL '!D23/100/3.6*1000000+C35*'E Balans VL '!E23/100/3.6*1000000</f>
        <v>70.040397784404576</v>
      </c>
      <c r="K13" s="33"/>
      <c r="L13" s="33"/>
      <c r="M13" s="33"/>
      <c r="N13" s="33">
        <f>C35*'E Balans VL '!Y23/100/3.6*1000000</f>
        <v>255.14124724367704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16214.2287292</v>
      </c>
      <c r="C15" s="33"/>
      <c r="D15" s="37">
        <f>IF( ISERROR(IND_rest_gas_kWh/1000),0,IND_rest_gas_kWh/1000)*0.902</f>
        <v>134018.90171554722</v>
      </c>
      <c r="E15" s="33">
        <f>C37*'E Balans VL '!I15/100/3.6*1000000</f>
        <v>879.99305166824615</v>
      </c>
      <c r="F15" s="33">
        <f>C37*'E Balans VL '!L15/100/3.6*1000000+C37*'E Balans VL '!N15/100/3.6*1000000</f>
        <v>3533.9521461985469</v>
      </c>
      <c r="G15" s="34"/>
      <c r="H15" s="33"/>
      <c r="I15" s="33"/>
      <c r="J15" s="40">
        <f>C37*'E Balans VL '!D15/100/3.6*1000000+C37*'E Balans VL '!E15/100/3.6*1000000</f>
        <v>131.45062587884567</v>
      </c>
      <c r="K15" s="33"/>
      <c r="L15" s="33"/>
      <c r="M15" s="33"/>
      <c r="N15" s="33">
        <f>C37*'E Balans VL '!Y15/100/3.6*1000000</f>
        <v>909.81425574407558</v>
      </c>
      <c r="O15" s="33"/>
      <c r="P15" s="33"/>
      <c r="R15" s="32"/>
    </row>
    <row r="16" spans="1:18">
      <c r="A16" s="16" t="s">
        <v>477</v>
      </c>
      <c r="B16" s="242">
        <f>'lokale energieproductie'!N38+'lokale energieproductie'!N31</f>
        <v>1143</v>
      </c>
      <c r="C16" s="242">
        <f>'lokale energieproductie'!O38+'lokale energieproductie'!O31</f>
        <v>1632.8571428571429</v>
      </c>
      <c r="D16" s="300">
        <f>('lokale energieproductie'!P31+'lokale energieproductie'!P38)*(-1)</f>
        <v>-3265.7142857142858</v>
      </c>
      <c r="E16" s="243"/>
      <c r="F16" s="300">
        <f>('lokale energieproductie'!S31+'lokale energieproductie'!S38)*(-1)</f>
        <v>0</v>
      </c>
      <c r="G16" s="244"/>
      <c r="H16" s="243"/>
      <c r="I16" s="243"/>
      <c r="J16" s="243"/>
      <c r="K16" s="243"/>
      <c r="L16" s="300">
        <f>('lokale energieproductie'!T31+'lokale energieproductie'!U31+'lokale energieproductie'!T38+'lokale energieproductie'!U38)*(-1)</f>
        <v>0</v>
      </c>
      <c r="M16" s="243"/>
      <c r="N16" s="300">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143734.15479064401</v>
      </c>
      <c r="C18" s="21">
        <f>C5+C16</f>
        <v>1632.8571428571429</v>
      </c>
      <c r="D18" s="21">
        <f>MAX((D5+D16),0)</f>
        <v>131450.28294738155</v>
      </c>
      <c r="E18" s="21">
        <f>MAX((E5+E16),0)</f>
        <v>2566.2642597595623</v>
      </c>
      <c r="F18" s="21">
        <f>MAX((F5+F16),0)</f>
        <v>16072.69528830444</v>
      </c>
      <c r="G18" s="21"/>
      <c r="H18" s="21"/>
      <c r="I18" s="21"/>
      <c r="J18" s="21">
        <f>MAX((J5+J16),0)</f>
        <v>201.49102366325025</v>
      </c>
      <c r="K18" s="21"/>
      <c r="L18" s="21">
        <f>MAX((L5+L16),0)</f>
        <v>0</v>
      </c>
      <c r="M18" s="21"/>
      <c r="N18" s="21">
        <f>MAX((N5+N16),0)</f>
        <v>6203.0662849267264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0.20990261360219245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30170.174754458269</v>
      </c>
      <c r="C22" s="23">
        <f ca="1">C18*C20</f>
        <v>388.04369747899165</v>
      </c>
      <c r="D22" s="23">
        <f>D18*D20</f>
        <v>26552.957155371074</v>
      </c>
      <c r="E22" s="23">
        <f>E18*E20</f>
        <v>582.54198696542062</v>
      </c>
      <c r="F22" s="23">
        <f>F18*F20</f>
        <v>4291.4096419772859</v>
      </c>
      <c r="G22" s="23"/>
      <c r="H22" s="23"/>
      <c r="I22" s="23"/>
      <c r="J22" s="23">
        <f>J18*J20</f>
        <v>71.327822376790579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476</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621</v>
      </c>
    </row>
    <row r="29" spans="1:18">
      <c r="A29" s="167" t="s">
        <v>37</v>
      </c>
      <c r="B29" s="37">
        <f>IF( ISERROR(IND_nonf_ele_kWh/1000),0,IND_nonf_ele_kWh/1000)</f>
        <v>0</v>
      </c>
      <c r="C29" s="39">
        <f>IF(ISERROR(B29*3.6/1000000/'E Balans VL '!Z17*100),0,B29*3.6/1000000/'E Balans VL '!Z17*100)</f>
        <v>0</v>
      </c>
      <c r="D29" s="232" t="s">
        <v>621</v>
      </c>
    </row>
    <row r="30" spans="1:18">
      <c r="A30" s="167" t="s">
        <v>35</v>
      </c>
      <c r="B30" s="37">
        <f>IF( ISERROR(IND_metaal_ele_kWh/1000),0,IND_metaal_ele_kWh/1000)</f>
        <v>1432.5190654600001</v>
      </c>
      <c r="C30" s="39">
        <f>IF(ISERROR(B30*3.6/1000000/'E Balans VL '!Z18*100),0,B30*3.6/1000000/'E Balans VL '!Z18*100)</f>
        <v>0.30352007757165256</v>
      </c>
      <c r="D30" s="232" t="s">
        <v>621</v>
      </c>
    </row>
    <row r="31" spans="1:18">
      <c r="A31" s="6" t="s">
        <v>32</v>
      </c>
      <c r="B31" s="37">
        <f>IF( ISERROR(IND_ander_ele_kWh/1000),0,IND_ander_ele_kWh/1000)</f>
        <v>4049.6459658000003</v>
      </c>
      <c r="C31" s="39">
        <f>IF(ISERROR(B31*3.6/1000000/'E Balans VL '!Z19*100),0,B31*3.6/1000000/'E Balans VL '!Z19*100)</f>
        <v>0.17045879409043049</v>
      </c>
      <c r="D31" s="232" t="s">
        <v>621</v>
      </c>
    </row>
    <row r="32" spans="1:18">
      <c r="A32" s="167" t="s">
        <v>40</v>
      </c>
      <c r="B32" s="37">
        <f>IF( ISERROR(IND_voed_ele_kWh/1000),0,IND_voed_ele_kWh/1000)</f>
        <v>11811.70115614</v>
      </c>
      <c r="C32" s="39">
        <f>IF(ISERROR(B32*3.6/1000000/'E Balans VL '!Z20*100),0,B32*3.6/1000000/'E Balans VL '!Z20*100)</f>
        <v>1.9732783183404403</v>
      </c>
      <c r="D32" s="232" t="s">
        <v>621</v>
      </c>
    </row>
    <row r="33" spans="1:5">
      <c r="A33" s="167" t="s">
        <v>39</v>
      </c>
      <c r="B33" s="37">
        <f>IF( ISERROR(IND_textiel_ele_kWh/1000),0,IND_textiel_ele_kWh/1000)</f>
        <v>108036.814374344</v>
      </c>
      <c r="C33" s="39">
        <f>IF(ISERROR(B33*3.6/1000000/'E Balans VL '!Z21*100),0,B33*3.6/1000000/'E Balans VL '!Z21*100)</f>
        <v>6.3075125251653468</v>
      </c>
      <c r="D33" s="232" t="s">
        <v>621</v>
      </c>
    </row>
    <row r="34" spans="1:5">
      <c r="A34" s="167" t="s">
        <v>36</v>
      </c>
      <c r="B34" s="37">
        <f>IF( ISERROR(IND_min_ele_kWh/1000),0,IND_min_ele_kWh/1000)</f>
        <v>0</v>
      </c>
      <c r="C34" s="39">
        <f>IF(ISERROR(B34*3.6/1000000/'E Balans VL '!Z22*100),0,B34*3.6/1000000/'E Balans VL '!Z22*100)</f>
        <v>0</v>
      </c>
      <c r="D34" s="232" t="s">
        <v>621</v>
      </c>
    </row>
    <row r="35" spans="1:5">
      <c r="A35" s="167" t="s">
        <v>38</v>
      </c>
      <c r="B35" s="37">
        <f>IF( ISERROR(IND_papier_ele_kWh/1000),0,IND_papier_ele_kWh/1000)</f>
        <v>1046.2454997</v>
      </c>
      <c r="C35" s="39">
        <f>IF(ISERROR(B35*3.6/1000000/'E Balans VL '!Z22*100),0,B35*3.6/1000000/'E Balans VL '!Z22*100)</f>
        <v>0.13261725947229031</v>
      </c>
      <c r="D35" s="232" t="s">
        <v>621</v>
      </c>
    </row>
    <row r="36" spans="1:5">
      <c r="A36" s="167" t="s">
        <v>33</v>
      </c>
      <c r="B36" s="37">
        <f>IF( ISERROR(IND_chemie_ele_kWh/1000),0,IND_chemie_ele_kWh/1000)</f>
        <v>0</v>
      </c>
      <c r="C36" s="39">
        <f>IF(ISERROR(B36*3.6/1000000/'E Balans VL '!Z24*100),0,B36*3.6/1000000/'E Balans VL '!Z24*100)</f>
        <v>0</v>
      </c>
      <c r="D36" s="232" t="s">
        <v>621</v>
      </c>
    </row>
    <row r="37" spans="1:5">
      <c r="A37" s="167" t="s">
        <v>259</v>
      </c>
      <c r="B37" s="37">
        <f>IF( ISERROR(IND_rest_ele_kWh/1000),0,IND_rest_ele_kWh/1000)</f>
        <v>16214.2287292</v>
      </c>
      <c r="C37" s="39">
        <f>IF(ISERROR(B37*3.6/1000000/'E Balans VL '!Z15*100),0,B37*3.6/1000000/'E Balans VL '!Z15*100)</f>
        <v>0.13090374696795984</v>
      </c>
      <c r="D37" s="232" t="s">
        <v>621</v>
      </c>
    </row>
    <row r="38" spans="1:5">
      <c r="A38" s="235"/>
      <c r="B38" s="176"/>
      <c r="C38" s="176"/>
      <c r="D38" s="236"/>
    </row>
    <row r="39" spans="1:5">
      <c r="A39" s="227"/>
      <c r="B39" s="32"/>
      <c r="C39" s="32"/>
      <c r="D39" s="32"/>
      <c r="E39" s="32"/>
    </row>
    <row r="40" spans="1:5">
      <c r="A40" s="189" t="s">
        <v>469</v>
      </c>
      <c r="B40" s="199"/>
      <c r="C40" s="199"/>
      <c r="D40" s="221"/>
    </row>
    <row r="41" spans="1:5">
      <c r="A41" s="231"/>
      <c r="B41" s="32"/>
      <c r="C41" s="32"/>
      <c r="D41" s="228"/>
    </row>
    <row r="42" spans="1:5">
      <c r="A42" s="237"/>
      <c r="B42" s="238"/>
      <c r="C42" s="220" t="s">
        <v>364</v>
      </c>
      <c r="D42" s="239" t="s">
        <v>175</v>
      </c>
    </row>
    <row r="43" spans="1:5">
      <c r="A43" s="167" t="s">
        <v>255</v>
      </c>
      <c r="B43" s="309">
        <f>aantalZB_NB_industrie+aantalZB_NB_industrie_met_kantoor</f>
        <v>0</v>
      </c>
      <c r="C43" s="43"/>
      <c r="D43" s="228"/>
    </row>
    <row r="44" spans="1:5">
      <c r="A44" s="167" t="s">
        <v>466</v>
      </c>
      <c r="B44" s="305">
        <v>4.2</v>
      </c>
      <c r="C44" s="43"/>
      <c r="D44" s="299" t="s">
        <v>496</v>
      </c>
    </row>
    <row r="45" spans="1:5">
      <c r="A45" s="6" t="s">
        <v>467</v>
      </c>
      <c r="B45" s="310">
        <f>1.34/3.6</f>
        <v>0.37222222222222223</v>
      </c>
      <c r="C45" s="43" t="s">
        <v>208</v>
      </c>
      <c r="D45" s="299" t="s">
        <v>496</v>
      </c>
    </row>
    <row r="46" spans="1:5" s="32" customFormat="1">
      <c r="A46" s="171"/>
      <c r="B46" s="241"/>
      <c r="C46" s="176"/>
      <c r="D46" s="236"/>
    </row>
    <row r="48" spans="1:5">
      <c r="A48" s="190" t="s">
        <v>470</v>
      </c>
      <c r="B48" s="199"/>
      <c r="C48" s="199"/>
      <c r="D48" s="221"/>
    </row>
    <row r="49" spans="1:4">
      <c r="A49" s="226"/>
      <c r="B49" s="32"/>
      <c r="C49" s="32"/>
      <c r="D49" s="228"/>
    </row>
    <row r="50" spans="1:4">
      <c r="A50" s="237"/>
      <c r="B50" s="238"/>
      <c r="C50" s="220" t="s">
        <v>364</v>
      </c>
      <c r="D50" s="239" t="s">
        <v>175</v>
      </c>
    </row>
    <row r="51" spans="1:4">
      <c r="A51" s="167" t="s">
        <v>255</v>
      </c>
      <c r="B51" s="309">
        <f>aantalWP_NB_industrie+AantalWP_NB_industrie_met_kantoor</f>
        <v>0</v>
      </c>
      <c r="C51" s="32"/>
      <c r="D51" s="228"/>
    </row>
    <row r="52" spans="1:4">
      <c r="A52" s="167" t="s">
        <v>251</v>
      </c>
      <c r="B52" s="305">
        <v>13</v>
      </c>
      <c r="C52" s="32" t="s">
        <v>252</v>
      </c>
      <c r="D52" s="299" t="s">
        <v>496</v>
      </c>
    </row>
    <row r="53" spans="1:4">
      <c r="A53" s="167" t="s">
        <v>253</v>
      </c>
      <c r="B53" s="305">
        <v>2000</v>
      </c>
      <c r="C53" s="32" t="s">
        <v>254</v>
      </c>
      <c r="D53" s="299" t="s">
        <v>496</v>
      </c>
    </row>
    <row r="54" spans="1:4">
      <c r="A54" s="167" t="s">
        <v>398</v>
      </c>
      <c r="B54" s="305">
        <v>3.75</v>
      </c>
      <c r="C54" s="32"/>
      <c r="D54" s="299" t="s">
        <v>496</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260</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3173.7860357832997</v>
      </c>
      <c r="C5" s="17">
        <f>'Eigen informatie GS &amp; warmtenet'!B60</f>
        <v>0</v>
      </c>
      <c r="D5" s="30">
        <f>IF(ISERROR(SUM(LB_lb_gas_kWh,LB_rest_gas_kWh)/1000),0,SUM(LB_lb_gas_kWh,LB_rest_gas_kWh)/1000)*0.902</f>
        <v>567.14228921387394</v>
      </c>
      <c r="E5" s="17">
        <f>B17*'E Balans VL '!I25/3.6*1000000/100</f>
        <v>62.875430848163603</v>
      </c>
      <c r="F5" s="17">
        <f>B17*('E Balans VL '!L25/3.6*1000000+'E Balans VL '!N25/3.6*1000000)/100</f>
        <v>11573.902532422209</v>
      </c>
      <c r="G5" s="18"/>
      <c r="H5" s="17"/>
      <c r="I5" s="17"/>
      <c r="J5" s="17">
        <f>('E Balans VL '!D25+'E Balans VL '!E25)/3.6*1000000*landbouw!B17/100</f>
        <v>753.58467384212383</v>
      </c>
      <c r="K5" s="17"/>
      <c r="L5" s="17">
        <f>L6*(-1)</f>
        <v>0</v>
      </c>
      <c r="M5" s="17"/>
      <c r="N5" s="17">
        <f>N6*(-1)</f>
        <v>0</v>
      </c>
      <c r="O5" s="17"/>
      <c r="P5" s="17"/>
      <c r="R5" s="32"/>
    </row>
    <row r="6" spans="1:18">
      <c r="A6" s="16" t="s">
        <v>477</v>
      </c>
      <c r="B6" s="17" t="s">
        <v>204</v>
      </c>
      <c r="C6" s="17">
        <f>'lokale energieproductie'!O40+'lokale energieproductie'!O33</f>
        <v>0</v>
      </c>
      <c r="D6" s="300">
        <f>('lokale energieproductie'!P33+'lokale energieproductie'!P40)*(-1)</f>
        <v>0</v>
      </c>
      <c r="E6" s="243"/>
      <c r="F6" s="300">
        <f>('lokale energieproductie'!S33+'lokale energieproductie'!S40)*(-1)</f>
        <v>0</v>
      </c>
      <c r="G6" s="244"/>
      <c r="H6" s="243"/>
      <c r="I6" s="243"/>
      <c r="J6" s="243"/>
      <c r="K6" s="243"/>
      <c r="L6" s="300">
        <f>('lokale energieproductie'!T33+'lokale energieproductie'!U33+'lokale energieproductie'!T40+'lokale energieproductie'!U40)*(-1)</f>
        <v>0</v>
      </c>
      <c r="M6" s="243"/>
      <c r="N6" s="300">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3173.7860357832997</v>
      </c>
      <c r="C8" s="21">
        <f>C5+C6</f>
        <v>0</v>
      </c>
      <c r="D8" s="21">
        <f>MAX((D5+D6),0)</f>
        <v>567.14228921387394</v>
      </c>
      <c r="E8" s="21">
        <f>MAX((E5+E6),0)</f>
        <v>62.875430848163603</v>
      </c>
      <c r="F8" s="21">
        <f>MAX((F5+F6),0)</f>
        <v>11573.902532422209</v>
      </c>
      <c r="G8" s="21"/>
      <c r="H8" s="21"/>
      <c r="I8" s="21"/>
      <c r="J8" s="21">
        <f>MAX((J5+J6),0)</f>
        <v>753.58467384212383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0.20990261360219245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666.18598392505612</v>
      </c>
      <c r="C12" s="23">
        <f ca="1">C8*C10</f>
        <v>0</v>
      </c>
      <c r="D12" s="23">
        <f>D8*D10</f>
        <v>114.56274242120254</v>
      </c>
      <c r="E12" s="23">
        <f>E8*E10</f>
        <v>14.272722802533139</v>
      </c>
      <c r="F12" s="23">
        <f>F8*F10</f>
        <v>3090.2319761567301</v>
      </c>
      <c r="G12" s="23"/>
      <c r="H12" s="23"/>
      <c r="I12" s="23"/>
      <c r="J12" s="23">
        <f>J8*J10</f>
        <v>266.7689745401118</v>
      </c>
      <c r="K12" s="23"/>
      <c r="L12" s="23">
        <f>L8*L10</f>
        <v>0</v>
      </c>
      <c r="M12" s="23">
        <f>M8*M10</f>
        <v>0</v>
      </c>
      <c r="N12" s="23">
        <f>N8*N10</f>
        <v>0</v>
      </c>
      <c r="O12" s="23"/>
      <c r="P12" s="23"/>
    </row>
    <row r="14" spans="1:18">
      <c r="A14" s="189" t="s">
        <v>483</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0.44752485373275724</v>
      </c>
      <c r="C17" s="232" t="s">
        <v>649</v>
      </c>
      <c r="D17" s="247"/>
    </row>
    <row r="18" spans="1:4">
      <c r="A18" s="235"/>
      <c r="B18" s="248"/>
      <c r="C18" s="236"/>
    </row>
    <row r="19" spans="1:4">
      <c r="A19" s="32"/>
      <c r="B19" s="48"/>
      <c r="C19" s="32"/>
    </row>
    <row r="20" spans="1:4">
      <c r="A20" s="32"/>
      <c r="B20" s="48"/>
      <c r="C20" s="32"/>
    </row>
    <row r="21" spans="1:4" ht="15.75" thickBot="1">
      <c r="B21" s="32"/>
    </row>
    <row r="22" spans="1:4" ht="15.75" customHeight="1">
      <c r="A22" s="1160" t="s">
        <v>292</v>
      </c>
      <c r="B22" s="1163" t="s">
        <v>293</v>
      </c>
      <c r="C22" s="1163" t="s">
        <v>482</v>
      </c>
    </row>
    <row r="23" spans="1:4">
      <c r="A23" s="1161"/>
      <c r="B23" s="1164"/>
      <c r="C23" s="1164"/>
    </row>
    <row r="24" spans="1:4" ht="15.75" thickBot="1">
      <c r="A24" s="1162"/>
      <c r="B24" s="1165"/>
      <c r="C24" s="1165"/>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466.76177337237817</v>
      </c>
      <c r="C26" s="242">
        <f>B26*'GWP N2O_CH4'!B5</f>
        <v>9801.997240819941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168.13310630577413</v>
      </c>
      <c r="C27" s="242">
        <f>B27*'GWP N2O_CH4'!B5</f>
        <v>3530.795232421257</v>
      </c>
      <c r="D27" s="50"/>
    </row>
    <row r="28" spans="1:4">
      <c r="A28" s="41" t="s">
        <v>265</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7.4422976965327248</v>
      </c>
      <c r="C28" s="242">
        <f>B28*'GWP N2O_CH4'!B4</f>
        <v>2307.1122859251445</v>
      </c>
      <c r="D28" s="50"/>
    </row>
    <row r="29" spans="1:4">
      <c r="A29" s="41" t="s">
        <v>266</v>
      </c>
      <c r="B29" s="242">
        <f>B34*'ha_N2O bodem landbouw'!B4</f>
        <v>30.76020778761119</v>
      </c>
      <c r="C29" s="242">
        <f>B29*'GWP N2O_CH4'!B4</f>
        <v>9535.6644141594697</v>
      </c>
      <c r="D29" s="50"/>
    </row>
    <row r="31" spans="1:4">
      <c r="A31" s="189" t="s">
        <v>484</v>
      </c>
      <c r="B31" s="199"/>
      <c r="C31" s="221"/>
    </row>
    <row r="32" spans="1:4">
      <c r="A32" s="231"/>
      <c r="B32" s="32"/>
      <c r="C32" s="232"/>
    </row>
    <row r="33" spans="1:5">
      <c r="A33" s="233"/>
      <c r="B33" s="220" t="s">
        <v>589</v>
      </c>
      <c r="C33" s="234" t="s">
        <v>175</v>
      </c>
    </row>
    <row r="34" spans="1:5">
      <c r="A34" s="252" t="s">
        <v>105</v>
      </c>
      <c r="B34" s="35">
        <f>IF(ISERROR(aantalCultuurgronden/'ha_N2O bodem landbouw'!B5),0,aantalCultuurgronden/'ha_N2O bodem landbouw'!B5)</f>
        <v>6.922718310528317E-3</v>
      </c>
      <c r="C34" s="846" t="s">
        <v>617</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52" t="s">
        <v>486</v>
      </c>
      <c r="B1" s="1153" t="s">
        <v>534</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79" t="s">
        <v>317</v>
      </c>
      <c r="B5" s="412">
        <f>SUM(B6:B11)</f>
        <v>2.9927237936719738E-4</v>
      </c>
      <c r="C5" s="427" t="s">
        <v>204</v>
      </c>
      <c r="D5" s="412">
        <f>SUM(D6:D11)</f>
        <v>4.2770038661192242E-4</v>
      </c>
      <c r="E5" s="412">
        <f>SUM(E6:E11)</f>
        <v>2.1903621442665197E-3</v>
      </c>
      <c r="F5" s="425" t="s">
        <v>204</v>
      </c>
      <c r="G5" s="412">
        <f>SUM(G6:G11)</f>
        <v>1.0950811705190913</v>
      </c>
      <c r="H5" s="412">
        <f>SUM(H6:H11)</f>
        <v>0.15229694458316242</v>
      </c>
      <c r="I5" s="427" t="s">
        <v>204</v>
      </c>
      <c r="J5" s="427" t="s">
        <v>204</v>
      </c>
      <c r="K5" s="427" t="s">
        <v>204</v>
      </c>
      <c r="L5" s="427" t="s">
        <v>204</v>
      </c>
      <c r="M5" s="412">
        <f>SUM(M6:M11)</f>
        <v>3.901539581835891E-2</v>
      </c>
      <c r="N5" s="427" t="s">
        <v>204</v>
      </c>
      <c r="O5" s="427" t="s">
        <v>204</v>
      </c>
      <c r="P5" s="428" t="s">
        <v>204</v>
      </c>
    </row>
    <row r="6" spans="1:18">
      <c r="A6" s="256" t="s">
        <v>627</v>
      </c>
      <c r="B6" s="81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8.8660187487101427E-5</v>
      </c>
      <c r="C6" s="413"/>
      <c r="D6" s="81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1.397044678858007E-4</v>
      </c>
      <c r="E6" s="818">
        <f>vkm_GW_PW*SUMIFS(TableVerdeelsleutelVkm[LPG],TableVerdeelsleutelVkm[Voertuigtype],"Lichte voertuigen")*SUMIFS(TableECFTransport[EnergieConsumptieFactor (PJ per km)],TableECFTransport[Index],CONCATENATE($A6,"_LPG_LPG"))</f>
        <v>6.3771800363275958E-4</v>
      </c>
      <c r="F6" s="415"/>
      <c r="G6" s="8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0.17218510210212448</v>
      </c>
      <c r="H6" s="81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4.8619995389367843E-2</v>
      </c>
      <c r="I6" s="413"/>
      <c r="J6" s="413"/>
      <c r="K6" s="413"/>
      <c r="L6" s="413"/>
      <c r="M6" s="41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6.8741076153262907E-3</v>
      </c>
      <c r="N6" s="413"/>
      <c r="O6" s="413"/>
      <c r="P6" s="414"/>
    </row>
    <row r="7" spans="1:18">
      <c r="A7" s="256" t="s">
        <v>628</v>
      </c>
      <c r="B7" s="81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2.8166426262174229E-6</v>
      </c>
      <c r="C7" s="413"/>
      <c r="D7" s="818">
        <f>vkm_GW_ZV*SUMIFS(TableVerdeelsleutelVkm[CNG],TableVerdeelsleutelVkm[Voertuigtype],"Zware voertuigen")*SUMIFS(TableECFTransport[EnergieConsumptieFactor (PJ per km)],TableECFTransport[Index],CONCATENATE($A7,"_CNG_CNG"))</f>
        <v>0</v>
      </c>
      <c r="E7" s="818">
        <f>vkm_GW_ZV*SUMIFS(TableVerdeelsleutelVkm[LPG],TableVerdeelsleutelVkm[Voertuigtype],"Zware voertuigen")*SUMIFS(TableECFTransport[EnergieConsumptieFactor (PJ per km)],TableECFTransport[Index],CONCATENATE($A7,"_LPG_LPG"))</f>
        <v>0</v>
      </c>
      <c r="F7" s="415"/>
      <c r="G7" s="8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9.708647378839412E-2</v>
      </c>
      <c r="H7" s="81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1.9723943944391829E-6</v>
      </c>
      <c r="I7" s="413"/>
      <c r="J7" s="413"/>
      <c r="K7" s="413"/>
      <c r="L7" s="413"/>
      <c r="M7" s="41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3.0543525162033268E-3</v>
      </c>
      <c r="N7" s="413"/>
      <c r="O7" s="413"/>
      <c r="P7" s="414"/>
      <c r="R7" s="815"/>
    </row>
    <row r="8" spans="1:18">
      <c r="A8" s="256" t="s">
        <v>629</v>
      </c>
      <c r="B8" s="41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2.3511167612939508E-5</v>
      </c>
      <c r="C8" s="413"/>
      <c r="D8" s="415">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5.248175491950095E-5</v>
      </c>
      <c r="E8" s="415">
        <f>vkm_NGW_PW*SUMIFS(TableVerdeelsleutelVkm[LPG],TableVerdeelsleutelVkm[Voertuigtype],"Lichte voertuigen")*SUMIFS(TableECFTransport[EnergieConsumptieFactor (PJ per km)],TableECFTransport[Index],CONCATENATE($A8,"_LPG_LPG"))</f>
        <v>2.2855235121553078E-4</v>
      </c>
      <c r="F8" s="415"/>
      <c r="G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5.7536973965751227E-2</v>
      </c>
      <c r="H8" s="81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1.772124379315794E-2</v>
      </c>
      <c r="I8" s="413"/>
      <c r="J8" s="413"/>
      <c r="K8" s="413"/>
      <c r="L8" s="413"/>
      <c r="M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2.3412298071555167E-3</v>
      </c>
      <c r="N8" s="413"/>
      <c r="O8" s="413"/>
      <c r="P8" s="414"/>
      <c r="R8" s="815"/>
    </row>
    <row r="9" spans="1:18">
      <c r="A9" s="256" t="s">
        <v>630</v>
      </c>
      <c r="B9" s="41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1.7365126100071859E-7</v>
      </c>
      <c r="C9" s="413"/>
      <c r="D9" s="415">
        <f>vkm_NGW_ZV*SUMIFS(TableVerdeelsleutelVkm[CNG],TableVerdeelsleutelVkm[Voertuigtype],"Zware voertuigen")*SUMIFS(TableECFTransport[EnergieConsumptieFactor (PJ per km)],TableECFTransport[Index],CONCATENATE($A9,"_CNG_CNG"))</f>
        <v>0</v>
      </c>
      <c r="E9" s="415">
        <f>vkm_NGW_ZV*SUMIFS(TableVerdeelsleutelVkm[LPG],TableVerdeelsleutelVkm[Voertuigtype],"Zware voertuigen")*SUMIFS(TableECFTransport[EnergieConsumptieFactor (PJ per km)],TableECFTransport[Index],CONCATENATE($A9,"_LPG_LPG"))</f>
        <v>0</v>
      </c>
      <c r="F9" s="415"/>
      <c r="G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7.6960166564769318E-3</v>
      </c>
      <c r="H9" s="81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1.4677645684818375E-7</v>
      </c>
      <c r="I9" s="413"/>
      <c r="J9" s="413"/>
      <c r="K9" s="413"/>
      <c r="L9" s="413"/>
      <c r="M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2.4211735230381015E-4</v>
      </c>
      <c r="N9" s="413"/>
      <c r="O9" s="413"/>
      <c r="P9" s="414"/>
      <c r="R9" s="815"/>
    </row>
    <row r="10" spans="1:18">
      <c r="A10" s="256" t="s">
        <v>631</v>
      </c>
      <c r="B10" s="41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1.708212121263797E-4</v>
      </c>
      <c r="C10" s="413"/>
      <c r="D10" s="415">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2.3551416380662078E-4</v>
      </c>
      <c r="E10" s="415">
        <f>vkm_SW_PW*SUMIFS(TableVerdeelsleutelVkm[LPG],TableVerdeelsleutelVkm[Voertuigtype],"Lichte voertuigen")*SUMIFS(TableECFTransport[EnergieConsumptieFactor (PJ per km)],TableECFTransport[Index],CONCATENATE($A10,"_LPG_LPG"))</f>
        <v>1.3240917894182292E-3</v>
      </c>
      <c r="F10" s="415"/>
      <c r="G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0.32409688809347981</v>
      </c>
      <c r="H10" s="81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8.5944007637463571E-2</v>
      </c>
      <c r="I10" s="413"/>
      <c r="J10" s="413"/>
      <c r="K10" s="413"/>
      <c r="L10" s="413"/>
      <c r="M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1.2771861172598454E-2</v>
      </c>
      <c r="N10" s="413"/>
      <c r="O10" s="413"/>
      <c r="P10" s="414"/>
      <c r="R10" s="815"/>
    </row>
    <row r="11" spans="1:18">
      <c r="A11" s="4" t="s">
        <v>632</v>
      </c>
      <c r="B11" s="41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1.3289518253558594E-5</v>
      </c>
      <c r="C11" s="416"/>
      <c r="D11" s="417">
        <f>vkm_SW_ZV*SUMIFS(TableVerdeelsleutelVkm[CNG],TableVerdeelsleutelVkm[Voertuigtype],"Zware voertuigen")*SUMIFS(TableECFTransport[EnergieConsumptieFactor (PJ per km)],TableECFTransport[Index],CONCATENATE($A11,"_CNG_CNG"))</f>
        <v>0</v>
      </c>
      <c r="E11" s="417">
        <f>vkm_SW_ZV*SUMIFS(TableVerdeelsleutelVkm[LPG],TableVerdeelsleutelVkm[Voertuigtype],"Zware voertuigen")*SUMIFS(TableECFTransport[EnergieConsumptieFactor (PJ per km)],TableECFTransport[Index],CONCATENATE($A11,"_LPG_LPG"))</f>
        <v>0</v>
      </c>
      <c r="F11" s="417"/>
      <c r="G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0.43647971591286472</v>
      </c>
      <c r="H11" s="81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9.578592321777149E-6</v>
      </c>
      <c r="I11" s="416"/>
      <c r="J11" s="416"/>
      <c r="K11" s="416"/>
      <c r="L11" s="416"/>
      <c r="M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1.3731727354771513E-2</v>
      </c>
      <c r="N11" s="416"/>
      <c r="O11" s="416"/>
      <c r="P11" s="418"/>
      <c r="R11" s="815"/>
    </row>
    <row r="12" spans="1:18">
      <c r="A12" s="321" t="s">
        <v>532</v>
      </c>
      <c r="B12" s="426">
        <f>('Eigen vloot'!B27)*(-1)</f>
        <v>0</v>
      </c>
      <c r="C12" s="426"/>
      <c r="D12" s="426">
        <f>('Eigen vloot'!D27)*(-1)</f>
        <v>0</v>
      </c>
      <c r="E12" s="426">
        <f>('Eigen vloot'!E27)*(-1)</f>
        <v>0</v>
      </c>
      <c r="F12" s="419"/>
      <c r="G12" s="426">
        <f>('Eigen vloot'!G27)*(-1)</f>
        <v>0</v>
      </c>
      <c r="H12" s="426">
        <f>('Eigen vloot'!H27)*(-1)</f>
        <v>0</v>
      </c>
      <c r="I12" s="426"/>
      <c r="J12" s="426"/>
      <c r="K12" s="426"/>
      <c r="L12" s="426"/>
      <c r="M12" s="426">
        <f>('Eigen vloot'!M27)*(-1)</f>
        <v>0</v>
      </c>
      <c r="N12" s="426"/>
      <c r="O12" s="426"/>
      <c r="P12" s="429"/>
    </row>
    <row r="13" spans="1:18">
      <c r="B13" s="11"/>
      <c r="C13" s="55"/>
      <c r="D13" s="55"/>
      <c r="E13" s="55"/>
      <c r="F13" s="55"/>
      <c r="G13" s="11"/>
      <c r="H13" s="11"/>
      <c r="I13" s="10"/>
      <c r="J13" s="11"/>
      <c r="K13" s="11"/>
      <c r="L13" s="11"/>
      <c r="M13" s="11"/>
      <c r="N13" s="11"/>
      <c r="O13" s="11"/>
      <c r="P13" s="11"/>
    </row>
    <row r="14" spans="1:18" s="15" customFormat="1">
      <c r="A14" s="20" t="s">
        <v>325</v>
      </c>
      <c r="B14" s="21">
        <f>((B5)*10^9/3600)+B12</f>
        <v>83.131216490888164</v>
      </c>
      <c r="C14" s="21"/>
      <c r="D14" s="21">
        <f t="shared" ref="D14:M14" si="0">((D5)*10^9/3600)+D12</f>
        <v>118.80566294775622</v>
      </c>
      <c r="E14" s="21">
        <f t="shared" si="0"/>
        <v>608.4339289629221</v>
      </c>
      <c r="F14" s="21"/>
      <c r="G14" s="21">
        <f t="shared" si="0"/>
        <v>304189.21403308096</v>
      </c>
      <c r="H14" s="21">
        <f t="shared" si="0"/>
        <v>42304.706828656228</v>
      </c>
      <c r="I14" s="21"/>
      <c r="J14" s="21"/>
      <c r="K14" s="21"/>
      <c r="L14" s="21"/>
      <c r="M14" s="21">
        <f t="shared" si="0"/>
        <v>10837.609949544143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0.20990261360219245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17.449459613367107</v>
      </c>
      <c r="C18" s="23"/>
      <c r="D18" s="23">
        <f t="shared" ref="D18:M18" si="1">D14*D16</f>
        <v>23.998743915446756</v>
      </c>
      <c r="E18" s="23">
        <f t="shared" si="1"/>
        <v>138.11450187458331</v>
      </c>
      <c r="F18" s="23"/>
      <c r="G18" s="23">
        <f t="shared" si="1"/>
        <v>81218.520146832627</v>
      </c>
      <c r="H18" s="23">
        <f t="shared" si="1"/>
        <v>10533.872000335401</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7"/>
    </row>
    <row r="21" spans="1:18">
      <c r="A21" s="257" t="s">
        <v>488</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49" t="s">
        <v>298</v>
      </c>
      <c r="C23" s="849" t="s">
        <v>633</v>
      </c>
      <c r="D23" s="849" t="s">
        <v>634</v>
      </c>
      <c r="E23" s="849" t="s">
        <v>635</v>
      </c>
      <c r="F23" s="849" t="s">
        <v>613</v>
      </c>
      <c r="G23" s="849" t="s">
        <v>636</v>
      </c>
      <c r="H23" s="849" t="s">
        <v>637</v>
      </c>
      <c r="I23" s="849" t="s">
        <v>112</v>
      </c>
      <c r="J23" s="849" t="s">
        <v>638</v>
      </c>
      <c r="K23" s="849" t="s">
        <v>639</v>
      </c>
      <c r="L23" s="850" t="s">
        <v>640</v>
      </c>
      <c r="M23" s="128" t="s">
        <v>175</v>
      </c>
      <c r="N23" s="263" t="s">
        <v>305</v>
      </c>
    </row>
    <row r="24" spans="1:18">
      <c r="A24" s="32" t="s">
        <v>625</v>
      </c>
      <c r="B24" s="1001">
        <v>5.2886538971963016E-4</v>
      </c>
      <c r="C24" s="1001">
        <v>0.77692814639643537</v>
      </c>
      <c r="D24" s="1001" t="s">
        <v>837</v>
      </c>
      <c r="E24" s="1001">
        <v>1.0968648319896536E-4</v>
      </c>
      <c r="F24" s="1002"/>
      <c r="G24" s="1001">
        <v>9.0477367653526975E-4</v>
      </c>
      <c r="H24" s="1001" t="s">
        <v>837</v>
      </c>
      <c r="I24" s="1001">
        <v>2.7089364759488141E-3</v>
      </c>
      <c r="J24" s="1001">
        <v>0.2145889537432536</v>
      </c>
      <c r="K24" s="1001">
        <v>3.7571751031815182E-3</v>
      </c>
      <c r="L24" s="1001">
        <v>4.734627317267976E-4</v>
      </c>
      <c r="M24" s="993" t="s">
        <v>874</v>
      </c>
      <c r="N24" s="817">
        <f>SUM(B24:L24)</f>
        <v>1</v>
      </c>
      <c r="O24" s="815"/>
    </row>
    <row r="25" spans="1:18">
      <c r="A25" s="32" t="s">
        <v>626</v>
      </c>
      <c r="B25" s="1001" t="s">
        <v>837</v>
      </c>
      <c r="C25" s="1001">
        <v>0.99990579741554708</v>
      </c>
      <c r="D25" s="1001" t="s">
        <v>837</v>
      </c>
      <c r="E25" s="1001" t="s">
        <v>837</v>
      </c>
      <c r="F25" s="1002"/>
      <c r="G25" s="1001">
        <v>6.2510586584789703E-5</v>
      </c>
      <c r="H25" s="1001" t="s">
        <v>837</v>
      </c>
      <c r="I25" s="1001" t="s">
        <v>837</v>
      </c>
      <c r="J25" s="1001">
        <v>3.1691997868185961E-5</v>
      </c>
      <c r="K25" s="1001" t="s">
        <v>837</v>
      </c>
      <c r="L25" s="1001" t="s">
        <v>837</v>
      </c>
      <c r="M25" s="993" t="s">
        <v>874</v>
      </c>
      <c r="N25" s="817">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489</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1" t="s">
        <v>195</v>
      </c>
      <c r="B30" s="268" t="s">
        <v>306</v>
      </c>
      <c r="C30" s="814">
        <v>2015</v>
      </c>
      <c r="D30" s="268" t="s">
        <v>307</v>
      </c>
      <c r="E30" s="238" t="s">
        <v>175</v>
      </c>
      <c r="F30" s="265"/>
      <c r="G30" s="238"/>
      <c r="H30" s="238"/>
      <c r="I30" s="238"/>
      <c r="J30" s="238"/>
      <c r="K30" s="238"/>
      <c r="L30" s="266"/>
    </row>
    <row r="31" spans="1:18">
      <c r="A31" s="269" t="s">
        <v>308</v>
      </c>
      <c r="B31" s="270"/>
      <c r="F31" s="53"/>
      <c r="G31" s="43"/>
      <c r="H31" s="43"/>
      <c r="I31" s="43"/>
      <c r="J31" s="43"/>
      <c r="K31" s="43"/>
      <c r="L31" s="170"/>
    </row>
    <row r="32" spans="1:18">
      <c r="A32" s="271" t="s">
        <v>309</v>
      </c>
      <c r="B32" s="272"/>
      <c r="F32" s="53"/>
      <c r="G32" s="43"/>
      <c r="H32" s="43"/>
      <c r="I32" s="43"/>
      <c r="J32" s="43"/>
      <c r="K32" s="43"/>
      <c r="L32" s="170"/>
    </row>
    <row r="33" spans="1:16">
      <c r="A33" s="271" t="s">
        <v>310</v>
      </c>
      <c r="B33" s="273"/>
      <c r="F33" s="53"/>
      <c r="G33" s="43"/>
      <c r="H33" s="43"/>
      <c r="I33" s="43"/>
      <c r="J33" s="43"/>
      <c r="K33" s="43"/>
      <c r="L33" s="170"/>
    </row>
    <row r="34" spans="1:16">
      <c r="A34" s="271" t="s">
        <v>311</v>
      </c>
      <c r="B34" s="273"/>
      <c r="F34" s="53"/>
      <c r="G34" s="43"/>
      <c r="H34" s="43"/>
      <c r="I34" s="43"/>
      <c r="J34" s="43"/>
      <c r="K34" s="43"/>
      <c r="L34" s="170"/>
    </row>
    <row r="35" spans="1:16">
      <c r="A35" s="271" t="s">
        <v>312</v>
      </c>
      <c r="B35" s="273"/>
      <c r="C35" s="275">
        <v>3.0499999999999999E-2</v>
      </c>
      <c r="D35" s="58"/>
      <c r="E35" s="994" t="s">
        <v>852</v>
      </c>
      <c r="F35" s="53"/>
      <c r="G35" s="43"/>
      <c r="H35" s="43"/>
      <c r="I35" s="43"/>
      <c r="J35" s="43"/>
      <c r="K35" s="43"/>
      <c r="L35" s="170"/>
    </row>
    <row r="36" spans="1:16">
      <c r="A36" s="256"/>
      <c r="B36" s="43"/>
      <c r="C36" s="43"/>
      <c r="D36" s="43"/>
      <c r="E36" s="153"/>
      <c r="F36" s="53"/>
      <c r="G36" s="43"/>
      <c r="H36" s="43"/>
      <c r="I36" s="43"/>
      <c r="J36" s="43"/>
      <c r="K36" s="43"/>
      <c r="L36" s="170"/>
    </row>
    <row r="37" spans="1:16">
      <c r="A37" s="411" t="s">
        <v>113</v>
      </c>
      <c r="B37" s="268" t="s">
        <v>306</v>
      </c>
      <c r="C37" s="814">
        <f>C30</f>
        <v>2015</v>
      </c>
      <c r="D37" s="268" t="s">
        <v>307</v>
      </c>
      <c r="E37" s="847" t="s">
        <v>175</v>
      </c>
      <c r="F37" s="278"/>
      <c r="G37" s="262"/>
      <c r="H37" s="262"/>
      <c r="I37" s="262"/>
      <c r="J37" s="262"/>
      <c r="K37" s="262"/>
      <c r="L37" s="263"/>
    </row>
    <row r="38" spans="1:16">
      <c r="A38" s="271" t="s">
        <v>313</v>
      </c>
      <c r="B38" s="272"/>
      <c r="F38" s="274"/>
      <c r="G38" s="58"/>
      <c r="H38" s="58"/>
      <c r="I38" s="58"/>
      <c r="J38" s="58"/>
      <c r="K38" s="58"/>
      <c r="L38" s="276"/>
    </row>
    <row r="39" spans="1:16">
      <c r="A39" s="271" t="s">
        <v>314</v>
      </c>
      <c r="B39" s="272"/>
      <c r="F39" s="274"/>
      <c r="G39" s="58"/>
      <c r="H39" s="58"/>
      <c r="I39" s="58"/>
      <c r="J39" s="58"/>
      <c r="K39" s="58"/>
      <c r="L39" s="276"/>
    </row>
    <row r="40" spans="1:16">
      <c r="A40" s="271" t="s">
        <v>310</v>
      </c>
      <c r="B40" s="273"/>
      <c r="F40" s="58"/>
      <c r="G40" s="58"/>
      <c r="H40" s="58"/>
      <c r="I40" s="58"/>
      <c r="J40" s="58"/>
      <c r="K40" s="58"/>
      <c r="L40" s="276"/>
    </row>
    <row r="41" spans="1:16">
      <c r="A41" s="271" t="s">
        <v>315</v>
      </c>
      <c r="B41" s="273"/>
      <c r="F41" s="58"/>
      <c r="G41" s="58"/>
      <c r="H41" s="58"/>
      <c r="I41" s="58"/>
      <c r="J41" s="58"/>
      <c r="K41" s="58"/>
      <c r="L41" s="276"/>
    </row>
    <row r="42" spans="1:16">
      <c r="A42" s="271" t="s">
        <v>312</v>
      </c>
      <c r="B42" s="273"/>
      <c r="C42" s="275">
        <v>2.9100000000000001E-2</v>
      </c>
      <c r="D42" s="274"/>
      <c r="E42" s="994"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66" t="s">
        <v>487</v>
      </c>
      <c r="B46" s="1167" t="s">
        <v>533</v>
      </c>
      <c r="C46" s="1168"/>
      <c r="D46" s="1168"/>
      <c r="E46" s="1168"/>
      <c r="F46" s="1168"/>
      <c r="G46" s="1168"/>
      <c r="H46" s="1168"/>
      <c r="I46" s="1168"/>
      <c r="J46" s="1168"/>
      <c r="K46" s="1168"/>
      <c r="L46" s="1168"/>
      <c r="M46" s="1168"/>
      <c r="N46" s="1168"/>
      <c r="O46" s="1168"/>
      <c r="P46" s="1168"/>
    </row>
    <row r="47" spans="1:16" s="15" customFormat="1" ht="15.75" thickTop="1">
      <c r="A47" s="1166"/>
      <c r="B47" s="1169" t="s">
        <v>20</v>
      </c>
      <c r="C47" s="1169" t="s">
        <v>189</v>
      </c>
      <c r="D47" s="1171" t="s">
        <v>190</v>
      </c>
      <c r="E47" s="1172"/>
      <c r="F47" s="1172"/>
      <c r="G47" s="1172"/>
      <c r="H47" s="1172"/>
      <c r="I47" s="1172"/>
      <c r="J47" s="1172"/>
      <c r="K47" s="1173"/>
      <c r="L47" s="1171" t="s">
        <v>191</v>
      </c>
      <c r="M47" s="1172"/>
      <c r="N47" s="1172"/>
      <c r="O47" s="1172"/>
      <c r="P47" s="1173"/>
    </row>
    <row r="48" spans="1:16" s="15" customFormat="1" ht="45">
      <c r="A48" s="1166"/>
      <c r="B48" s="1170"/>
      <c r="C48" s="117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320</v>
      </c>
      <c r="B50" s="311">
        <f>SUM(B51:B52)</f>
        <v>1.3711210299427533E-5</v>
      </c>
      <c r="C50" s="311">
        <f t="shared" ref="C50:P50" si="2">SUM(C51:C52)</f>
        <v>0</v>
      </c>
      <c r="D50" s="311">
        <f t="shared" si="2"/>
        <v>0</v>
      </c>
      <c r="E50" s="311">
        <f t="shared" si="2"/>
        <v>0</v>
      </c>
      <c r="F50" s="311">
        <f t="shared" si="2"/>
        <v>0</v>
      </c>
      <c r="G50" s="311">
        <f t="shared" si="2"/>
        <v>2.4447378248389148E-3</v>
      </c>
      <c r="H50" s="311">
        <f t="shared" si="2"/>
        <v>0</v>
      </c>
      <c r="I50" s="311">
        <f t="shared" si="2"/>
        <v>0</v>
      </c>
      <c r="J50" s="311">
        <f t="shared" si="2"/>
        <v>0</v>
      </c>
      <c r="K50" s="311">
        <f t="shared" si="2"/>
        <v>0</v>
      </c>
      <c r="L50" s="311">
        <f t="shared" si="2"/>
        <v>0</v>
      </c>
      <c r="M50" s="311">
        <f t="shared" si="2"/>
        <v>7.631524242725117E-5</v>
      </c>
      <c r="N50" s="311">
        <f t="shared" si="2"/>
        <v>0</v>
      </c>
      <c r="O50" s="311">
        <f t="shared" si="2"/>
        <v>0</v>
      </c>
      <c r="P50" s="312">
        <f t="shared" si="2"/>
        <v>0</v>
      </c>
    </row>
    <row r="51" spans="1:18">
      <c r="A51" s="256" t="s">
        <v>319</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1.3711210299427533E-5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2.4447378248389148E-3</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7.631524242725117E-5</v>
      </c>
      <c r="N51" s="313"/>
      <c r="O51" s="313"/>
      <c r="P51" s="316"/>
    </row>
    <row r="52" spans="1:18">
      <c r="A52" s="4" t="s">
        <v>318</v>
      </c>
      <c r="B52" s="819">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326</v>
      </c>
      <c r="B54" s="21">
        <f>(B50)*10^9/3600</f>
        <v>3.8086695276187594</v>
      </c>
      <c r="C54" s="21">
        <f t="shared" ref="C54:P54" si="3">(C50)*10^9/3600</f>
        <v>0</v>
      </c>
      <c r="D54" s="21">
        <f t="shared" si="3"/>
        <v>0</v>
      </c>
      <c r="E54" s="21">
        <f t="shared" si="3"/>
        <v>0</v>
      </c>
      <c r="F54" s="21">
        <f t="shared" si="3"/>
        <v>0</v>
      </c>
      <c r="G54" s="21">
        <f t="shared" si="3"/>
        <v>679.09384023303187</v>
      </c>
      <c r="H54" s="21">
        <f t="shared" si="3"/>
        <v>0</v>
      </c>
      <c r="I54" s="21">
        <f t="shared" si="3"/>
        <v>0</v>
      </c>
      <c r="J54" s="21">
        <f t="shared" si="3"/>
        <v>0</v>
      </c>
      <c r="K54" s="21">
        <f t="shared" si="3"/>
        <v>0</v>
      </c>
      <c r="L54" s="21">
        <f t="shared" si="3"/>
        <v>0</v>
      </c>
      <c r="M54" s="21">
        <f t="shared" si="3"/>
        <v>21.198678452014214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0.20990261360219245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0.79944968819420525</v>
      </c>
      <c r="C58" s="23">
        <f t="shared" ref="C58:P58" ca="1" si="4">C54*C56</f>
        <v>0</v>
      </c>
      <c r="D58" s="23">
        <f t="shared" si="4"/>
        <v>0</v>
      </c>
      <c r="E58" s="23">
        <f t="shared" si="4"/>
        <v>0</v>
      </c>
      <c r="F58" s="23">
        <f t="shared" si="4"/>
        <v>0</v>
      </c>
      <c r="G58" s="23">
        <f t="shared" si="4"/>
        <v>181.31805534221951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547</v>
      </c>
      <c r="B61" s="259"/>
      <c r="C61" s="260"/>
    </row>
    <row r="62" spans="1:18" s="15" customFormat="1">
      <c r="A62" s="286"/>
      <c r="B62" s="282"/>
      <c r="C62" s="287"/>
    </row>
    <row r="63" spans="1:18">
      <c r="A63" s="288"/>
      <c r="B63" s="132"/>
      <c r="C63" s="289" t="s">
        <v>175</v>
      </c>
    </row>
    <row r="64" spans="1:18">
      <c r="A64" s="280" t="s">
        <v>195</v>
      </c>
      <c r="B64" s="283">
        <f>100%-B65</f>
        <v>0.97619999999999996</v>
      </c>
      <c r="C64" s="170"/>
    </row>
    <row r="65" spans="1:12">
      <c r="A65" s="280" t="s">
        <v>836</v>
      </c>
      <c r="B65" s="1000">
        <v>2.3800000000000002E-2</v>
      </c>
      <c r="C65" s="170" t="s">
        <v>666</v>
      </c>
    </row>
    <row r="66" spans="1:12" s="15" customFormat="1">
      <c r="A66" s="281"/>
      <c r="B66" s="264"/>
      <c r="C66" s="228"/>
    </row>
    <row r="67" spans="1:12">
      <c r="A67" s="284" t="s">
        <v>305</v>
      </c>
      <c r="B67" s="285">
        <f>SUM(B64:B65)</f>
        <v>1</v>
      </c>
      <c r="C67" s="172"/>
    </row>
    <row r="70" spans="1:12">
      <c r="A70" s="257" t="s">
        <v>489</v>
      </c>
      <c r="B70" s="259"/>
      <c r="C70" s="259"/>
      <c r="D70" s="259"/>
      <c r="E70" s="259"/>
      <c r="F70" s="259"/>
      <c r="G70" s="259"/>
      <c r="H70" s="259"/>
      <c r="I70" s="259"/>
      <c r="J70" s="259"/>
      <c r="K70" s="259"/>
      <c r="L70" s="260"/>
    </row>
    <row r="71" spans="1:12">
      <c r="A71" s="409" t="s">
        <v>548</v>
      </c>
    </row>
    <row r="72" spans="1:12">
      <c r="A72" s="256"/>
      <c r="B72" s="261"/>
      <c r="C72" s="261"/>
      <c r="D72" s="261"/>
      <c r="E72" s="261"/>
    </row>
    <row r="73" spans="1:12">
      <c r="A73" s="267"/>
      <c r="B73" s="268" t="s">
        <v>306</v>
      </c>
      <c r="C73" s="814">
        <f>C30</f>
        <v>2015</v>
      </c>
      <c r="D73" s="268" t="s">
        <v>307</v>
      </c>
      <c r="E73" s="238" t="s">
        <v>175</v>
      </c>
    </row>
    <row r="74" spans="1:12">
      <c r="A74" t="str">
        <f t="shared" ref="A74:A75" si="5">A31</f>
        <v>diesel</v>
      </c>
      <c r="B74" s="408"/>
    </row>
    <row r="75" spans="1:12">
      <c r="A75" t="str">
        <f t="shared" si="5"/>
        <v>biodiesel</v>
      </c>
      <c r="B75" s="408"/>
    </row>
    <row r="76" spans="1:12">
      <c r="A76" t="str">
        <f>A33</f>
        <v>vol% liter</v>
      </c>
      <c r="B76" s="408"/>
    </row>
    <row r="77" spans="1:12">
      <c r="A77" t="str">
        <f>A34</f>
        <v>gew% kg</v>
      </c>
      <c r="B77" s="408"/>
    </row>
    <row r="78" spans="1:12">
      <c r="A78" t="str">
        <f>A35</f>
        <v>J%</v>
      </c>
      <c r="B78" s="408"/>
      <c r="C78" s="410">
        <f>C35</f>
        <v>3.0499999999999999E-2</v>
      </c>
      <c r="D78" s="408"/>
      <c r="E78" t="str">
        <f>E35</f>
        <v>Data VMM 2020</v>
      </c>
    </row>
    <row r="79" spans="1:12">
      <c r="B79" s="408"/>
      <c r="C79" s="408"/>
      <c r="D79" s="40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2"/>
  <sheetViews>
    <sheetView showGridLines="0" zoomScale="65" zoomScaleNormal="65" workbookViewId="0">
      <selection activeCell="A28" sqref="A28:XFD30"/>
    </sheetView>
  </sheetViews>
  <sheetFormatPr defaultColWidth="9.140625" defaultRowHeight="15"/>
  <cols>
    <col min="1" max="1" width="38" style="592" customWidth="1"/>
    <col min="2" max="2" width="27" style="592" customWidth="1"/>
    <col min="3" max="3" width="25.42578125" style="592" customWidth="1"/>
    <col min="4" max="4" width="41.28515625" style="592" customWidth="1"/>
    <col min="5" max="5" width="27.5703125" style="592" customWidth="1"/>
    <col min="6" max="7" width="18" style="592" customWidth="1"/>
    <col min="8" max="8" width="23.42578125" style="592" customWidth="1"/>
    <col min="9" max="9" width="28.5703125" style="592" customWidth="1"/>
    <col min="10" max="10" width="35.28515625" style="592" customWidth="1"/>
    <col min="11" max="11" width="32.7109375" style="592" customWidth="1"/>
    <col min="12" max="14" width="23.85546875" style="592" customWidth="1"/>
    <col min="15" max="15" width="21.140625" style="592" customWidth="1"/>
    <col min="16" max="16" width="17.5703125" style="592" customWidth="1"/>
    <col min="17" max="17" width="22.85546875" style="592" customWidth="1"/>
    <col min="18" max="18" width="19.140625" style="592" customWidth="1"/>
    <col min="19" max="19" width="24.7109375" style="592" customWidth="1"/>
    <col min="20" max="20" width="9.140625" style="592"/>
    <col min="21" max="21" width="21.140625" style="592" customWidth="1"/>
    <col min="22" max="22" width="14.85546875" style="592" customWidth="1"/>
    <col min="23" max="24" width="16.140625" style="592" customWidth="1"/>
    <col min="25" max="25" width="14.7109375" style="592" customWidth="1"/>
    <col min="26" max="27" width="16.140625" style="592" customWidth="1"/>
    <col min="28" max="28" width="17.28515625" style="592" customWidth="1"/>
    <col min="29" max="29" width="16.85546875" style="592" customWidth="1"/>
    <col min="30" max="16384" width="9.140625" style="592"/>
  </cols>
  <sheetData>
    <row r="1" spans="1:21" s="523" customFormat="1" ht="17.45" customHeight="1" thickTop="1" thickBot="1">
      <c r="A1" s="1185" t="s">
        <v>230</v>
      </c>
      <c r="B1" s="1194" t="s">
        <v>231</v>
      </c>
      <c r="C1" s="1232" t="s">
        <v>232</v>
      </c>
      <c r="D1" s="1233"/>
      <c r="E1" s="1233"/>
      <c r="F1" s="1233"/>
      <c r="G1" s="1233"/>
      <c r="H1" s="1233"/>
      <c r="I1" s="1233"/>
      <c r="J1" s="1233"/>
      <c r="K1" s="1233"/>
      <c r="L1" s="1233"/>
      <c r="M1" s="1233"/>
      <c r="N1" s="1234"/>
      <c r="O1" s="1191" t="s">
        <v>233</v>
      </c>
      <c r="P1" s="1194" t="s">
        <v>535</v>
      </c>
      <c r="Q1" s="1191"/>
      <c r="S1" s="1197"/>
      <c r="T1" s="1197"/>
      <c r="U1" s="1197"/>
    </row>
    <row r="2" spans="1:21" s="523" customFormat="1" ht="15.75" thickBot="1">
      <c r="A2" s="1186"/>
      <c r="B2" s="1186"/>
      <c r="C2" s="1228" t="s">
        <v>190</v>
      </c>
      <c r="D2" s="1229"/>
      <c r="E2" s="1229"/>
      <c r="F2" s="1229"/>
      <c r="G2" s="1230"/>
      <c r="H2" s="1231" t="s">
        <v>234</v>
      </c>
      <c r="I2" s="1207" t="s">
        <v>235</v>
      </c>
      <c r="J2" s="1207" t="s">
        <v>223</v>
      </c>
      <c r="K2" s="1207" t="s">
        <v>236</v>
      </c>
      <c r="L2" s="1207" t="s">
        <v>120</v>
      </c>
      <c r="M2" s="1207" t="s">
        <v>793</v>
      </c>
      <c r="N2" s="1203" t="s">
        <v>794</v>
      </c>
      <c r="O2" s="1192"/>
      <c r="P2" s="1195"/>
      <c r="Q2" s="1192"/>
      <c r="S2" s="1197"/>
      <c r="T2" s="1197"/>
      <c r="U2" s="1197"/>
    </row>
    <row r="3" spans="1:21" s="523" customFormat="1" ht="53.45" customHeight="1" thickBot="1">
      <c r="A3" s="1187"/>
      <c r="B3" s="1196"/>
      <c r="C3" s="524" t="s">
        <v>192</v>
      </c>
      <c r="D3" s="929" t="s">
        <v>193</v>
      </c>
      <c r="E3" s="525" t="s">
        <v>194</v>
      </c>
      <c r="F3" s="526" t="s">
        <v>196</v>
      </c>
      <c r="G3" s="527" t="s">
        <v>197</v>
      </c>
      <c r="H3" s="1202"/>
      <c r="I3" s="1208"/>
      <c r="J3" s="1208"/>
      <c r="K3" s="1208"/>
      <c r="L3" s="1208"/>
      <c r="M3" s="1208"/>
      <c r="N3" s="1204"/>
      <c r="O3" s="1193"/>
      <c r="P3" s="1196"/>
      <c r="Q3" s="1193"/>
      <c r="S3" s="1197"/>
      <c r="T3" s="1197"/>
      <c r="U3" s="1197"/>
    </row>
    <row r="4" spans="1:21" s="523" customFormat="1" ht="15.75" thickTop="1">
      <c r="A4" s="528" t="s">
        <v>238</v>
      </c>
      <c r="B4" s="529">
        <f>IF(ISERROR(kWh_wind_land),0,kWh_wind_land)</f>
        <v>0</v>
      </c>
      <c r="C4" s="1209"/>
      <c r="D4" s="1212"/>
      <c r="E4" s="1212"/>
      <c r="F4" s="1215"/>
      <c r="G4" s="1218"/>
      <c r="H4" s="1221"/>
      <c r="I4" s="1212"/>
      <c r="J4" s="1212"/>
      <c r="K4" s="1212"/>
      <c r="L4" s="1212"/>
      <c r="M4" s="1212"/>
      <c r="N4" s="958"/>
      <c r="O4" s="530"/>
      <c r="P4" s="1224"/>
      <c r="Q4" s="1225"/>
      <c r="S4" s="925"/>
      <c r="T4" s="1180"/>
      <c r="U4" s="1180"/>
    </row>
    <row r="5" spans="1:21" s="523" customFormat="1">
      <c r="A5" s="531" t="s">
        <v>239</v>
      </c>
      <c r="B5" s="529">
        <f>IF(ISERROR(kWh_waterkracht),0,kWh_waterkracht)</f>
        <v>0</v>
      </c>
      <c r="C5" s="1210"/>
      <c r="D5" s="1213"/>
      <c r="E5" s="1213"/>
      <c r="F5" s="1216"/>
      <c r="G5" s="1219"/>
      <c r="H5" s="1222"/>
      <c r="I5" s="1213"/>
      <c r="J5" s="1213"/>
      <c r="K5" s="1213"/>
      <c r="L5" s="1213"/>
      <c r="M5" s="1213"/>
      <c r="N5" s="958"/>
      <c r="O5" s="532"/>
      <c r="P5" s="1205"/>
      <c r="Q5" s="1206"/>
      <c r="S5" s="925"/>
      <c r="T5" s="1180"/>
      <c r="U5" s="1180"/>
    </row>
    <row r="6" spans="1:21" s="523" customFormat="1">
      <c r="A6" s="531" t="s">
        <v>240</v>
      </c>
      <c r="B6" s="529">
        <f>IF(ISERROR((kWh_PV_kleiner_dan_10kW+kWh_PV_groter_dan_10kW)),0,(kWh_PV_kleiner_dan_10kW+kWh_PV_groter_dan_10kW))</f>
        <v>9873.0698056986694</v>
      </c>
      <c r="C6" s="1210"/>
      <c r="D6" s="1213"/>
      <c r="E6" s="1213"/>
      <c r="F6" s="1216"/>
      <c r="G6" s="1219"/>
      <c r="H6" s="1222"/>
      <c r="I6" s="1213"/>
      <c r="J6" s="1213"/>
      <c r="K6" s="1213"/>
      <c r="L6" s="1213"/>
      <c r="M6" s="1213"/>
      <c r="N6" s="958"/>
      <c r="O6" s="532"/>
      <c r="P6" s="1205"/>
      <c r="Q6" s="1206"/>
      <c r="S6" s="925"/>
      <c r="T6" s="1180"/>
      <c r="U6" s="1180"/>
    </row>
    <row r="7" spans="1:21" s="523" customFormat="1">
      <c r="A7" s="531" t="s">
        <v>791</v>
      </c>
      <c r="B7" s="529"/>
      <c r="C7" s="1211"/>
      <c r="D7" s="1214"/>
      <c r="E7" s="1214"/>
      <c r="F7" s="1217"/>
      <c r="G7" s="1220"/>
      <c r="H7" s="1223"/>
      <c r="I7" s="1214"/>
      <c r="J7" s="1214"/>
      <c r="K7" s="1214"/>
      <c r="L7" s="1214"/>
      <c r="M7" s="1214"/>
      <c r="N7" s="959"/>
      <c r="O7" s="532"/>
      <c r="P7" s="926"/>
      <c r="Q7" s="927"/>
      <c r="S7" s="925"/>
      <c r="T7" s="925"/>
      <c r="U7" s="925"/>
    </row>
    <row r="8" spans="1:21" s="523" customFormat="1">
      <c r="A8" s="533" t="s">
        <v>241</v>
      </c>
      <c r="B8" s="960">
        <f>N30</f>
        <v>1166.8499999999999</v>
      </c>
      <c r="C8" s="534">
        <f>B49</f>
        <v>1372.7647058823529</v>
      </c>
      <c r="D8" s="961"/>
      <c r="E8" s="961">
        <f>E49</f>
        <v>0</v>
      </c>
      <c r="F8" s="962"/>
      <c r="G8" s="535"/>
      <c r="H8" s="961">
        <f>I49</f>
        <v>0</v>
      </c>
      <c r="I8" s="961">
        <f>G49+F49</f>
        <v>0</v>
      </c>
      <c r="J8" s="961">
        <f>H49+D49+C49</f>
        <v>0</v>
      </c>
      <c r="K8" s="961"/>
      <c r="L8" s="961"/>
      <c r="M8" s="961"/>
      <c r="N8" s="536"/>
      <c r="O8" s="537">
        <f>C8*$C$12+D8*$D$12+E8*$E$12+F8*$F$12+G8*$G$12+H8*$H$12+I8*$I$12+J8*$J$12</f>
        <v>277.29847058823532</v>
      </c>
      <c r="P8" s="1205"/>
      <c r="Q8" s="1206"/>
      <c r="S8" s="925"/>
      <c r="T8" s="1180"/>
      <c r="U8" s="1180"/>
    </row>
    <row r="9" spans="1:21" s="523" customFormat="1" ht="17.45" customHeight="1" thickBot="1">
      <c r="A9" s="538" t="s">
        <v>237</v>
      </c>
      <c r="B9" s="539">
        <f>N37+'Eigen informatie GS &amp; warmtenet'!B12</f>
        <v>0</v>
      </c>
      <c r="C9" s="54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3"/>
      <c r="N9" s="963"/>
      <c r="O9" s="537">
        <f>C9*$C$12+D9*$D$12+E9*$E$12+F9*$F$12+G9*$G$12+H9*$H$12+I9*$I$12+J9*$J$12</f>
        <v>0</v>
      </c>
      <c r="P9" s="1226"/>
      <c r="Q9" s="1227"/>
      <c r="R9" s="544"/>
      <c r="S9" s="925"/>
      <c r="T9" s="1180"/>
      <c r="U9" s="1180"/>
    </row>
    <row r="10" spans="1:21" s="523" customFormat="1" ht="16.5" thickTop="1" thickBot="1">
      <c r="A10" s="545" t="s">
        <v>109</v>
      </c>
      <c r="B10" s="546">
        <f>SUM(B4:B9)</f>
        <v>11039.91980569867</v>
      </c>
      <c r="C10" s="547">
        <f t="shared" ref="C10:L10" si="0">SUM(C8:C9)</f>
        <v>1372.7647058823529</v>
      </c>
      <c r="D10" s="547">
        <f t="shared" si="0"/>
        <v>0</v>
      </c>
      <c r="E10" s="547">
        <f t="shared" si="0"/>
        <v>0</v>
      </c>
      <c r="F10" s="547">
        <f t="shared" si="0"/>
        <v>0</v>
      </c>
      <c r="G10" s="547">
        <f t="shared" si="0"/>
        <v>0</v>
      </c>
      <c r="H10" s="547">
        <f t="shared" si="0"/>
        <v>0</v>
      </c>
      <c r="I10" s="547">
        <f t="shared" si="0"/>
        <v>0</v>
      </c>
      <c r="J10" s="547">
        <f t="shared" si="0"/>
        <v>0</v>
      </c>
      <c r="K10" s="547">
        <f t="shared" si="0"/>
        <v>0</v>
      </c>
      <c r="L10" s="547">
        <f t="shared" si="0"/>
        <v>0</v>
      </c>
      <c r="M10" s="964"/>
      <c r="N10" s="964"/>
      <c r="O10" s="548">
        <f>SUM(O4:O9)</f>
        <v>277.29847058823532</v>
      </c>
      <c r="P10" s="549"/>
      <c r="R10" s="923"/>
      <c r="S10" s="925"/>
      <c r="T10" s="923"/>
      <c r="U10" s="923"/>
    </row>
    <row r="11" spans="1:21" s="552" customFormat="1" ht="15.75" thickTop="1">
      <c r="A11" s="550"/>
      <c r="B11" s="551"/>
      <c r="C11" s="551"/>
      <c r="D11" s="551"/>
      <c r="E11" s="551"/>
      <c r="F11" s="551"/>
      <c r="G11" s="551"/>
      <c r="H11" s="551"/>
      <c r="I11" s="551"/>
      <c r="J11" s="551"/>
      <c r="K11" s="551"/>
      <c r="L11" s="551"/>
      <c r="M11" s="551"/>
      <c r="N11" s="551"/>
      <c r="P11" s="551"/>
      <c r="R11" s="551"/>
    </row>
    <row r="12" spans="1:21" s="552" customFormat="1">
      <c r="A12" s="965" t="s">
        <v>279</v>
      </c>
      <c r="B12" s="966"/>
      <c r="C12" s="966">
        <f>EF_CO2_aardgas</f>
        <v>0.20200000000000001</v>
      </c>
      <c r="D12" s="966">
        <f>EF_VLgas_CO2</f>
        <v>0.22700000000000001</v>
      </c>
      <c r="E12" s="966">
        <f>EF_stookolie_CO2</f>
        <v>0.26700000000000002</v>
      </c>
      <c r="F12" s="966">
        <f>EF_bruinkool_CO2</f>
        <v>0.35099999999999998</v>
      </c>
      <c r="G12" s="966">
        <f>EF_steenkool_CO2</f>
        <v>0.35399999999999998</v>
      </c>
      <c r="H12" s="966">
        <f>'EF brandstof'!M4</f>
        <v>0.33</v>
      </c>
      <c r="I12" s="966">
        <f>'EF brandstof'!J4</f>
        <v>0</v>
      </c>
      <c r="J12" s="966">
        <f>'EF brandstof'!L4</f>
        <v>0</v>
      </c>
      <c r="K12" s="966">
        <f>'EF brandstof'!L4</f>
        <v>0</v>
      </c>
      <c r="L12" s="966"/>
      <c r="M12" s="966"/>
      <c r="N12" s="966"/>
      <c r="P12" s="553"/>
      <c r="Q12" s="553"/>
      <c r="R12" s="553"/>
    </row>
    <row r="13" spans="1:21" s="523" customFormat="1" ht="15.75" thickBot="1">
      <c r="A13" s="554"/>
      <c r="B13" s="553"/>
      <c r="C13" s="553"/>
      <c r="D13" s="553"/>
      <c r="E13" s="553"/>
      <c r="F13" s="553"/>
      <c r="G13" s="553"/>
      <c r="H13" s="553"/>
      <c r="I13" s="553"/>
      <c r="J13" s="553"/>
      <c r="K13" s="553"/>
      <c r="L13" s="553"/>
      <c r="M13" s="553"/>
      <c r="N13" s="553"/>
      <c r="O13" s="553"/>
      <c r="P13" s="553"/>
      <c r="Q13" s="553"/>
      <c r="R13" s="553"/>
    </row>
    <row r="14" spans="1:21" s="523" customFormat="1" ht="17.25" thickTop="1" thickBot="1">
      <c r="A14" s="1185" t="s">
        <v>242</v>
      </c>
      <c r="B14" s="1185" t="s">
        <v>243</v>
      </c>
      <c r="C14" s="1188" t="s">
        <v>244</v>
      </c>
      <c r="D14" s="1189"/>
      <c r="E14" s="1189"/>
      <c r="F14" s="1189"/>
      <c r="G14" s="1189"/>
      <c r="H14" s="1189"/>
      <c r="I14" s="1189"/>
      <c r="J14" s="1189"/>
      <c r="K14" s="1189"/>
      <c r="L14" s="1189"/>
      <c r="M14" s="1189"/>
      <c r="N14" s="1190"/>
      <c r="O14" s="1191" t="s">
        <v>233</v>
      </c>
      <c r="P14" s="1194" t="s">
        <v>245</v>
      </c>
      <c r="Q14" s="1191"/>
      <c r="R14" s="1197"/>
      <c r="S14" s="1197"/>
      <c r="T14" s="1197"/>
    </row>
    <row r="15" spans="1:21" s="523" customFormat="1" ht="15.75" customHeight="1" thickBot="1">
      <c r="A15" s="1186"/>
      <c r="B15" s="1186"/>
      <c r="C15" s="1198" t="s">
        <v>190</v>
      </c>
      <c r="D15" s="1199"/>
      <c r="E15" s="1199"/>
      <c r="F15" s="1199"/>
      <c r="G15" s="1200"/>
      <c r="H15" s="1201" t="s">
        <v>234</v>
      </c>
      <c r="I15" s="1201" t="s">
        <v>235</v>
      </c>
      <c r="J15" s="1201" t="s">
        <v>223</v>
      </c>
      <c r="K15" s="1201" t="s">
        <v>246</v>
      </c>
      <c r="L15" s="1201" t="s">
        <v>120</v>
      </c>
      <c r="M15" s="1201" t="s">
        <v>793</v>
      </c>
      <c r="N15" s="1203" t="s">
        <v>794</v>
      </c>
      <c r="O15" s="1192"/>
      <c r="P15" s="1195"/>
      <c r="Q15" s="1192"/>
      <c r="R15" s="1197"/>
      <c r="S15" s="1197"/>
      <c r="T15" s="1197"/>
    </row>
    <row r="16" spans="1:21" s="523" customFormat="1" ht="40.700000000000003" customHeight="1" thickBot="1">
      <c r="A16" s="1187"/>
      <c r="B16" s="1187"/>
      <c r="C16" s="555" t="s">
        <v>192</v>
      </c>
      <c r="D16" s="929" t="s">
        <v>193</v>
      </c>
      <c r="E16" s="928" t="s">
        <v>194</v>
      </c>
      <c r="F16" s="929" t="s">
        <v>196</v>
      </c>
      <c r="G16" s="556" t="s">
        <v>197</v>
      </c>
      <c r="H16" s="1202"/>
      <c r="I16" s="1202"/>
      <c r="J16" s="1202"/>
      <c r="K16" s="1202"/>
      <c r="L16" s="1202"/>
      <c r="M16" s="1202"/>
      <c r="N16" s="1204"/>
      <c r="O16" s="1193"/>
      <c r="P16" s="1196"/>
      <c r="Q16" s="1193"/>
      <c r="R16" s="1197"/>
      <c r="S16" s="1197"/>
      <c r="T16" s="1197"/>
    </row>
    <row r="17" spans="1:27" s="523" customFormat="1" ht="15.75" thickTop="1">
      <c r="A17" s="557" t="s">
        <v>241</v>
      </c>
      <c r="B17" s="558">
        <f>O30</f>
        <v>1666.9285714285716</v>
      </c>
      <c r="C17" s="559">
        <f>B50</f>
        <v>1961.0924369747902</v>
      </c>
      <c r="D17" s="560"/>
      <c r="E17" s="560">
        <f>E50</f>
        <v>0</v>
      </c>
      <c r="F17" s="967"/>
      <c r="G17" s="561"/>
      <c r="H17" s="559">
        <f>I50</f>
        <v>0</v>
      </c>
      <c r="I17" s="560">
        <f>G50+F50</f>
        <v>0</v>
      </c>
      <c r="J17" s="560">
        <f>H50+D50+C50</f>
        <v>0</v>
      </c>
      <c r="K17" s="560"/>
      <c r="L17" s="560"/>
      <c r="M17" s="560"/>
      <c r="N17" s="968"/>
      <c r="O17" s="562">
        <f>C17*$C$22+E17*$E$22+H17*$H$22+I17*$I$22+J17*$J$22+D17*$D$22+F17*$F$22+G17*$G$22+K17*$K$22+L17*$L$22</f>
        <v>396.14067226890762</v>
      </c>
      <c r="P17" s="1183"/>
      <c r="Q17" s="1184"/>
      <c r="R17" s="924"/>
      <c r="S17" s="1177"/>
      <c r="T17" s="1177"/>
    </row>
    <row r="18" spans="1:27" s="523" customFormat="1">
      <c r="A18" s="563" t="s">
        <v>247</v>
      </c>
      <c r="B18" s="564">
        <f>'Eigen informatie GS &amp; warmtenet'!B32</f>
        <v>0</v>
      </c>
      <c r="C18" s="961">
        <f>'Eigen informatie GS &amp; warmtenet'!B35</f>
        <v>0</v>
      </c>
      <c r="D18" s="961">
        <f>'Eigen informatie GS &amp; warmtenet'!B36</f>
        <v>0</v>
      </c>
      <c r="E18" s="961">
        <f>'Eigen informatie GS &amp; warmtenet'!B37</f>
        <v>0</v>
      </c>
      <c r="F18" s="961">
        <f>'Eigen informatie GS &amp; warmtenet'!B38</f>
        <v>0</v>
      </c>
      <c r="G18" s="961">
        <f>'Eigen informatie GS &amp; warmtenet'!B39</f>
        <v>0</v>
      </c>
      <c r="H18" s="961">
        <f>'Eigen informatie GS &amp; warmtenet'!B40</f>
        <v>0</v>
      </c>
      <c r="I18" s="961">
        <f>'Eigen informatie GS &amp; warmtenet'!B41</f>
        <v>0</v>
      </c>
      <c r="J18" s="961">
        <f>'Eigen informatie GS &amp; warmtenet'!B42</f>
        <v>0</v>
      </c>
      <c r="K18" s="961">
        <f>'Eigen informatie GS &amp; warmtenet'!B43</f>
        <v>0</v>
      </c>
      <c r="L18" s="961">
        <f>'Eigen informatie GS &amp; warmtenet'!B44</f>
        <v>0</v>
      </c>
      <c r="M18" s="961">
        <f>'Eigen informatie GS &amp; warmtenet'!B45</f>
        <v>0</v>
      </c>
      <c r="N18" s="961">
        <f>'Eigen informatie GS &amp; warmtenet'!B46</f>
        <v>0</v>
      </c>
      <c r="O18" s="562">
        <f>C18*$C$22+E18*$E$22+H18*$H$22+I18*$I$22+J18*$J$22+D18*$D$22+F18*$F$22+G18*$G$22+K18*$K$22+L18*$L$22</f>
        <v>0</v>
      </c>
      <c r="P18" s="1178"/>
      <c r="Q18" s="1179"/>
      <c r="R18" s="925"/>
      <c r="S18" s="1180"/>
      <c r="T18" s="1180"/>
    </row>
    <row r="19" spans="1:27" s="523" customFormat="1" ht="15.75" thickBot="1">
      <c r="A19" s="538" t="s">
        <v>237</v>
      </c>
      <c r="B19" s="564">
        <f>'Eigen informatie GS &amp; warmtenet'!B11</f>
        <v>0</v>
      </c>
      <c r="C19" s="96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6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6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6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6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6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6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6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6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1"/>
      <c r="N19" s="970"/>
      <c r="O19" s="562">
        <f>C19*$C$22+E19*$E$22+H19*$H$22+I19*$I$22+J19*$J$22+D19*$D$22+F19*$F$22+G19*$G$22+K19*$K$22+L19*$L$22</f>
        <v>0</v>
      </c>
      <c r="P19" s="1181"/>
      <c r="Q19" s="1182"/>
      <c r="R19" s="925"/>
      <c r="S19" s="1180"/>
      <c r="T19" s="1180"/>
    </row>
    <row r="20" spans="1:27" s="523" customFormat="1" ht="16.5" thickTop="1" thickBot="1">
      <c r="A20" s="545" t="s">
        <v>109</v>
      </c>
      <c r="B20" s="546">
        <f>SUM(B17:B19)</f>
        <v>1666.9285714285716</v>
      </c>
      <c r="C20" s="546">
        <f>SUM(C17:C19)</f>
        <v>1961.0924369747902</v>
      </c>
      <c r="D20" s="546">
        <f t="shared" ref="D20:L20" si="1">SUM(D17:D19)</f>
        <v>0</v>
      </c>
      <c r="E20" s="546">
        <f t="shared" si="1"/>
        <v>0</v>
      </c>
      <c r="F20" s="546">
        <f t="shared" si="1"/>
        <v>0</v>
      </c>
      <c r="G20" s="546">
        <f t="shared" si="1"/>
        <v>0</v>
      </c>
      <c r="H20" s="546">
        <f t="shared" si="1"/>
        <v>0</v>
      </c>
      <c r="I20" s="546">
        <f t="shared" si="1"/>
        <v>0</v>
      </c>
      <c r="J20" s="546">
        <f t="shared" si="1"/>
        <v>0</v>
      </c>
      <c r="K20" s="546">
        <f t="shared" si="1"/>
        <v>0</v>
      </c>
      <c r="L20" s="546">
        <f t="shared" si="1"/>
        <v>0</v>
      </c>
      <c r="M20" s="546"/>
      <c r="N20" s="546"/>
      <c r="O20" s="565">
        <f>SUM(O17:O19)</f>
        <v>396.14067226890762</v>
      </c>
      <c r="P20" s="1174"/>
      <c r="Q20" s="1175"/>
      <c r="R20" s="925"/>
      <c r="S20" s="1176"/>
      <c r="T20" s="1176"/>
    </row>
    <row r="21" spans="1:27" s="523" customFormat="1" ht="15.75" thickTop="1">
      <c r="A21" s="924"/>
      <c r="B21" s="925"/>
      <c r="C21" s="925"/>
      <c r="D21" s="925"/>
      <c r="E21" s="925"/>
      <c r="F21" s="925"/>
      <c r="G21" s="925"/>
      <c r="H21" s="925"/>
      <c r="I21" s="925"/>
      <c r="J21" s="925"/>
      <c r="K21" s="925"/>
      <c r="L21" s="925"/>
      <c r="M21" s="925"/>
      <c r="N21" s="925"/>
      <c r="O21" s="925"/>
      <c r="P21" s="923"/>
      <c r="Q21" s="923"/>
      <c r="R21" s="925"/>
      <c r="S21" s="923"/>
      <c r="T21" s="923"/>
    </row>
    <row r="22" spans="1:27" s="552" customFormat="1">
      <c r="A22" s="965" t="s">
        <v>279</v>
      </c>
      <c r="B22" s="966"/>
      <c r="C22" s="966">
        <f>EF_CO2_aardgas</f>
        <v>0.20200000000000001</v>
      </c>
      <c r="D22" s="966">
        <f>EF_VLgas_CO2</f>
        <v>0.22700000000000001</v>
      </c>
      <c r="E22" s="966">
        <f>EF_stookolie_CO2</f>
        <v>0.26700000000000002</v>
      </c>
      <c r="F22" s="966">
        <f>EF_bruinkool_CO2</f>
        <v>0.35099999999999998</v>
      </c>
      <c r="G22" s="966">
        <f>EF_steenkool_CO2</f>
        <v>0.35399999999999998</v>
      </c>
      <c r="H22" s="966">
        <f>'EF brandstof'!M4</f>
        <v>0.33</v>
      </c>
      <c r="I22" s="966">
        <f>'EF brandstof'!J4</f>
        <v>0</v>
      </c>
      <c r="J22" s="966">
        <f>'EF brandstof'!L4</f>
        <v>0</v>
      </c>
      <c r="K22" s="966">
        <f>'EF brandstof'!L4</f>
        <v>0</v>
      </c>
      <c r="L22" s="966"/>
      <c r="M22" s="966"/>
      <c r="N22" s="966"/>
      <c r="O22" s="553"/>
      <c r="P22" s="553"/>
      <c r="Q22" s="553"/>
      <c r="R22" s="553"/>
      <c r="S22" s="523"/>
    </row>
    <row r="23" spans="1:27" s="552" customFormat="1">
      <c r="A23" s="554"/>
      <c r="B23" s="553"/>
      <c r="C23" s="553"/>
      <c r="D23" s="553"/>
      <c r="E23" s="553"/>
      <c r="F23" s="553"/>
      <c r="G23" s="553"/>
      <c r="H23" s="553"/>
      <c r="I23" s="553"/>
      <c r="J23" s="553"/>
      <c r="K23" s="553"/>
      <c r="L23" s="553"/>
      <c r="M23" s="553"/>
      <c r="N23" s="553"/>
      <c r="O23" s="553"/>
      <c r="P23" s="553"/>
      <c r="Q23" s="553"/>
      <c r="R23" s="553"/>
      <c r="S23" s="523"/>
    </row>
    <row r="24" spans="1:27" s="552" customFormat="1">
      <c r="A24" s="554"/>
      <c r="B24" s="553"/>
      <c r="C24" s="553"/>
      <c r="D24" s="566"/>
      <c r="E24" s="566"/>
      <c r="F24" s="566"/>
      <c r="G24" s="553"/>
      <c r="H24" s="553"/>
      <c r="I24" s="553"/>
      <c r="J24" s="553"/>
      <c r="K24" s="553"/>
      <c r="L24" s="553"/>
      <c r="M24" s="553"/>
      <c r="N24" s="553"/>
      <c r="O24" s="553"/>
      <c r="P24" s="553"/>
      <c r="Q24" s="553"/>
      <c r="R24" s="553"/>
    </row>
    <row r="25" spans="1:27" s="552" customFormat="1">
      <c r="A25" s="554"/>
      <c r="B25" s="553"/>
      <c r="C25" s="553"/>
      <c r="D25" s="566"/>
      <c r="E25" s="566"/>
      <c r="F25" s="566"/>
      <c r="G25" s="553"/>
      <c r="H25" s="553"/>
      <c r="I25" s="553"/>
      <c r="J25" s="553"/>
      <c r="K25" s="553"/>
      <c r="L25" s="553"/>
      <c r="M25" s="553"/>
      <c r="N25" s="553"/>
      <c r="O25" s="553"/>
      <c r="P25" s="553"/>
      <c r="Q25" s="553"/>
      <c r="R25" s="553"/>
    </row>
    <row r="26" spans="1:27" s="523" customFormat="1" ht="15.75" thickBot="1">
      <c r="B26" s="566"/>
      <c r="C26" s="566"/>
      <c r="D26" s="566"/>
      <c r="E26" s="566"/>
      <c r="F26" s="566"/>
      <c r="G26" s="566"/>
      <c r="H26" s="566"/>
      <c r="I26" s="566"/>
      <c r="J26" s="566"/>
      <c r="K26" s="566"/>
      <c r="L26" s="566"/>
      <c r="M26" s="566"/>
      <c r="N26" s="566"/>
      <c r="O26" s="566"/>
      <c r="P26" s="566"/>
      <c r="Q26" s="567"/>
      <c r="R26" s="567"/>
    </row>
    <row r="27" spans="1:27" s="523" customFormat="1" ht="45">
      <c r="A27" s="568" t="s">
        <v>268</v>
      </c>
      <c r="B27" s="613" t="s">
        <v>89</v>
      </c>
      <c r="C27" s="613" t="s">
        <v>90</v>
      </c>
      <c r="D27" s="613"/>
      <c r="E27" s="613"/>
      <c r="F27" s="613"/>
      <c r="G27" s="613" t="s">
        <v>91</v>
      </c>
      <c r="H27" s="613" t="s">
        <v>92</v>
      </c>
      <c r="I27" s="613"/>
      <c r="J27" s="613"/>
      <c r="K27" s="613"/>
      <c r="L27" s="613" t="s">
        <v>93</v>
      </c>
      <c r="M27" s="614" t="s">
        <v>287</v>
      </c>
      <c r="N27" s="614" t="s">
        <v>94</v>
      </c>
      <c r="O27" s="614" t="s">
        <v>95</v>
      </c>
      <c r="P27" s="614" t="s">
        <v>522</v>
      </c>
      <c r="Q27" s="614" t="s">
        <v>96</v>
      </c>
      <c r="R27" s="614" t="s">
        <v>97</v>
      </c>
      <c r="S27" s="614" t="s">
        <v>98</v>
      </c>
      <c r="T27" s="614" t="s">
        <v>99</v>
      </c>
      <c r="U27" s="614" t="s">
        <v>100</v>
      </c>
      <c r="V27" s="614" t="s">
        <v>101</v>
      </c>
      <c r="W27" s="613" t="s">
        <v>102</v>
      </c>
      <c r="X27" s="613" t="s">
        <v>886</v>
      </c>
      <c r="Y27" s="613" t="s">
        <v>288</v>
      </c>
      <c r="Z27" s="613" t="s">
        <v>103</v>
      </c>
      <c r="AA27" s="615" t="s">
        <v>289</v>
      </c>
    </row>
    <row r="28" spans="1:27" s="570" customFormat="1" ht="63.75" hidden="1">
      <c r="A28" s="569"/>
      <c r="B28" s="724">
        <v>45057</v>
      </c>
      <c r="C28" s="724">
        <v>9750</v>
      </c>
      <c r="D28" s="617"/>
      <c r="E28" s="616"/>
      <c r="F28" s="616"/>
      <c r="G28" s="616" t="s">
        <v>887</v>
      </c>
      <c r="H28" s="616" t="s">
        <v>888</v>
      </c>
      <c r="I28" s="616"/>
      <c r="J28" s="723"/>
      <c r="K28" s="723"/>
      <c r="L28" s="616" t="s">
        <v>889</v>
      </c>
      <c r="M28" s="616">
        <v>5.3</v>
      </c>
      <c r="N28" s="616">
        <v>23.85</v>
      </c>
      <c r="O28" s="616">
        <v>34.071428571428577</v>
      </c>
      <c r="P28" s="616">
        <v>68.142857142857153</v>
      </c>
      <c r="Q28" s="616">
        <v>0</v>
      </c>
      <c r="R28" s="616">
        <v>0</v>
      </c>
      <c r="S28" s="616">
        <v>0</v>
      </c>
      <c r="T28" s="616">
        <v>0</v>
      </c>
      <c r="U28" s="616">
        <v>0</v>
      </c>
      <c r="V28" s="616">
        <v>0</v>
      </c>
      <c r="W28" s="616">
        <v>0</v>
      </c>
      <c r="X28" s="616"/>
      <c r="Y28" s="616">
        <v>1600</v>
      </c>
      <c r="Z28" s="616" t="s">
        <v>49</v>
      </c>
      <c r="AA28" s="618" t="s">
        <v>149</v>
      </c>
    </row>
    <row r="29" spans="1:27" s="570" customFormat="1" ht="25.5" hidden="1">
      <c r="A29" s="569"/>
      <c r="B29" s="724">
        <v>45017</v>
      </c>
      <c r="C29" s="724">
        <v>9770</v>
      </c>
      <c r="D29" s="617"/>
      <c r="E29" s="616"/>
      <c r="F29" s="616"/>
      <c r="G29" s="616" t="s">
        <v>887</v>
      </c>
      <c r="H29" s="616" t="s">
        <v>888</v>
      </c>
      <c r="I29" s="616"/>
      <c r="J29" s="723"/>
      <c r="K29" s="723"/>
      <c r="L29" s="616" t="s">
        <v>889</v>
      </c>
      <c r="M29" s="616">
        <v>254</v>
      </c>
      <c r="N29" s="616">
        <v>1143</v>
      </c>
      <c r="O29" s="616">
        <v>1632.8571428571429</v>
      </c>
      <c r="P29" s="616">
        <v>3265.7142857142858</v>
      </c>
      <c r="Q29" s="616">
        <v>0</v>
      </c>
      <c r="R29" s="616">
        <v>0</v>
      </c>
      <c r="S29" s="616">
        <v>0</v>
      </c>
      <c r="T29" s="616">
        <v>0</v>
      </c>
      <c r="U29" s="616">
        <v>0</v>
      </c>
      <c r="V29" s="616">
        <v>0</v>
      </c>
      <c r="W29" s="616">
        <v>0</v>
      </c>
      <c r="X29" s="616"/>
      <c r="Y29" s="616">
        <v>600</v>
      </c>
      <c r="Z29" s="616" t="s">
        <v>39</v>
      </c>
      <c r="AA29" s="618" t="s">
        <v>376</v>
      </c>
    </row>
    <row r="30" spans="1:27" s="554" customFormat="1" hidden="1">
      <c r="A30" s="572" t="s">
        <v>269</v>
      </c>
      <c r="B30" s="573"/>
      <c r="C30" s="573"/>
      <c r="D30" s="573"/>
      <c r="E30" s="573"/>
      <c r="F30" s="573"/>
      <c r="G30" s="573"/>
      <c r="H30" s="573"/>
      <c r="I30" s="573"/>
      <c r="J30" s="573"/>
      <c r="K30" s="573"/>
      <c r="L30" s="574"/>
      <c r="M30" s="574">
        <f>SUM(M28:M29)</f>
        <v>259.3</v>
      </c>
      <c r="N30" s="574">
        <f>SUM(N28:N29)</f>
        <v>1166.8499999999999</v>
      </c>
      <c r="O30" s="574">
        <f>SUM(O28:O29)</f>
        <v>1666.9285714285716</v>
      </c>
      <c r="P30" s="574">
        <f>SUM(P28:P29)</f>
        <v>3333.8571428571431</v>
      </c>
      <c r="Q30" s="574">
        <f>SUM(Q28:Q29)</f>
        <v>0</v>
      </c>
      <c r="R30" s="574">
        <f>SUM(R28:R29)</f>
        <v>0</v>
      </c>
      <c r="S30" s="574">
        <f>SUM(S28:S29)</f>
        <v>0</v>
      </c>
      <c r="T30" s="574">
        <f>SUM(T28:T29)</f>
        <v>0</v>
      </c>
      <c r="U30" s="574">
        <f>SUM(U28:U29)</f>
        <v>0</v>
      </c>
      <c r="V30" s="574">
        <f>SUM(V28:V29)</f>
        <v>0</v>
      </c>
      <c r="W30" s="574">
        <f>SUM(W28:W29)</f>
        <v>0</v>
      </c>
      <c r="X30" s="574"/>
      <c r="Y30" s="575"/>
      <c r="Z30" s="575"/>
      <c r="AA30" s="576"/>
    </row>
    <row r="31" spans="1:27" s="554" customFormat="1">
      <c r="A31" s="572" t="s">
        <v>276</v>
      </c>
      <c r="B31" s="573"/>
      <c r="C31" s="573"/>
      <c r="D31" s="573"/>
      <c r="E31" s="573"/>
      <c r="F31" s="573"/>
      <c r="G31" s="573"/>
      <c r="H31" s="573"/>
      <c r="I31" s="573"/>
      <c r="J31" s="573"/>
      <c r="K31" s="573"/>
      <c r="L31" s="574"/>
      <c r="M31" s="574">
        <f>SUMIF($AA$28:$AA$29,"industrie",M28:M29)</f>
        <v>254</v>
      </c>
      <c r="N31" s="574">
        <f>SUMIF($AA$28:$AA$29,"industrie",N28:N29)</f>
        <v>1143</v>
      </c>
      <c r="O31" s="574">
        <f>SUMIF($AA$28:$AA$29,"industrie",O28:O29)</f>
        <v>1632.8571428571429</v>
      </c>
      <c r="P31" s="574">
        <f>SUMIF($AA$28:$AA$29,"industrie",P28:P29)</f>
        <v>3265.7142857142858</v>
      </c>
      <c r="Q31" s="574">
        <f>SUMIF($AA$28:$AA$29,"industrie",Q28:Q29)</f>
        <v>0</v>
      </c>
      <c r="R31" s="574">
        <f>SUMIF($AA$28:$AA$29,"industrie",R28:R29)</f>
        <v>0</v>
      </c>
      <c r="S31" s="574">
        <f>SUMIF($AA$28:$AA$29,"industrie",S28:S29)</f>
        <v>0</v>
      </c>
      <c r="T31" s="574">
        <f>SUMIF($AA$28:$AA$29,"industrie",T28:T29)</f>
        <v>0</v>
      </c>
      <c r="U31" s="574">
        <f>SUMIF($AA$28:$AA$29,"industrie",U28:U29)</f>
        <v>0</v>
      </c>
      <c r="V31" s="574">
        <f>SUMIF($AA$28:$AA$29,"industrie",V28:V29)</f>
        <v>0</v>
      </c>
      <c r="W31" s="574">
        <f>SUMIF($AA$28:$AA$29,"industrie",W28:W29)</f>
        <v>0</v>
      </c>
      <c r="X31" s="574"/>
      <c r="Y31" s="575"/>
      <c r="Z31" s="575"/>
      <c r="AA31" s="576"/>
    </row>
    <row r="32" spans="1:27" s="554" customFormat="1">
      <c r="A32" s="572" t="s">
        <v>277</v>
      </c>
      <c r="B32" s="573"/>
      <c r="C32" s="573"/>
      <c r="D32" s="573"/>
      <c r="E32" s="573"/>
      <c r="F32" s="573"/>
      <c r="G32" s="573"/>
      <c r="H32" s="573"/>
      <c r="I32" s="573"/>
      <c r="J32" s="573"/>
      <c r="K32" s="573"/>
      <c r="L32" s="574"/>
      <c r="M32" s="574">
        <f ca="1">SUMIF($AA$28:AD29,"tertiair",M28:M29)</f>
        <v>5.3</v>
      </c>
      <c r="N32" s="574">
        <f ca="1">SUMIF($AA$28:AE29,"tertiair",N28:N29)</f>
        <v>23.85</v>
      </c>
      <c r="O32" s="574">
        <f ca="1">SUMIF($AA$28:AF29,"tertiair",O28:O29)</f>
        <v>34.071428571428577</v>
      </c>
      <c r="P32" s="574">
        <f ca="1">SUMIF($AA$28:AG29,"tertiair",P28:P29)</f>
        <v>68.142857142857153</v>
      </c>
      <c r="Q32" s="574">
        <f ca="1">SUMIF($AA$28:AH29,"tertiair",Q28:Q29)</f>
        <v>0</v>
      </c>
      <c r="R32" s="574">
        <f ca="1">SUMIF($AA$28:AI29,"tertiair",R28:R29)</f>
        <v>0</v>
      </c>
      <c r="S32" s="574">
        <f ca="1">SUMIF($AA$28:AJ29,"tertiair",S28:S29)</f>
        <v>0</v>
      </c>
      <c r="T32" s="574">
        <f ca="1">SUMIF($AA$28:AK29,"tertiair",T28:T29)</f>
        <v>0</v>
      </c>
      <c r="U32" s="574">
        <f ca="1">SUMIF($AA$28:AL29,"tertiair",U28:U29)</f>
        <v>0</v>
      </c>
      <c r="V32" s="574">
        <f ca="1">SUMIF($AA$28:AM29,"tertiair",V28:V29)</f>
        <v>0</v>
      </c>
      <c r="W32" s="574">
        <f ca="1">SUMIF($AA$28:AN29,"tertiair",W28:W29)</f>
        <v>0</v>
      </c>
      <c r="X32" s="574"/>
      <c r="Y32" s="575"/>
      <c r="Z32" s="575"/>
      <c r="AA32" s="576"/>
    </row>
    <row r="33" spans="1:28" s="554" customFormat="1" ht="15.75" thickBot="1">
      <c r="A33" s="577" t="s">
        <v>278</v>
      </c>
      <c r="B33" s="578"/>
      <c r="C33" s="578"/>
      <c r="D33" s="578"/>
      <c r="E33" s="578"/>
      <c r="F33" s="578"/>
      <c r="G33" s="578"/>
      <c r="H33" s="578"/>
      <c r="I33" s="578"/>
      <c r="J33" s="578"/>
      <c r="K33" s="578"/>
      <c r="L33" s="579"/>
      <c r="M33" s="579">
        <f>SUMIF($AA$28:$AA$29,"landbouw",M28:M29)</f>
        <v>0</v>
      </c>
      <c r="N33" s="579">
        <f>SUMIF($AA$28:$AA$29,"landbouw",N28:N29)</f>
        <v>0</v>
      </c>
      <c r="O33" s="579">
        <f>SUMIF($AA$28:$AA$29,"landbouw",O28:O29)</f>
        <v>0</v>
      </c>
      <c r="P33" s="579">
        <f>SUMIF($AA$28:$AA$29,"landbouw",P28:P29)</f>
        <v>0</v>
      </c>
      <c r="Q33" s="579">
        <f>SUMIF($AA$28:$AA$29,"landbouw",Q28:Q29)</f>
        <v>0</v>
      </c>
      <c r="R33" s="579">
        <f>SUMIF($AA$28:$AA$29,"landbouw",R28:R29)</f>
        <v>0</v>
      </c>
      <c r="S33" s="579">
        <f>SUMIF($AA$28:$AA$29,"landbouw",S28:S29)</f>
        <v>0</v>
      </c>
      <c r="T33" s="579">
        <f>SUMIF($AA$28:$AA$29,"landbouw",T28:T29)</f>
        <v>0</v>
      </c>
      <c r="U33" s="579">
        <f>SUMIF($AA$28:$AA$29,"landbouw",U28:U29)</f>
        <v>0</v>
      </c>
      <c r="V33" s="579">
        <f>SUMIF($AA$28:$AA$29,"landbouw",V28:V29)</f>
        <v>0</v>
      </c>
      <c r="W33" s="579">
        <f>SUMIF($AA$28:$AA$29,"landbouw",W28:W29)</f>
        <v>0</v>
      </c>
      <c r="X33" s="579"/>
      <c r="Y33" s="580"/>
      <c r="Z33" s="580"/>
      <c r="AA33" s="581"/>
    </row>
    <row r="34" spans="1:28" s="523" customFormat="1" ht="15.75" thickBot="1">
      <c r="A34" s="582"/>
      <c r="B34" s="583"/>
      <c r="C34" s="583"/>
      <c r="D34" s="583"/>
      <c r="E34" s="583"/>
      <c r="F34" s="583"/>
      <c r="G34" s="583"/>
      <c r="H34" s="583"/>
      <c r="I34" s="583"/>
      <c r="J34" s="583"/>
      <c r="K34" s="583"/>
      <c r="L34" s="566"/>
      <c r="M34" s="566"/>
      <c r="N34" s="566"/>
      <c r="O34" s="567"/>
      <c r="P34" s="567"/>
    </row>
    <row r="35" spans="1:28" s="523" customFormat="1" ht="45">
      <c r="A35" s="584" t="s">
        <v>270</v>
      </c>
      <c r="B35" s="613" t="s">
        <v>89</v>
      </c>
      <c r="C35" s="613" t="s">
        <v>90</v>
      </c>
      <c r="D35" s="613"/>
      <c r="E35" s="613"/>
      <c r="F35" s="613"/>
      <c r="G35" s="613" t="s">
        <v>91</v>
      </c>
      <c r="H35" s="613" t="s">
        <v>92</v>
      </c>
      <c r="I35" s="613"/>
      <c r="J35" s="613"/>
      <c r="K35" s="613"/>
      <c r="L35" s="613" t="s">
        <v>93</v>
      </c>
      <c r="M35" s="614" t="s">
        <v>287</v>
      </c>
      <c r="N35" s="614" t="s">
        <v>94</v>
      </c>
      <c r="O35" s="614" t="s">
        <v>95</v>
      </c>
      <c r="P35" s="614" t="s">
        <v>522</v>
      </c>
      <c r="Q35" s="614" t="s">
        <v>96</v>
      </c>
      <c r="R35" s="614" t="s">
        <v>97</v>
      </c>
      <c r="S35" s="614" t="s">
        <v>98</v>
      </c>
      <c r="T35" s="614" t="s">
        <v>99</v>
      </c>
      <c r="U35" s="614" t="s">
        <v>100</v>
      </c>
      <c r="V35" s="614" t="s">
        <v>101</v>
      </c>
      <c r="W35" s="613" t="s">
        <v>102</v>
      </c>
      <c r="X35" s="613" t="s">
        <v>886</v>
      </c>
      <c r="Y35" s="613" t="s">
        <v>288</v>
      </c>
      <c r="Z35" s="613" t="s">
        <v>103</v>
      </c>
      <c r="AA35" s="615" t="s">
        <v>289</v>
      </c>
    </row>
    <row r="36" spans="1:28" s="585" customFormat="1" ht="12.75" hidden="1">
      <c r="A36" s="571"/>
      <c r="B36" s="724"/>
      <c r="C36" s="724"/>
      <c r="D36" s="619"/>
      <c r="E36" s="619"/>
      <c r="F36" s="619"/>
      <c r="G36" s="619"/>
      <c r="H36" s="619"/>
      <c r="I36" s="619"/>
      <c r="J36" s="723"/>
      <c r="K36" s="723"/>
      <c r="L36" s="619"/>
      <c r="M36" s="619"/>
      <c r="N36" s="619"/>
      <c r="O36" s="619"/>
      <c r="P36" s="619"/>
      <c r="Q36" s="619"/>
      <c r="R36" s="619"/>
      <c r="S36" s="619"/>
      <c r="T36" s="619"/>
      <c r="U36" s="619"/>
      <c r="V36" s="619"/>
      <c r="W36" s="619"/>
      <c r="X36" s="619"/>
      <c r="Y36" s="619"/>
      <c r="Z36" s="619"/>
      <c r="AA36" s="620"/>
    </row>
    <row r="37" spans="1:28" s="554" customFormat="1" hidden="1">
      <c r="A37" s="572" t="s">
        <v>269</v>
      </c>
      <c r="B37" s="573"/>
      <c r="C37" s="573"/>
      <c r="D37" s="573"/>
      <c r="E37" s="573"/>
      <c r="F37" s="573"/>
      <c r="G37" s="573"/>
      <c r="H37" s="573"/>
      <c r="I37" s="573"/>
      <c r="J37" s="573"/>
      <c r="K37" s="573"/>
      <c r="L37" s="574"/>
      <c r="M37" s="574">
        <f>SUM(M36:M36)</f>
        <v>0</v>
      </c>
      <c r="N37" s="574">
        <f>SUM(N36:N36)</f>
        <v>0</v>
      </c>
      <c r="O37" s="574">
        <f>SUM(O36:O36)</f>
        <v>0</v>
      </c>
      <c r="P37" s="574">
        <f>SUM(P36:P36)</f>
        <v>0</v>
      </c>
      <c r="Q37" s="574">
        <f>SUM(Q36:Q36)</f>
        <v>0</v>
      </c>
      <c r="R37" s="574">
        <f>SUM(R36:R36)</f>
        <v>0</v>
      </c>
      <c r="S37" s="574">
        <f>SUM(S36:S36)</f>
        <v>0</v>
      </c>
      <c r="T37" s="574">
        <f>SUM(T36:T36)</f>
        <v>0</v>
      </c>
      <c r="U37" s="574">
        <f>SUM(U36:U36)</f>
        <v>0</v>
      </c>
      <c r="V37" s="574">
        <f>SUM(V36:V36)</f>
        <v>0</v>
      </c>
      <c r="W37" s="574">
        <f>SUM(W36:W36)</f>
        <v>0</v>
      </c>
      <c r="X37" s="574"/>
      <c r="Y37" s="575"/>
      <c r="Z37" s="575"/>
      <c r="AA37" s="576"/>
    </row>
    <row r="38" spans="1:28" s="554" customFormat="1">
      <c r="A38" s="572" t="s">
        <v>276</v>
      </c>
      <c r="B38" s="573"/>
      <c r="C38" s="573"/>
      <c r="D38" s="573"/>
      <c r="E38" s="573"/>
      <c r="F38" s="573"/>
      <c r="G38" s="573"/>
      <c r="H38" s="573"/>
      <c r="I38" s="573"/>
      <c r="J38" s="573"/>
      <c r="K38" s="573"/>
      <c r="L38" s="574"/>
      <c r="M38" s="574">
        <f>SUMIF($AA$36:$AA$36,"industrie",M36:M36)</f>
        <v>0</v>
      </c>
      <c r="N38" s="574">
        <f>SUMIF($AA$36:$AA$36,"industrie",N36:N36)</f>
        <v>0</v>
      </c>
      <c r="O38" s="574">
        <f>SUMIF($AA$36:$AA$36,"industrie",O36:O36)</f>
        <v>0</v>
      </c>
      <c r="P38" s="574">
        <f>SUMIF($AA$36:$AA$36,"industrie",P36:P36)</f>
        <v>0</v>
      </c>
      <c r="Q38" s="574">
        <f>SUMIF($AA$36:$AA$36,"industrie",Q36:Q36)</f>
        <v>0</v>
      </c>
      <c r="R38" s="574">
        <f>SUMIF($AA$36:$AA$36,"industrie",R36:R36)</f>
        <v>0</v>
      </c>
      <c r="S38" s="574">
        <f>SUMIF($AA$36:$AA$36,"industrie",S36:S36)</f>
        <v>0</v>
      </c>
      <c r="T38" s="574">
        <f>SUMIF($AA$36:$AA$36,"industrie",T36:T36)</f>
        <v>0</v>
      </c>
      <c r="U38" s="574">
        <f>SUMIF($AA$36:$AA$36,"industrie",U36:U36)</f>
        <v>0</v>
      </c>
      <c r="V38" s="574">
        <f>SUMIF($AA$36:$AA$36,"industrie",V36:V36)</f>
        <v>0</v>
      </c>
      <c r="W38" s="574">
        <f>SUMIF($AA$36:$AA$36,"industrie",W36:W36)</f>
        <v>0</v>
      </c>
      <c r="X38" s="574"/>
      <c r="Y38" s="575"/>
      <c r="Z38" s="575"/>
      <c r="AA38" s="576"/>
    </row>
    <row r="39" spans="1:28" s="554" customFormat="1">
      <c r="A39" s="572" t="s">
        <v>277</v>
      </c>
      <c r="B39" s="573"/>
      <c r="C39" s="573"/>
      <c r="D39" s="573"/>
      <c r="E39" s="573"/>
      <c r="F39" s="573"/>
      <c r="G39" s="573"/>
      <c r="H39" s="573"/>
      <c r="I39" s="573"/>
      <c r="J39" s="573"/>
      <c r="K39" s="573"/>
      <c r="L39" s="574"/>
      <c r="M39" s="574">
        <f>SUMIF($AA$36:$AA$37,"tertiair",M36:M37)</f>
        <v>0</v>
      </c>
      <c r="N39" s="574">
        <f>SUMIF($AA$36:$AA$37,"tertiair",N36:N37)</f>
        <v>0</v>
      </c>
      <c r="O39" s="574">
        <f>SUMIF($AA$36:$AA$37,"tertiair",O36:O37)</f>
        <v>0</v>
      </c>
      <c r="P39" s="574">
        <f>SUMIF($AA$36:$AA$37,"tertiair",P36:P37)</f>
        <v>0</v>
      </c>
      <c r="Q39" s="574">
        <f>SUMIF($AA$36:$AA$37,"tertiair",Q36:Q37)</f>
        <v>0</v>
      </c>
      <c r="R39" s="574">
        <f>SUMIF($AA$36:$AA$37,"tertiair",R36:R37)</f>
        <v>0</v>
      </c>
      <c r="S39" s="574">
        <f>SUMIF($AA$36:$AA$37,"tertiair",S36:S37)</f>
        <v>0</v>
      </c>
      <c r="T39" s="574">
        <f>SUMIF($AA$36:$AA$37,"tertiair",T36:T37)</f>
        <v>0</v>
      </c>
      <c r="U39" s="574">
        <f>SUMIF($AA$36:$AA$37,"tertiair",U36:U37)</f>
        <v>0</v>
      </c>
      <c r="V39" s="574">
        <f>SUMIF($AA$36:$AA$37,"tertiair",V36:V37)</f>
        <v>0</v>
      </c>
      <c r="W39" s="574">
        <f>SUMIF($AA$36:$AA$37,"tertiair",W36:W37)</f>
        <v>0</v>
      </c>
      <c r="X39" s="574"/>
      <c r="Y39" s="575"/>
      <c r="Z39" s="575"/>
      <c r="AA39" s="576"/>
    </row>
    <row r="40" spans="1:28" s="554" customFormat="1" ht="15.75" thickBot="1">
      <c r="A40" s="577" t="s">
        <v>278</v>
      </c>
      <c r="B40" s="578"/>
      <c r="C40" s="578"/>
      <c r="D40" s="578"/>
      <c r="E40" s="578"/>
      <c r="F40" s="578"/>
      <c r="G40" s="578"/>
      <c r="H40" s="578"/>
      <c r="I40" s="578"/>
      <c r="J40" s="578"/>
      <c r="K40" s="578"/>
      <c r="L40" s="579"/>
      <c r="M40" s="579">
        <f>SUMIF($AA$36:$AA$38,"landbouw",M36:M38)</f>
        <v>0</v>
      </c>
      <c r="N40" s="579">
        <f>SUMIF($AA$36:$AA$38,"landbouw",N36:N38)</f>
        <v>0</v>
      </c>
      <c r="O40" s="579">
        <f>SUMIF($AA$36:$AA$38,"landbouw",O36:O38)</f>
        <v>0</v>
      </c>
      <c r="P40" s="579">
        <f>SUMIF($AA$36:$AA$38,"landbouw",P36:P38)</f>
        <v>0</v>
      </c>
      <c r="Q40" s="579">
        <f>SUMIF($AA$36:$AA$38,"landbouw",Q36:Q38)</f>
        <v>0</v>
      </c>
      <c r="R40" s="579">
        <f>SUMIF($AA$36:$AA$38,"landbouw",R36:R38)</f>
        <v>0</v>
      </c>
      <c r="S40" s="579">
        <f>SUMIF($AA$36:$AA$38,"landbouw",S36:S38)</f>
        <v>0</v>
      </c>
      <c r="T40" s="579">
        <f>SUMIF($AA$36:$AA$38,"landbouw",T36:T38)</f>
        <v>0</v>
      </c>
      <c r="U40" s="579">
        <f>SUMIF($AA$36:$AA$38,"landbouw",U36:U38)</f>
        <v>0</v>
      </c>
      <c r="V40" s="579">
        <f>SUMIF($AA$36:$AA$38,"landbouw",V36:V38)</f>
        <v>0</v>
      </c>
      <c r="W40" s="579">
        <f>SUMIF($AA$36:$AA$38,"landbouw",W36:W38)</f>
        <v>0</v>
      </c>
      <c r="X40" s="579"/>
      <c r="Y40" s="580"/>
      <c r="Z40" s="580"/>
      <c r="AA40" s="581"/>
    </row>
    <row r="41" spans="1:28" s="586" customFormat="1">
      <c r="A41" s="582"/>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row>
    <row r="42" spans="1:28" s="586" customFormat="1" ht="15.75" thickBot="1">
      <c r="A42" s="582"/>
      <c r="B42" s="566"/>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row>
    <row r="43" spans="1:28">
      <c r="A43" s="587" t="s">
        <v>271</v>
      </c>
      <c r="B43" s="588"/>
      <c r="C43" s="588"/>
      <c r="D43" s="588"/>
      <c r="E43" s="588"/>
      <c r="F43" s="588"/>
      <c r="G43" s="588"/>
      <c r="H43" s="588"/>
      <c r="I43" s="589"/>
      <c r="J43" s="590"/>
      <c r="K43" s="590"/>
      <c r="L43" s="591"/>
      <c r="M43" s="591"/>
      <c r="N43" s="591"/>
      <c r="O43" s="591"/>
      <c r="P43" s="591"/>
    </row>
    <row r="44" spans="1:28">
      <c r="A44" s="593"/>
      <c r="B44" s="583"/>
      <c r="C44" s="583"/>
      <c r="D44" s="583"/>
      <c r="E44" s="583"/>
      <c r="F44" s="583"/>
      <c r="G44" s="583"/>
      <c r="H44" s="583"/>
      <c r="I44" s="594"/>
      <c r="J44" s="583"/>
      <c r="K44" s="583"/>
      <c r="L44" s="591"/>
      <c r="M44" s="591"/>
      <c r="N44" s="591"/>
      <c r="O44" s="591"/>
      <c r="P44" s="591"/>
    </row>
    <row r="45" spans="1:28">
      <c r="A45" s="595"/>
      <c r="B45" s="596" t="s">
        <v>272</v>
      </c>
      <c r="C45" s="596" t="s">
        <v>273</v>
      </c>
      <c r="D45" s="596"/>
      <c r="E45" s="596"/>
      <c r="F45" s="596"/>
      <c r="G45" s="596"/>
      <c r="H45" s="596"/>
      <c r="I45" s="597"/>
      <c r="J45" s="596"/>
      <c r="K45" s="596"/>
      <c r="L45" s="596"/>
      <c r="M45" s="596"/>
      <c r="N45" s="596"/>
      <c r="O45" s="596"/>
      <c r="P45" s="591"/>
    </row>
    <row r="46" spans="1:28">
      <c r="A46" s="593" t="s">
        <v>269</v>
      </c>
      <c r="B46" s="598">
        <f>IF(ISERROR(O30/(O30+N30)),0,O30/(O30+N30))</f>
        <v>0.58823529411764708</v>
      </c>
      <c r="C46" s="599">
        <f>IF(ISERROR(N30/(O30+N30)),0,N30/(N30+O30))</f>
        <v>0.41176470588235292</v>
      </c>
      <c r="D46" s="566"/>
      <c r="E46" s="566"/>
      <c r="F46" s="566"/>
      <c r="G46" s="566"/>
      <c r="H46" s="566"/>
      <c r="I46" s="600"/>
      <c r="J46" s="566"/>
      <c r="K46" s="566"/>
      <c r="L46" s="601"/>
      <c r="M46" s="601"/>
      <c r="N46" s="601"/>
      <c r="O46" s="601"/>
      <c r="P46" s="591"/>
    </row>
    <row r="47" spans="1:28">
      <c r="A47" s="593"/>
      <c r="B47" s="602"/>
      <c r="C47" s="602"/>
      <c r="D47" s="602"/>
      <c r="E47" s="602"/>
      <c r="F47" s="602"/>
      <c r="G47" s="602"/>
      <c r="H47" s="602"/>
      <c r="I47" s="603"/>
      <c r="J47" s="602"/>
      <c r="K47" s="602"/>
      <c r="L47" s="604"/>
      <c r="M47" s="604"/>
      <c r="N47" s="604"/>
      <c r="O47" s="604"/>
      <c r="P47" s="591"/>
    </row>
    <row r="48" spans="1:28" ht="30">
      <c r="A48" s="605"/>
      <c r="B48" s="606" t="s">
        <v>522</v>
      </c>
      <c r="C48" s="606" t="s">
        <v>96</v>
      </c>
      <c r="D48" s="606" t="s">
        <v>97</v>
      </c>
      <c r="E48" s="606" t="s">
        <v>98</v>
      </c>
      <c r="F48" s="606" t="s">
        <v>99</v>
      </c>
      <c r="G48" s="606" t="s">
        <v>100</v>
      </c>
      <c r="H48" s="606" t="s">
        <v>101</v>
      </c>
      <c r="I48" s="607" t="s">
        <v>102</v>
      </c>
      <c r="J48" s="596"/>
      <c r="K48" s="596"/>
      <c r="L48" s="604"/>
      <c r="M48" s="604"/>
      <c r="N48" s="604"/>
      <c r="O48" s="591"/>
      <c r="P48" s="591"/>
    </row>
    <row r="49" spans="1:16">
      <c r="A49" s="595" t="s">
        <v>274</v>
      </c>
      <c r="B49" s="608">
        <f t="shared" ref="B49:I49" si="2">$C$46*P30</f>
        <v>1372.7647058823529</v>
      </c>
      <c r="C49" s="608">
        <f t="shared" si="2"/>
        <v>0</v>
      </c>
      <c r="D49" s="608">
        <f t="shared" si="2"/>
        <v>0</v>
      </c>
      <c r="E49" s="608">
        <f t="shared" si="2"/>
        <v>0</v>
      </c>
      <c r="F49" s="608">
        <f t="shared" si="2"/>
        <v>0</v>
      </c>
      <c r="G49" s="608">
        <f t="shared" si="2"/>
        <v>0</v>
      </c>
      <c r="H49" s="608">
        <f t="shared" si="2"/>
        <v>0</v>
      </c>
      <c r="I49" s="609">
        <f t="shared" si="2"/>
        <v>0</v>
      </c>
      <c r="J49" s="566"/>
      <c r="K49" s="566"/>
      <c r="L49" s="604"/>
      <c r="M49" s="604"/>
      <c r="N49" s="604"/>
      <c r="O49" s="591"/>
      <c r="P49" s="591"/>
    </row>
    <row r="50" spans="1:16" ht="15.75" thickBot="1">
      <c r="A50" s="610" t="s">
        <v>275</v>
      </c>
      <c r="B50" s="611">
        <f t="shared" ref="B50:I50" si="3">$B$46*P30</f>
        <v>1961.0924369747902</v>
      </c>
      <c r="C50" s="611">
        <f t="shared" si="3"/>
        <v>0</v>
      </c>
      <c r="D50" s="611">
        <f t="shared" si="3"/>
        <v>0</v>
      </c>
      <c r="E50" s="611">
        <f t="shared" si="3"/>
        <v>0</v>
      </c>
      <c r="F50" s="611">
        <f t="shared" si="3"/>
        <v>0</v>
      </c>
      <c r="G50" s="611">
        <f t="shared" si="3"/>
        <v>0</v>
      </c>
      <c r="H50" s="611">
        <f t="shared" si="3"/>
        <v>0</v>
      </c>
      <c r="I50" s="612">
        <f t="shared" si="3"/>
        <v>0</v>
      </c>
      <c r="J50" s="566"/>
      <c r="K50" s="566"/>
      <c r="L50" s="604"/>
      <c r="M50" s="604"/>
      <c r="N50" s="604"/>
      <c r="O50" s="591"/>
      <c r="P50" s="591"/>
    </row>
    <row r="51" spans="1:16">
      <c r="J51" s="552"/>
      <c r="K51" s="552"/>
      <c r="L51" s="552"/>
      <c r="M51" s="552"/>
      <c r="N51" s="552"/>
    </row>
    <row r="52" spans="1:16">
      <c r="J52" s="552"/>
      <c r="K52" s="552"/>
      <c r="L52" s="552"/>
      <c r="M52" s="552"/>
      <c r="N52" s="552"/>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400</v>
      </c>
      <c r="B1" s="343" t="s">
        <v>407</v>
      </c>
      <c r="C1" s="343" t="s">
        <v>406</v>
      </c>
      <c r="D1" s="343" t="s">
        <v>405</v>
      </c>
      <c r="E1" s="344" t="s">
        <v>401</v>
      </c>
      <c r="F1" s="345" t="s">
        <v>402</v>
      </c>
      <c r="G1" s="345" t="s">
        <v>403</v>
      </c>
      <c r="H1" s="345" t="s">
        <v>404</v>
      </c>
    </row>
    <row r="2" spans="1:8" s="11" customFormat="1">
      <c r="A2" s="1006" t="s">
        <v>824</v>
      </c>
      <c r="B2" s="1007" t="s">
        <v>843</v>
      </c>
      <c r="C2" s="1006" t="s">
        <v>615</v>
      </c>
      <c r="D2" s="1006" t="s">
        <v>701</v>
      </c>
      <c r="E2" s="339"/>
      <c r="F2" s="336" t="s">
        <v>704</v>
      </c>
      <c r="G2" s="336" t="s">
        <v>711</v>
      </c>
      <c r="H2" s="337" t="s">
        <v>712</v>
      </c>
    </row>
    <row r="3" spans="1:8" s="11" customFormat="1">
      <c r="A3" s="1006" t="s">
        <v>852</v>
      </c>
      <c r="B3" s="1007" t="s">
        <v>853</v>
      </c>
      <c r="C3" s="1006" t="s">
        <v>186</v>
      </c>
      <c r="D3" s="1008" t="s">
        <v>854</v>
      </c>
      <c r="E3" s="339"/>
      <c r="F3" s="823" t="s">
        <v>699</v>
      </c>
      <c r="G3" s="823" t="s">
        <v>698</v>
      </c>
      <c r="H3" s="823" t="s">
        <v>700</v>
      </c>
    </row>
    <row r="4" spans="1:8" s="11" customFormat="1">
      <c r="A4" s="338" t="s">
        <v>393</v>
      </c>
      <c r="B4" s="727" t="s">
        <v>674</v>
      </c>
      <c r="C4" s="338" t="s">
        <v>393</v>
      </c>
      <c r="D4" s="338" t="s">
        <v>707</v>
      </c>
      <c r="E4" s="339"/>
      <c r="F4" s="823" t="s">
        <v>695</v>
      </c>
      <c r="G4" s="823" t="s">
        <v>696</v>
      </c>
      <c r="H4" s="823" t="s">
        <v>697</v>
      </c>
    </row>
    <row r="5" spans="1:8">
      <c r="A5" s="333" t="s">
        <v>387</v>
      </c>
      <c r="B5" s="821" t="s">
        <v>675</v>
      </c>
      <c r="C5" s="333" t="s">
        <v>387</v>
      </c>
      <c r="D5" s="333" t="s">
        <v>708</v>
      </c>
      <c r="E5" s="335"/>
      <c r="F5" s="336" t="s">
        <v>388</v>
      </c>
      <c r="G5" s="336" t="s">
        <v>389</v>
      </c>
      <c r="H5" s="337" t="s">
        <v>390</v>
      </c>
    </row>
    <row r="6" spans="1:8">
      <c r="A6" s="333" t="s">
        <v>391</v>
      </c>
      <c r="B6" s="334" t="s">
        <v>675</v>
      </c>
      <c r="C6" s="333" t="s">
        <v>391</v>
      </c>
      <c r="D6" s="333" t="s">
        <v>709</v>
      </c>
      <c r="E6" s="335"/>
      <c r="F6" s="336" t="s">
        <v>681</v>
      </c>
      <c r="G6" s="336" t="s">
        <v>683</v>
      </c>
      <c r="H6" s="337" t="s">
        <v>682</v>
      </c>
    </row>
    <row r="7" spans="1:8">
      <c r="A7" s="338" t="s">
        <v>418</v>
      </c>
      <c r="B7" s="341" t="s">
        <v>419</v>
      </c>
      <c r="C7" s="338" t="s">
        <v>421</v>
      </c>
      <c r="D7" s="338" t="s">
        <v>417</v>
      </c>
      <c r="E7" s="335" t="s">
        <v>420</v>
      </c>
      <c r="F7" s="336"/>
      <c r="G7" s="336"/>
      <c r="H7" s="337"/>
    </row>
    <row r="8" spans="1:8" s="815" customFormat="1">
      <c r="A8" s="338" t="s">
        <v>702</v>
      </c>
      <c r="B8" s="727">
        <v>2015</v>
      </c>
      <c r="C8" s="338" t="s">
        <v>393</v>
      </c>
      <c r="D8" s="338" t="s">
        <v>710</v>
      </c>
      <c r="E8" s="335" t="s">
        <v>703</v>
      </c>
      <c r="F8" s="336"/>
      <c r="G8" s="336"/>
      <c r="H8" s="337"/>
    </row>
    <row r="9" spans="1:8" s="815" customFormat="1">
      <c r="A9" s="338" t="s">
        <v>724</v>
      </c>
      <c r="B9" s="727">
        <v>2017</v>
      </c>
      <c r="C9" s="338" t="s">
        <v>726</v>
      </c>
      <c r="D9" s="338" t="s">
        <v>725</v>
      </c>
      <c r="E9" s="340" t="s">
        <v>714</v>
      </c>
      <c r="F9" s="336"/>
      <c r="G9" s="336"/>
      <c r="H9" s="337"/>
    </row>
    <row r="10" spans="1:8" s="11" customFormat="1">
      <c r="A10" s="338" t="s">
        <v>592</v>
      </c>
      <c r="B10" s="853" t="str">
        <f>"juni 2016"</f>
        <v>juni 2016</v>
      </c>
      <c r="C10" s="338" t="s">
        <v>593</v>
      </c>
      <c r="D10" s="338" t="s">
        <v>594</v>
      </c>
      <c r="E10" s="339"/>
      <c r="F10" s="823" t="s">
        <v>684</v>
      </c>
      <c r="G10" s="823" t="s">
        <v>685</v>
      </c>
      <c r="H10" s="337" t="s">
        <v>686</v>
      </c>
    </row>
    <row r="11" spans="1:8">
      <c r="A11" s="333" t="s">
        <v>689</v>
      </c>
      <c r="B11" s="821" t="s">
        <v>674</v>
      </c>
      <c r="C11" s="333" t="s">
        <v>690</v>
      </c>
      <c r="D11" s="333" t="s">
        <v>844</v>
      </c>
      <c r="E11" s="626"/>
      <c r="F11" s="336" t="s">
        <v>693</v>
      </c>
      <c r="G11" s="336" t="s">
        <v>691</v>
      </c>
      <c r="H11" s="337" t="s">
        <v>692</v>
      </c>
    </row>
    <row r="12" spans="1:8" s="815" customFormat="1">
      <c r="A12" s="338" t="s">
        <v>706</v>
      </c>
      <c r="B12" s="727">
        <v>2017</v>
      </c>
      <c r="C12" s="338" t="s">
        <v>412</v>
      </c>
      <c r="D12" s="338" t="s">
        <v>705</v>
      </c>
      <c r="E12" s="335"/>
      <c r="F12" s="336" t="s">
        <v>704</v>
      </c>
      <c r="G12" s="336" t="s">
        <v>711</v>
      </c>
      <c r="H12" s="337" t="s">
        <v>712</v>
      </c>
    </row>
    <row r="13" spans="1:8" s="10" customFormat="1">
      <c r="A13" s="338" t="s">
        <v>395</v>
      </c>
      <c r="B13" s="334" t="s">
        <v>411</v>
      </c>
      <c r="C13" s="333"/>
      <c r="D13" s="342" t="s">
        <v>410</v>
      </c>
      <c r="E13" s="335"/>
      <c r="F13" s="336"/>
      <c r="G13" s="336"/>
      <c r="H13" s="337"/>
    </row>
    <row r="14" spans="1:8">
      <c r="A14" s="333" t="s">
        <v>382</v>
      </c>
      <c r="B14" s="334" t="s">
        <v>623</v>
      </c>
      <c r="C14" s="333" t="s">
        <v>676</v>
      </c>
      <c r="D14" s="333" t="s">
        <v>624</v>
      </c>
      <c r="E14" s="340" t="s">
        <v>383</v>
      </c>
      <c r="F14" s="336" t="s">
        <v>384</v>
      </c>
      <c r="G14" s="336" t="s">
        <v>385</v>
      </c>
      <c r="H14" s="336" t="s">
        <v>386</v>
      </c>
    </row>
    <row r="15" spans="1:8">
      <c r="A15" s="333" t="s">
        <v>394</v>
      </c>
      <c r="B15" s="821" t="s">
        <v>694</v>
      </c>
      <c r="C15" s="333" t="s">
        <v>394</v>
      </c>
      <c r="D15" s="333" t="s">
        <v>408</v>
      </c>
      <c r="E15" s="335"/>
      <c r="F15" s="336" t="s">
        <v>737</v>
      </c>
      <c r="G15" s="336" t="s">
        <v>738</v>
      </c>
      <c r="H15" s="337" t="s">
        <v>739</v>
      </c>
    </row>
    <row r="16" spans="1:8" s="822" customFormat="1">
      <c r="A16" s="824" t="s">
        <v>495</v>
      </c>
      <c r="B16" s="825" t="s">
        <v>367</v>
      </c>
      <c r="C16" s="824" t="s">
        <v>365</v>
      </c>
      <c r="D16" s="826" t="s">
        <v>366</v>
      </c>
      <c r="E16" s="827" t="s">
        <v>368</v>
      </c>
      <c r="F16" s="336" t="s">
        <v>678</v>
      </c>
      <c r="G16" s="336" t="s">
        <v>687</v>
      </c>
      <c r="H16" s="337" t="s">
        <v>688</v>
      </c>
    </row>
    <row r="17" spans="1:8" s="822" customFormat="1">
      <c r="A17" s="824" t="s">
        <v>495</v>
      </c>
      <c r="B17" s="825" t="s">
        <v>731</v>
      </c>
      <c r="C17" s="824" t="s">
        <v>732</v>
      </c>
      <c r="D17" s="826" t="s">
        <v>733</v>
      </c>
      <c r="E17" s="827"/>
      <c r="F17" s="336" t="s">
        <v>678</v>
      </c>
      <c r="G17" s="336" t="s">
        <v>687</v>
      </c>
      <c r="H17" s="337" t="s">
        <v>688</v>
      </c>
    </row>
    <row r="18" spans="1:8" s="11" customFormat="1">
      <c r="A18" s="338" t="s">
        <v>494</v>
      </c>
      <c r="B18" s="727">
        <v>2016</v>
      </c>
      <c r="C18" s="338" t="s">
        <v>412</v>
      </c>
      <c r="D18" s="338" t="s">
        <v>680</v>
      </c>
      <c r="E18" s="339" t="s">
        <v>679</v>
      </c>
      <c r="F18" s="336" t="s">
        <v>678</v>
      </c>
      <c r="G18" s="336" t="s">
        <v>687</v>
      </c>
      <c r="H18" s="337" t="s">
        <v>688</v>
      </c>
    </row>
    <row r="19" spans="1:8" s="11" customFormat="1">
      <c r="A19" s="338" t="s">
        <v>870</v>
      </c>
      <c r="B19" s="727" t="s">
        <v>871</v>
      </c>
      <c r="C19" s="338"/>
      <c r="D19" s="338"/>
      <c r="E19" s="340" t="s">
        <v>872</v>
      </c>
      <c r="F19" s="336"/>
      <c r="G19" s="336"/>
      <c r="H19" s="337"/>
    </row>
    <row r="20" spans="1:8">
      <c r="A20" s="338" t="s">
        <v>186</v>
      </c>
      <c r="B20" s="727" t="s">
        <v>673</v>
      </c>
      <c r="C20" s="338" t="s">
        <v>413</v>
      </c>
      <c r="D20" s="338" t="s">
        <v>677</v>
      </c>
      <c r="E20" s="335"/>
      <c r="F20" s="336" t="s">
        <v>414</v>
      </c>
      <c r="G20" s="336" t="s">
        <v>415</v>
      </c>
      <c r="H20" s="337" t="s">
        <v>416</v>
      </c>
    </row>
    <row r="21" spans="1:8" s="11" customFormat="1">
      <c r="A21" s="1013" t="s">
        <v>874</v>
      </c>
      <c r="B21" s="1014" t="s">
        <v>875</v>
      </c>
      <c r="C21" s="1013" t="s">
        <v>186</v>
      </c>
      <c r="D21" s="1013" t="s">
        <v>876</v>
      </c>
      <c r="E21" s="335"/>
      <c r="F21" s="823" t="s">
        <v>699</v>
      </c>
      <c r="G21" s="823" t="s">
        <v>698</v>
      </c>
      <c r="H21" s="823" t="s">
        <v>700</v>
      </c>
    </row>
    <row r="22" spans="1:8" s="815" customFormat="1">
      <c r="A22" s="338" t="s">
        <v>394</v>
      </c>
      <c r="B22" s="727" t="s">
        <v>734</v>
      </c>
      <c r="C22" s="338" t="s">
        <v>394</v>
      </c>
      <c r="D22" s="338" t="s">
        <v>735</v>
      </c>
      <c r="E22" s="335"/>
      <c r="F22" s="336" t="s">
        <v>743</v>
      </c>
      <c r="G22" s="336" t="s">
        <v>744</v>
      </c>
      <c r="H22" s="337" t="s">
        <v>745</v>
      </c>
    </row>
    <row r="23" spans="1:8" s="815" customFormat="1">
      <c r="A23" s="338" t="s">
        <v>394</v>
      </c>
      <c r="B23" s="727" t="s">
        <v>731</v>
      </c>
      <c r="C23" s="338" t="s">
        <v>394</v>
      </c>
      <c r="D23" s="338" t="s">
        <v>736</v>
      </c>
      <c r="E23" s="335"/>
      <c r="F23" s="336" t="s">
        <v>740</v>
      </c>
      <c r="G23" s="336" t="s">
        <v>741</v>
      </c>
      <c r="H23" s="337" t="s">
        <v>742</v>
      </c>
    </row>
    <row r="24" spans="1:8" s="11" customFormat="1">
      <c r="A24" s="338" t="s">
        <v>392</v>
      </c>
      <c r="B24" s="853" t="str">
        <f>"november 2016"</f>
        <v>november 2016</v>
      </c>
      <c r="C24" s="338" t="s">
        <v>392</v>
      </c>
      <c r="D24" s="338" t="s">
        <v>618</v>
      </c>
      <c r="E24" s="339" t="s">
        <v>619</v>
      </c>
      <c r="F24" s="336" t="s">
        <v>746</v>
      </c>
      <c r="G24" s="336" t="s">
        <v>747</v>
      </c>
      <c r="H24" s="337" t="s">
        <v>748</v>
      </c>
    </row>
    <row r="25" spans="1:8" s="11" customFormat="1">
      <c r="A25" s="338" t="s">
        <v>392</v>
      </c>
      <c r="B25" s="853" t="str">
        <f>"november 2016"</f>
        <v>november 2016</v>
      </c>
      <c r="C25" s="338" t="s">
        <v>392</v>
      </c>
      <c r="D25" s="854" t="s">
        <v>597</v>
      </c>
      <c r="E25" s="339" t="s">
        <v>409</v>
      </c>
      <c r="F25" s="336" t="s">
        <v>746</v>
      </c>
      <c r="G25" s="336" t="s">
        <v>747</v>
      </c>
      <c r="H25" s="337" t="s">
        <v>748</v>
      </c>
    </row>
    <row r="28" spans="1:8">
      <c r="F28" s="815"/>
      <c r="G28" s="815"/>
    </row>
    <row r="29" spans="1:8">
      <c r="F29" s="815"/>
      <c r="G29" s="815"/>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 ref="E19" r:id="rId7" xr:uid="{5F9C660E-FE9A-4A11-9FA3-16B81B2BD78D}"/>
  </hyperlinks>
  <pageMargins left="0.7" right="0.7" top="0.75" bottom="0.75" header="0.3" footer="0.3"/>
  <pageSetup paperSize="9" orientation="portrait" r:id="rId8"/>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5"/>
  <sheetViews>
    <sheetView topLeftCell="A16" workbookViewId="0">
      <selection activeCell="D35" sqref="D3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28" t="s">
        <v>582</v>
      </c>
      <c r="B1" s="828" t="s">
        <v>583</v>
      </c>
      <c r="C1" s="828" t="s">
        <v>585</v>
      </c>
      <c r="D1" s="828" t="s">
        <v>584</v>
      </c>
    </row>
    <row r="2" spans="1:4" s="816" customFormat="1">
      <c r="A2" s="816" t="s">
        <v>648</v>
      </c>
      <c r="B2" s="837">
        <v>42860</v>
      </c>
      <c r="C2" s="816" t="s">
        <v>656</v>
      </c>
      <c r="D2" s="838" t="s">
        <v>657</v>
      </c>
    </row>
    <row r="3" spans="1:4" s="816" customFormat="1">
      <c r="A3" s="816" t="s">
        <v>648</v>
      </c>
      <c r="B3" s="837">
        <v>42860</v>
      </c>
      <c r="C3" s="816" t="s">
        <v>658</v>
      </c>
      <c r="D3" s="838" t="s">
        <v>659</v>
      </c>
    </row>
    <row r="4" spans="1:4" s="816" customFormat="1">
      <c r="A4" s="816" t="s">
        <v>648</v>
      </c>
      <c r="B4" s="837">
        <v>42860</v>
      </c>
      <c r="C4" s="816" t="s">
        <v>663</v>
      </c>
      <c r="D4" s="838" t="s">
        <v>662</v>
      </c>
    </row>
    <row r="5" spans="1:4" s="816" customFormat="1">
      <c r="A5" s="816" t="s">
        <v>648</v>
      </c>
      <c r="B5" s="837">
        <v>42860</v>
      </c>
      <c r="C5" s="816" t="s">
        <v>664</v>
      </c>
      <c r="D5" s="851" t="s">
        <v>665</v>
      </c>
    </row>
    <row r="6" spans="1:4" s="816" customFormat="1">
      <c r="A6" s="816" t="s">
        <v>648</v>
      </c>
      <c r="B6" s="857">
        <v>42877</v>
      </c>
      <c r="C6" s="815" t="s">
        <v>728</v>
      </c>
      <c r="D6" s="858" t="s">
        <v>667</v>
      </c>
    </row>
    <row r="7" spans="1:4" s="816" customFormat="1">
      <c r="A7" s="816" t="s">
        <v>648</v>
      </c>
      <c r="B7" s="857">
        <v>42877</v>
      </c>
      <c r="C7" s="815" t="s">
        <v>729</v>
      </c>
      <c r="D7" s="858" t="s">
        <v>668</v>
      </c>
    </row>
    <row r="8" spans="1:4" s="816" customFormat="1">
      <c r="A8" s="816" t="s">
        <v>648</v>
      </c>
      <c r="B8" s="857">
        <v>42877</v>
      </c>
      <c r="C8" s="815" t="s">
        <v>730</v>
      </c>
      <c r="D8" s="858" t="s">
        <v>669</v>
      </c>
    </row>
    <row r="9" spans="1:4" s="7" customFormat="1">
      <c r="A9" s="816" t="s">
        <v>648</v>
      </c>
      <c r="B9" s="857">
        <v>42877</v>
      </c>
      <c r="C9" s="815" t="s">
        <v>671</v>
      </c>
      <c r="D9" s="858" t="s">
        <v>670</v>
      </c>
    </row>
    <row r="10" spans="1:4" s="7" customFormat="1">
      <c r="A10" s="816" t="s">
        <v>715</v>
      </c>
      <c r="B10" s="837">
        <v>43167</v>
      </c>
      <c r="C10" s="837" t="s">
        <v>716</v>
      </c>
      <c r="D10" s="858" t="s">
        <v>717</v>
      </c>
    </row>
    <row r="11" spans="1:4" s="7" customFormat="1">
      <c r="A11" s="816" t="s">
        <v>715</v>
      </c>
      <c r="B11" s="837">
        <v>43167</v>
      </c>
      <c r="C11" s="837" t="s">
        <v>718</v>
      </c>
      <c r="D11" s="861" t="s">
        <v>719</v>
      </c>
    </row>
    <row r="12" spans="1:4" s="7" customFormat="1">
      <c r="A12" s="816" t="s">
        <v>715</v>
      </c>
      <c r="B12" s="837">
        <v>43167</v>
      </c>
      <c r="C12" s="837" t="s">
        <v>720</v>
      </c>
      <c r="D12" s="861" t="s">
        <v>721</v>
      </c>
    </row>
    <row r="13" spans="1:4" s="7" customFormat="1">
      <c r="A13" s="816" t="s">
        <v>715</v>
      </c>
      <c r="B13" s="837">
        <v>43167</v>
      </c>
      <c r="C13" s="837" t="s">
        <v>722</v>
      </c>
      <c r="D13" s="861" t="s">
        <v>723</v>
      </c>
    </row>
    <row r="14" spans="1:4" s="7" customFormat="1">
      <c r="A14" s="816" t="s">
        <v>715</v>
      </c>
      <c r="B14" s="837">
        <v>43278</v>
      </c>
      <c r="C14" s="837" t="s">
        <v>749</v>
      </c>
      <c r="D14" s="858"/>
    </row>
    <row r="15" spans="1:4" s="7" customFormat="1">
      <c r="A15" s="816" t="s">
        <v>783</v>
      </c>
      <c r="B15" s="837">
        <v>43425</v>
      </c>
      <c r="C15" s="837" t="s">
        <v>784</v>
      </c>
      <c r="D15" s="858"/>
    </row>
    <row r="16" spans="1:4" s="7" customFormat="1">
      <c r="A16" s="816" t="s">
        <v>795</v>
      </c>
      <c r="B16" s="837">
        <v>43573</v>
      </c>
      <c r="C16" s="837" t="s">
        <v>796</v>
      </c>
      <c r="D16" s="861"/>
    </row>
    <row r="17" spans="1:4" s="7" customFormat="1">
      <c r="A17" s="816" t="s">
        <v>817</v>
      </c>
      <c r="B17" s="837">
        <v>43678</v>
      </c>
      <c r="C17" s="837" t="s">
        <v>818</v>
      </c>
      <c r="D17" s="861" t="s">
        <v>819</v>
      </c>
    </row>
    <row r="18" spans="1:4" s="7" customFormat="1">
      <c r="A18" s="992" t="s">
        <v>823</v>
      </c>
      <c r="B18" s="999">
        <v>43930</v>
      </c>
      <c r="C18" s="995" t="s">
        <v>820</v>
      </c>
      <c r="D18" s="998" t="s">
        <v>821</v>
      </c>
    </row>
    <row r="19" spans="1:4" s="7" customFormat="1">
      <c r="A19" s="992" t="s">
        <v>823</v>
      </c>
      <c r="B19" s="999">
        <v>43930</v>
      </c>
      <c r="C19" s="995" t="s">
        <v>822</v>
      </c>
      <c r="D19" s="998" t="s">
        <v>821</v>
      </c>
    </row>
    <row r="20" spans="1:4" s="7" customFormat="1">
      <c r="A20" s="996" t="s">
        <v>823</v>
      </c>
      <c r="B20" s="999">
        <v>43943</v>
      </c>
      <c r="C20" s="995" t="s">
        <v>825</v>
      </c>
      <c r="D20" s="997" t="s">
        <v>667</v>
      </c>
    </row>
    <row r="21" spans="1:4">
      <c r="A21" s="996" t="s">
        <v>823</v>
      </c>
      <c r="B21" s="999">
        <v>43943</v>
      </c>
      <c r="C21" s="995" t="s">
        <v>826</v>
      </c>
      <c r="D21" s="998" t="s">
        <v>668</v>
      </c>
    </row>
    <row r="22" spans="1:4">
      <c r="A22" s="996" t="s">
        <v>823</v>
      </c>
      <c r="B22" s="999">
        <v>43943</v>
      </c>
      <c r="C22" s="995" t="s">
        <v>827</v>
      </c>
      <c r="D22" s="998" t="s">
        <v>669</v>
      </c>
    </row>
    <row r="23" spans="1:4">
      <c r="A23" s="996" t="s">
        <v>823</v>
      </c>
      <c r="B23" s="999">
        <v>43943</v>
      </c>
      <c r="C23" s="995" t="s">
        <v>828</v>
      </c>
      <c r="D23" s="998" t="s">
        <v>829</v>
      </c>
    </row>
    <row r="24" spans="1:4">
      <c r="A24" s="996" t="s">
        <v>823</v>
      </c>
      <c r="B24" s="999">
        <v>43951</v>
      </c>
      <c r="C24" t="s">
        <v>656</v>
      </c>
      <c r="D24" s="998" t="s">
        <v>830</v>
      </c>
    </row>
    <row r="25" spans="1:4">
      <c r="A25" s="996" t="s">
        <v>823</v>
      </c>
      <c r="B25" s="999">
        <v>43965</v>
      </c>
      <c r="C25" t="s">
        <v>831</v>
      </c>
      <c r="D25" s="997" t="s">
        <v>659</v>
      </c>
    </row>
    <row r="26" spans="1:4">
      <c r="A26" s="996" t="s">
        <v>834</v>
      </c>
      <c r="B26" s="999">
        <v>44315</v>
      </c>
      <c r="C26" t="s">
        <v>835</v>
      </c>
      <c r="D26" s="838" t="s">
        <v>662</v>
      </c>
    </row>
    <row r="27" spans="1:4">
      <c r="A27" s="1009" t="s">
        <v>834</v>
      </c>
      <c r="B27" s="1010">
        <v>44326</v>
      </c>
      <c r="C27" t="s">
        <v>845</v>
      </c>
      <c r="D27" s="1011" t="s">
        <v>850</v>
      </c>
    </row>
    <row r="28" spans="1:4">
      <c r="A28" s="1009" t="s">
        <v>834</v>
      </c>
      <c r="B28" s="1010">
        <v>44326</v>
      </c>
      <c r="C28" t="s">
        <v>846</v>
      </c>
      <c r="D28" s="1011" t="s">
        <v>851</v>
      </c>
    </row>
    <row r="29" spans="1:4">
      <c r="A29" s="1009" t="s">
        <v>834</v>
      </c>
      <c r="B29" s="1010">
        <v>44326</v>
      </c>
      <c r="C29" t="s">
        <v>847</v>
      </c>
      <c r="D29" s="1011" t="s">
        <v>668</v>
      </c>
    </row>
    <row r="30" spans="1:4">
      <c r="A30" s="1009" t="s">
        <v>834</v>
      </c>
      <c r="B30" s="1010">
        <v>44326</v>
      </c>
      <c r="C30" t="s">
        <v>848</v>
      </c>
      <c r="D30" s="1011" t="s">
        <v>669</v>
      </c>
    </row>
    <row r="31" spans="1:4">
      <c r="A31" s="1009" t="s">
        <v>834</v>
      </c>
      <c r="B31" s="1010">
        <v>44326</v>
      </c>
      <c r="C31" t="s">
        <v>849</v>
      </c>
      <c r="D31" s="1012" t="s">
        <v>667</v>
      </c>
    </row>
    <row r="32" spans="1:4">
      <c r="A32" s="1009" t="s">
        <v>866</v>
      </c>
      <c r="B32" s="1010">
        <v>44699</v>
      </c>
      <c r="C32" t="s">
        <v>867</v>
      </c>
    </row>
    <row r="33" spans="1:4">
      <c r="A33" s="1009" t="s">
        <v>866</v>
      </c>
      <c r="B33" s="857">
        <v>44768</v>
      </c>
      <c r="C33" s="1016" t="s">
        <v>877</v>
      </c>
      <c r="D33" s="1011" t="s">
        <v>669</v>
      </c>
    </row>
    <row r="34" spans="1:4">
      <c r="A34" s="1009" t="s">
        <v>866</v>
      </c>
      <c r="B34" s="857">
        <v>44768</v>
      </c>
      <c r="C34" s="1016" t="s">
        <v>878</v>
      </c>
      <c r="D34" s="1012" t="s">
        <v>667</v>
      </c>
    </row>
    <row r="35" spans="1:4">
      <c r="A35" s="1009" t="s">
        <v>866</v>
      </c>
      <c r="B35" s="857">
        <v>44768</v>
      </c>
      <c r="C35" s="857" t="s">
        <v>880</v>
      </c>
      <c r="D35" s="1012" t="s">
        <v>881</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 ref="D33" location="transport!A28" display="transport!A28" xr:uid="{7D204BCF-451C-468E-83F1-E1101447948D}"/>
    <hyperlink ref="D34" location="'ECF transport '!A1" display="'ECF transport '!A1" xr:uid="{C8C4B252-3EBA-43C2-8FDA-289AB0274A54}"/>
    <hyperlink ref="D35" location="'lokale energieproductie'!X27" display="lokale energieproductie'!X27" xr:uid="{E11CAA18-450B-437C-942D-4323BE34A4D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2022-07-26T11:21:39Z</dcterms:modified>
</cp:coreProperties>
</file>