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56C665A-C76E-4F2B-AD1B-85A025392F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<sst xmlns="http://schemas.openxmlformats.org/spreadsheetml/2006/main" count="2411" uniqueCount="890">
  <si>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</si>
  <si>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</si>
  <si>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</si>
  <si>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</si>
  <si>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</si>
  <si>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</si>
  <si>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</si>
  <si>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</si>
  <si>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</si>
  <si>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</si>
  <si>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</si>
  <si>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</si>
  <si>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</si>
  <si>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</si>
  <si>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</si>
  <si>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</si>
  <si>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</si>
  <si>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</si>
  <si>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</si>
  <si>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</si>
  <si>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</si>
  <si>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</si>
  <si>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</si>
  <si>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</si>
  <si>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</si>
  <si>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</si>
  <si>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</si>
  <si>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</si>
  <si>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</si>
  <si>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</si>
  <si>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</si>
  <si>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</si>
  <si>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</si>
  <si>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</si>
  <si>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</si>
  <si>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</si>
  <si>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</si>
  <si>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</si>
  <si>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</si>
  <si>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</si>
  <si>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</si>
  <si>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</si>
  <si>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</si>
  <si>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</si>
  <si>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</si>
  <si>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</si>
  <si>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</si>
  <si>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</si>
  <si>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</si>
  <si>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</si>
  <si>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</si>
  <si>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</si>
  <si>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</si>
  <si>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</si>
  <si>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</si>
  <si>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</si>
  <si>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</si>
  <si>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</si>
  <si>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</si>
  <si>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</si>
  <si>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</si>
  <si>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</si>
  <si>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</si>
  <si>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</si>
  <si>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</si>
  <si>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</si>
  <si>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</si>
  <si>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</si>
  <si>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</si>
  <si>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</si>
  <si>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</si>
  <si>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</si>
  <si>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</si>
  <si>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</si>
  <si>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</si>
  <si>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</si>
  <si>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</si>
  <si>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</si>
  <si>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</si>
  <si>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</si>
  <si>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</si>
  <si>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</si>
  <si>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</si>
  <si>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</si>
  <si>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</si>
  <si>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</si>
  <si>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</si>
  <si>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</si>
  <si>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</si>
  <si>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</si>
  <si>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</si>
  <si>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</si>
  <si>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</si>
  <si>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</si>
  <si>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</si>
  <si>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</si>
  <si>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</si>
  <si>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</si>
  <si>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</si>
  <si>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</si>
  <si>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</si>
  <si>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</si>
  <si>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</si>
  <si>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</si>
  <si>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</si>
  <si>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</si>
  <si>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</si>
  <si>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</si>
  <si>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</si>
  <si>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</si>
  <si>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</si>
  <si>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</si>
  <si>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</si>
  <si>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</si>
  <si>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</si>
  <si>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</si>
  <si>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</si>
  <si>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</si>
  <si>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</si>
  <si>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</si>
  <si>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</si>
  <si>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</si>
  <si>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</si>
  <si>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</si>
  <si>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</si>
  <si>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</si>
  <si>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</si>
  <si>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</si>
  <si>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</si>
  <si>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</si>
  <si>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</si>
  <si>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</si>
  <si>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</si>
  <si>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</si>
  <si>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</si>
  <si>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</si>
  <si>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</si>
  <si>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</si>
  <si>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</si>
  <si>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</si>
  <si>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</si>
  <si>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</si>
  <si>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</si>
  <si>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</si>
  <si>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</si>
  <si>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</si>
  <si>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</si>
  <si>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</si>
  <si>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</si>
  <si>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</si>
  <si>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</si>
  <si>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</si>
  <si>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</si>
  <si>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</si>
  <si>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</si>
  <si>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</si>
  <si>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</si>
  <si>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</si>
  <si>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</si>
  <si>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</si>
  <si>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</si>
  <si>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</si>
  <si>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</si>
  <si>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</si>
  <si>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</si>
  <si>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</si>
  <si>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</si>
  <si>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</si>
  <si>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</si>
  <si>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</si>
  <si>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</si>
  <si>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</si>
  <si>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</si>
  <si>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</si>
  <si>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</si>
  <si>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</si>
  <si>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</si>
  <si>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</si>
  <si>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</si>
  <si>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</si>
  <si>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</si>
  <si>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</si>
  <si>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</si>
  <si>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</si>
  <si>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</si>
  <si>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</si>
  <si>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</si>
  <si>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</si>
  <si>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</si>
  <si>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</si>
  <si>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</si>
  <si>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</si>
  <si>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</si>
  <si>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</si>
  <si>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</si>
  <si>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</si>
  <si>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</si>
  <si>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</si>
  <si>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</si>
  <si>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</si>
  <si>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</si>
  <si>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</si>
  <si>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</si>
  <si>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</si>
  <si>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</si>
  <si>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</si>
  <si>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</si>
  <si>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</si>
  <si>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</si>
  <si>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</si>
  <si>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</si>
  <si>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</si>
  <si>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</si>
  <si>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</si>
  <si>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</si>
  <si>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</si>
  <si>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</si>
  <si>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</si>
  <si>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</si>
  <si>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</si>
  <si>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</si>
  <si>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</si>
  <si>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</si>
  <si>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</si>
  <si>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</si>
  <si>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</si>
  <si>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</si>
  <si>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</si>
  <si>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</si>
  <si>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</si>
  <si>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</si>
  <si>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</si>
  <si>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</si>
  <si>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</si>
  <si>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</si>
  <si>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</si>
  <si>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</si>
  <si>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</si>
  <si>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</si>
  <si>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</si>
  <si>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</si>
  <si>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</si>
  <si>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</si>
  <si>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</si>
  <si>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</si>
  <si>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</si>
  <si>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</si>
  <si>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</si>
  <si>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</si>
  <si>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</si>
  <si>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</si>
  <si>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</si>
  <si>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</si>
  <si>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</si>
  <si>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</si>
  <si>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</si>
  <si>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</si>
  <si>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</si>
  <si>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</si>
  <si>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</si>
  <si>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</si>
  <si>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</si>
  <si>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</si>
  <si>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</si>
  <si>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</si>
  <si>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</si>
  <si>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</si>
  <si>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</si>
  <si>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</si>
  <si>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</si>
  <si>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</si>
  <si>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</si>
  <si>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</si>
  <si>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</si>
  <si>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</si>
  <si>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</si>
  <si>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</si>
  <si>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</si>
  <si>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</si>
  <si>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</si>
  <si>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</si>
  <si>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</si>
  <si>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</si>
  <si>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</si>
  <si>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</si>
  <si>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</si>
  <si>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</si>
  <si>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</si>
  <si>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</si>
  <si>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</si>
  <si>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</si>
  <si>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</si>
  <si>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</si>
  <si>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</si>
  <si>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</si>
  <si>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</si>
  <si>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</si>
  <si>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</si>
  <si>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</si>
  <si>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</si>
  <si>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</si>
  <si>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</si>
  <si>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</si>
  <si>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</si>
  <si>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</si>
  <si>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</si>
  <si>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</si>
  <si>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</si>
  <si>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</si>
  <si>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</si>
  <si>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</si>
  <si>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</si>
  <si>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</si>
  <si>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</si>
  <si>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</si>
  <si>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</si>
  <si>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</si>
  <si>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</si>
  <si>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</si>
  <si>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</si>
  <si>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</si>
  <si>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</si>
  <si>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</si>
  <si>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</si>
  <si>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</si>
  <si>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</si>
  <si>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</si>
  <si>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</si>
  <si>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</si>
  <si>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</si>
  <si>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</si>
  <si>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</si>
  <si>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</si>
  <si>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</si>
  <si>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</si>
  <si>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</si>
  <si>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</si>
  <si>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</si>
  <si>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</si>
  <si>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</si>
  <si>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</si>
  <si>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</si>
  <si>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</si>
  <si>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</si>
  <si>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</si>
  <si>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</si>
  <si>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</si>
  <si>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</si>
  <si>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</si>
  <si>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</si>
  <si>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</si>
  <si>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</si>
  <si>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</si>
  <si>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</si>
  <si>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</si>
  <si>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</si>
  <si>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</si>
  <si>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</si>
  <si>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</si>
  <si>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</si>
  <si>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</si>
  <si>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</si>
  <si>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</si>
  <si>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</si>
  <si>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</si>
  <si>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</si>
  <si>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</si>
  <si>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</si>
  <si>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</si>
  <si>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</si>
  <si>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</si>
  <si>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</si>
  <si>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</si>
  <si>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</si>
  <si>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</si>
  <si>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</si>
  <si>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</si>
  <si>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</si>
  <si>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</si>
  <si>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</si>
  <si>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</si>
  <si>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</si>
  <si>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</si>
  <si>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</si>
  <si>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</si>
  <si>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</si>
  <si>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</si>
  <si>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</si>
  <si>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</si>
  <si>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</si>
  <si>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</si>
  <si>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</si>
  <si>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</si>
  <si>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</si>
  <si>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</si>
  <si>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</si>
  <si>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</si>
  <si>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</si>
  <si>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</si>
  <si>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</si>
  <si>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</si>
  <si>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</si>
  <si>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</si>
  <si>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</si>
  <si>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</si>
  <si>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</si>
  <si>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</si>
  <si>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</si>
  <si>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</si>
  <si>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</si>
  <si>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</si>
  <si>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</si>
  <si>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</si>
  <si>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</si>
  <si>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</si>
  <si>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</si>
  <si>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</si>
  <si>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</si>
  <si>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</si>
  <si>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</si>
  <si>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</si>
  <si>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</si>
  <si>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</si>
  <si>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</si>
  <si>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</si>
  <si>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</si>
  <si>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</si>
  <si>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</si>
  <si>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</si>
  <si>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</si>
  <si>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</si>
  <si>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</si>
  <si>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</si>
  <si>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</si>
  <si>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</si>
  <si>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</si>
  <si>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</si>
  <si>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</si>
  <si>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</si>
  <si>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</si>
  <si>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</si>
  <si>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</si>
  <si>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</si>
  <si>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</si>
  <si>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</si>
  <si>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</si>
  <si>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</si>
  <si>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</si>
  <si>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</si>
  <si>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</si>
  <si>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</si>
  <si>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</si>
  <si>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</si>
  <si>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</si>
  <si>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</si>
  <si>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</si>
  <si>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</si>
  <si>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</si>
  <si>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</si>
  <si>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</si>
  <si>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</si>
  <si>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</si>
  <si>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</si>
  <si>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</si>
  <si>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</si>
  <si>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</si>
  <si>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</si>
  <si>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</si>
  <si>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</si>
  <si>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</si>
  <si>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</si>
  <si>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</si>
  <si>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</si>
  <si>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</si>
  <si>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</si>
  <si>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</si>
  <si>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</si>
  <si>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</si>
  <si>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</si>
  <si>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</si>
  <si>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</si>
  <si>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</si>
  <si>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</si>
  <si>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</si>
  <si>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</si>
  <si>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</si>
  <si>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</si>
  <si>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</si>
  <si>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</si>
  <si>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</si>
  <si>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</si>
  <si>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</si>
  <si>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</si>
  <si>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</si>
  <si>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</si>
  <si>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</si>
  <si>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</si>
  <si>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</si>
  <si>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</si>
  <si>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</si>
  <si>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</si>
  <si>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</si>
  <si>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</si>
  <si>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</si>
  <si>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</si>
  <si>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</si>
  <si>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</si>
  <si>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</si>
  <si>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</si>
  <si>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</si>
  <si>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</si>
  <si>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</si>
  <si>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</si>
  <si>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</si>
  <si>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</si>
  <si>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</si>
  <si>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</si>
  <si>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</si>
  <si>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</si>
  <si>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</si>
  <si>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</si>
  <si>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</si>
  <si>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</si>
  <si>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</si>
  <si>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</si>
  <si>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</si>
  <si>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</si>
  <si>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</si>
  <si>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</si>
  <si>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</si>
  <si>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</si>
  <si>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</si>
  <si>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</si>
  <si>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</si>
  <si>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</si>
  <si>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</si>
  <si>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</si>
  <si>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</si>
  <si>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</si>
  <si>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</si>
  <si>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</si>
  <si>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</si>
  <si>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</si>
  <si>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</si>
  <si>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</si>
  <si>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</si>
  <si>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</si>
  <si>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</si>
  <si>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</si>
  <si>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</si>
  <si>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</si>
  <si>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</si>
  <si>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</si>
  <si>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</si>
  <si>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</si>
  <si>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</si>
  <si>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</si>
  <si>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</si>
  <si>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</si>
  <si>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</si>
  <si>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</si>
  <si>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</si>
  <si>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</si>
  <si>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</si>
  <si>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</si>
  <si>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</si>
  <si>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</si>
  <si>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</si>
  <si>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</si>
  <si>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</si>
  <si>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</si>
  <si>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</si>
  <si>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</si>
  <si>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</si>
  <si>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</si>
  <si>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</si>
  <si>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</si>
  <si>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</si>
  <si>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</si>
  <si>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</si>
  <si>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</si>
  <si>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</si>
  <si>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</si>
  <si>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</si>
  <si>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</si>
  <si>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</si>
  <si>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</si>
  <si>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</si>
  <si>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</si>
  <si>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</si>
  <si>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</si>
  <si>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</si>
  <si>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</si>
  <si>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</si>
  <si>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</si>
  <si>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</si>
  <si>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</si>
  <si>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</si>
  <si>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</si>
  <si>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</si>
  <si>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</si>
  <si>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</si>
  <si>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</si>
  <si>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</si>
  <si>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</si>
  <si>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</si>
  <si>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</si>
  <si>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</si>
  <si>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</si>
  <si>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</si>
  <si>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</si>
  <si>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</si>
  <si>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</si>
  <si>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</si>
  <si>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</si>
  <si>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</si>
  <si>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</si>
  <si>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</si>
  <si>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</si>
  <si>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</si>
  <si>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</si>
  <si>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</si>
  <si>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</si>
  <si>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</si>
  <si>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</si>
  <si>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</si>
  <si>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</si>
  <si>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</si>
  <si>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</si>
  <si>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</si>
  <si>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</si>
  <si>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</si>
  <si>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</si>
  <si>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</si>
  <si>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</si>
  <si>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</si>
  <si>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</si>
  <si>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</si>
  <si>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</si>
  <si>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</si>
  <si>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</si>
  <si>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</si>
  <si>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</si>
  <si>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</si>
  <si>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</si>
  <si>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</si>
  <si>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</si>
  <si>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</si>
  <si>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</si>
  <si>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</si>
  <si>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</si>
  <si>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</si>
  <si>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</si>
  <si>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</si>
  <si>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</si>
  <si>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</si>
  <si>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</si>
  <si>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</si>
  <si>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</si>
  <si>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</si>
  <si>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</si>
  <si>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</si>
  <si>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</si>
  <si>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</si>
  <si>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</si>
  <si>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</si>
  <si>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</si>
  <si>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</si>
  <si>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</si>
  <si>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</si>
  <si>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</si>
  <si>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</si>
  <si>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</si>
  <si>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</si>
  <si>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</si>
  <si>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</si>
  <si>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</si>
  <si>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</si>
  <si>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</si>
  <si>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</si>
  <si>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</si>
  <si>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</si>
  <si>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</si>
  <si>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</si>
  <si>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</si>
  <si>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</si>
  <si>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</si>
  <si>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</si>
  <si>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</si>
  <si>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</si>
  <si>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</si>
  <si>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</si>
  <si>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</si>
  <si>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</si>
  <si>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</si>
  <si>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</si>
  <si>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</si>
  <si>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</si>
  <si>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</si>
  <si>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</si>
  <si>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</si>
  <si>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</si>
  <si>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</si>
  <si>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</si>
  <si>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</si>
  <si>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</si>
  <si>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</si>
  <si>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</si>
  <si>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</si>
  <si>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</si>
  <si>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</si>
  <si>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</si>
  <si>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</si>
  <si>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</si>
  <si>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</si>
  <si>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</si>
  <si>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</si>
  <si>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</si>
  <si>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</si>
  <si>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</si>
  <si>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</si>
  <si>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</si>
  <si>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</si>
  <si>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</si>
  <si>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</si>
  <si>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</si>
  <si>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</si>
  <si>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</si>
  <si>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</si>
  <si>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</si>
  <si>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</si>
  <si>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</si>
  <si>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</si>
  <si>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</si>
  <si>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</si>
  <si>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</si>
  <si>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</si>
  <si>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</si>
  <si>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</si>
  <si>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</si>
  <si>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</si>
  <si>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</si>
  <si>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</si>
  <si>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</si>
  <si>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</si>
  <si>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</si>
  <si>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</si>
  <si>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</si>
  <si>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</si>
  <si>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</si>
  <si>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</si>
  <si>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</si>
  <si>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</si>
  <si>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</si>
  <si>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</si>
  <si>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</si>
  <si>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</si>
  <si>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</si>
  <si>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</si>
  <si>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</si>
  <si>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</si>
  <si>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</si>
  <si>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</si>
  <si>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</si>
  <si>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</si>
  <si>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</si>
  <si>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</si>
  <si>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</si>
  <si>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</si>
  <si>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</si>
  <si>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</si>
  <si>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</si>
  <si>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</si>
  <si>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</si>
  <si>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</si>
  <si>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</si>
  <si>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</si>
  <si>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</si>
  <si>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</si>
  <si>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</si>
  <si>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</si>
  <si>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</si>
  <si>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</si>
  <si>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</si>
  <si>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</si>
  <si>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</si>
  <si>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</si>
  <si>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</si>
  <si>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</si>
  <si>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</si>
  <si>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</si>
  <si>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</si>
  <si>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</si>
  <si>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</si>
  <si>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</si>
  <si>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</si>
  <si>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</si>
  <si>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</si>
  <si>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</si>
  <si>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</si>
  <si>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</si>
  <si>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</si>
  <si>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</si>
  <si>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</si>
  <si>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</si>
  <si>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</si>
  <si>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</si>
  <si>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</si>
  <si>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</si>
  <si>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</si>
  <si>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</si>
  <si>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</si>
  <si>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</si>
  <si>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</si>
  <si>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</si>
  <si>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</si>
  <si>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</si>
  <si>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</si>
  <si>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</si>
  <si>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</si>
  <si>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</si>
  <si>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</si>
  <si>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</si>
  <si>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</si>
  <si>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</si>
  <si>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</si>
  <si>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</si>
  <si>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</si>
  <si>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</si>
  <si>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</si>
  <si>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</si>
  <si>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</si>
  <si>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</si>
  <si>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</si>
  <si>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</si>
  <si>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</si>
  <si>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</si>
  <si>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</si>
  <si>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</si>
  <si>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</si>
  <si>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</si>
  <si>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</si>
  <si>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</si>
  <si>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</si>
  <si>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</si>
  <si>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</si>
  <si>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</si>
  <si>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</si>
  <si>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</si>
  <si>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</si>
  <si>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</si>
  <si>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</si>
  <si>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</si>
  <si>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</si>
  <si>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</si>
  <si>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</si>
  <si>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</si>
  <si>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</si>
  <si>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</si>
  <si>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</si>
  <si>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</si>
  <si>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</si>
  <si>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</si>
  <si>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</si>
  <si>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</si>
  <si>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</si>
  <si>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</si>
  <si>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</si>
  <si>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</si>
  <si>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</si>
  <si>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</si>
  <si>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</si>
  <si>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</si>
  <si>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</si>
  <si>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</si>
  <si>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</si>
  <si>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</si>
  <si>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</si>
  <si>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</si>
  <si>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</si>
  <si>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</si>
  <si>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</si>
  <si>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41002</t>
  </si>
  <si>
    <t>AALST</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</si>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</sst>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11D616C-405C-44CA-88EE-78D0F35C198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725150.59956642787</c:v>
                </c:pt>
                <c:pt idx="1">
                  <c:v>324804.68147524376</c:v>
                </c:pt>
                <c:pt idx="2">
                  <c:v>4239.7610000000004</c:v>
                </c:pt>
                <c:pt idx="3">
                  <c:v>9560.5286273003221</c:v>
                </c:pt>
                <c:pt idx="4">
                  <c:v>268968.698002333</c:v>
                </c:pt>
                <c:pt idx="5">
                  <c:v>646512.07009403605</c:v>
                </c:pt>
                <c:pt idx="6">
                  <c:v>11280.658766165136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725150.59956642787</c:v>
                </c:pt>
                <c:pt idx="1">
                  <c:v>324804.68147524376</c:v>
                </c:pt>
                <c:pt idx="2">
                  <c:v>4239.7610000000004</c:v>
                </c:pt>
                <c:pt idx="3">
                  <c:v>9560.5286273003221</c:v>
                </c:pt>
                <c:pt idx="4">
                  <c:v>268968.698002333</c:v>
                </c:pt>
                <c:pt idx="5">
                  <c:v>646512.07009403605</c:v>
                </c:pt>
                <c:pt idx="6">
                  <c:v>11280.658766165136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149887.12596172091</c:v>
                </c:pt>
                <c:pt idx="2">
                  <c:v>66824.523765674327</c:v>
                </c:pt>
                <c:pt idx="3">
                  <c:v>881.28218525718546</c:v>
                </c:pt>
                <c:pt idx="4">
                  <c:v>2420.5627033155647</c:v>
                </c:pt>
                <c:pt idx="5">
                  <c:v>55758.592671800528</c:v>
                </c:pt>
                <c:pt idx="6">
                  <c:v>165581.27582011081</c:v>
                </c:pt>
                <c:pt idx="7">
                  <c:v>2917.6455882858363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149887.12596172091</c:v>
                </c:pt>
                <c:pt idx="2">
                  <c:v>66824.523765674327</c:v>
                </c:pt>
                <c:pt idx="3">
                  <c:v>881.28218525718546</c:v>
                </c:pt>
                <c:pt idx="4">
                  <c:v>2420.5627033155647</c:v>
                </c:pt>
                <c:pt idx="5">
                  <c:v>55758.592671800528</c:v>
                </c:pt>
                <c:pt idx="6">
                  <c:v>165581.27582011081</c:v>
                </c:pt>
                <c:pt idx="7">
                  <c:v>2917.6455882858363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41002</v>
      </c>
      <c r="B6" s="380"/>
      <c r="C6" s="381"/>
    </row>
    <row r="7" spans="1:7" s="378" customFormat="1" ht="15.75" customHeight="1">
      <c r="A7" s="382" t="str">
        <f>txtMunicipality</f>
        <v>AALST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0.20786128870405321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0.20786128870405321</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37193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2561.6999999999998</v>
      </c>
      <c r="C14" s="322"/>
      <c r="D14" s="322"/>
      <c r="E14" s="322"/>
      <c r="F14" s="322"/>
    </row>
    <row r="15" spans="1:6">
      <c r="A15" s="1248" t="s">
        <v>177</v>
      </c>
      <c r="B15" s="1249">
        <v>11</v>
      </c>
      <c r="C15" s="322"/>
      <c r="D15" s="322"/>
      <c r="E15" s="322"/>
      <c r="F15" s="322"/>
    </row>
    <row r="16" spans="1:6">
      <c r="A16" s="1248" t="s">
        <v>6</v>
      </c>
      <c r="B16" s="1249">
        <v>527</v>
      </c>
      <c r="C16" s="322"/>
      <c r="D16" s="322"/>
      <c r="E16" s="322"/>
      <c r="F16" s="322"/>
    </row>
    <row r="17" spans="1:6">
      <c r="A17" s="1248" t="s">
        <v>7</v>
      </c>
      <c r="B17" s="1249">
        <v>285</v>
      </c>
      <c r="C17" s="322"/>
      <c r="D17" s="322"/>
      <c r="E17" s="322"/>
      <c r="F17" s="322"/>
    </row>
    <row r="18" spans="1:6">
      <c r="A18" s="1248" t="s">
        <v>8</v>
      </c>
      <c r="B18" s="1249">
        <v>500</v>
      </c>
      <c r="C18" s="322"/>
      <c r="D18" s="322"/>
      <c r="E18" s="322"/>
      <c r="F18" s="322"/>
    </row>
    <row r="19" spans="1:6">
      <c r="A19" s="1248" t="s">
        <v>9</v>
      </c>
      <c r="B19" s="1249">
        <v>417</v>
      </c>
      <c r="C19" s="322"/>
      <c r="D19" s="322"/>
      <c r="E19" s="322"/>
      <c r="F19" s="322"/>
    </row>
    <row r="20" spans="1:6">
      <c r="A20" s="1248" t="s">
        <v>10</v>
      </c>
      <c r="B20" s="1249">
        <v>271</v>
      </c>
      <c r="C20" s="322"/>
      <c r="D20" s="322"/>
      <c r="E20" s="322"/>
      <c r="F20" s="322"/>
    </row>
    <row r="21" spans="1:6">
      <c r="A21" s="1248" t="s">
        <v>11</v>
      </c>
      <c r="B21" s="1249">
        <v>1192</v>
      </c>
      <c r="C21" s="322"/>
      <c r="D21" s="322"/>
      <c r="E21" s="322"/>
      <c r="F21" s="322"/>
    </row>
    <row r="22" spans="1:6">
      <c r="A22" s="1248" t="s">
        <v>12</v>
      </c>
      <c r="B22" s="1249">
        <v>2809</v>
      </c>
      <c r="C22" s="322"/>
      <c r="D22" s="322"/>
      <c r="E22" s="322"/>
      <c r="F22" s="322"/>
    </row>
    <row r="23" spans="1:6">
      <c r="A23" s="1248" t="s">
        <v>13</v>
      </c>
      <c r="B23" s="1249">
        <v>51</v>
      </c>
      <c r="C23" s="322"/>
      <c r="D23" s="322"/>
      <c r="E23" s="322"/>
      <c r="F23" s="322"/>
    </row>
    <row r="24" spans="1:6">
      <c r="A24" s="1248" t="s">
        <v>14</v>
      </c>
      <c r="B24" s="1249">
        <v>1</v>
      </c>
      <c r="C24" s="322"/>
      <c r="D24" s="322"/>
      <c r="E24" s="322"/>
      <c r="F24" s="322"/>
    </row>
    <row r="25" spans="1:6">
      <c r="A25" s="1248" t="s">
        <v>15</v>
      </c>
      <c r="B25" s="1249">
        <v>213</v>
      </c>
      <c r="C25" s="322"/>
      <c r="D25" s="322"/>
      <c r="E25" s="322"/>
      <c r="F25" s="322"/>
    </row>
    <row r="26" spans="1:6">
      <c r="A26" s="1248" t="s">
        <v>16</v>
      </c>
      <c r="B26" s="1249">
        <v>177</v>
      </c>
      <c r="C26" s="322"/>
      <c r="D26" s="322"/>
      <c r="E26" s="322"/>
      <c r="F26" s="322"/>
    </row>
    <row r="27" spans="1:6">
      <c r="A27" s="1248" t="s">
        <v>17</v>
      </c>
      <c r="B27" s="1249">
        <v>24</v>
      </c>
      <c r="C27" s="322"/>
      <c r="D27" s="322"/>
      <c r="E27" s="322"/>
      <c r="F27" s="322"/>
    </row>
    <row r="28" spans="1:6">
      <c r="A28" s="1248" t="s">
        <v>18</v>
      </c>
      <c r="B28" s="1250">
        <v>91395</v>
      </c>
      <c r="C28" s="322"/>
      <c r="D28" s="322"/>
      <c r="E28" s="322"/>
      <c r="F28" s="322"/>
    </row>
    <row r="29" spans="1:6">
      <c r="A29" s="1248" t="s">
        <v>884</v>
      </c>
      <c r="B29" s="1250">
        <v>241</v>
      </c>
      <c r="C29" s="322"/>
      <c r="D29" s="322"/>
      <c r="E29" s="322"/>
      <c r="F29" s="322"/>
    </row>
    <row r="30" spans="1:6">
      <c r="A30" s="1243" t="s">
        <v>885</v>
      </c>
      <c r="B30" s="1251">
        <v>44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14</v>
      </c>
      <c r="D36" s="1249">
        <v>3233274.2431000001</v>
      </c>
      <c r="E36" s="1249">
        <v>12</v>
      </c>
      <c r="F36" s="1249">
        <v>1708991.7346000001</v>
      </c>
    </row>
    <row r="37" spans="1:6">
      <c r="A37" s="1248" t="s">
        <v>24</v>
      </c>
      <c r="B37" s="1248" t="s">
        <v>27</v>
      </c>
      <c r="C37" s="1249">
        <v>0</v>
      </c>
      <c r="D37" s="1249">
        <v>0</v>
      </c>
      <c r="E37" s="1249">
        <v>0</v>
      </c>
      <c r="F37" s="1249">
        <v>0</v>
      </c>
    </row>
    <row r="38" spans="1:6">
      <c r="A38" s="1248" t="s">
        <v>24</v>
      </c>
      <c r="B38" s="1248" t="s">
        <v>28</v>
      </c>
      <c r="C38" s="1249">
        <v>2</v>
      </c>
      <c r="D38" s="1249">
        <v>441059.53425000003</v>
      </c>
      <c r="E38" s="1249">
        <v>6</v>
      </c>
      <c r="F38" s="1249">
        <v>32293.239082</v>
      </c>
    </row>
    <row r="39" spans="1:6">
      <c r="A39" s="1248" t="s">
        <v>29</v>
      </c>
      <c r="B39" s="1248" t="s">
        <v>30</v>
      </c>
      <c r="C39" s="1249">
        <v>25313</v>
      </c>
      <c r="D39" s="1249">
        <v>370152531.25999999</v>
      </c>
      <c r="E39" s="1249">
        <v>37152</v>
      </c>
      <c r="F39" s="1249">
        <v>131590435.65000001</v>
      </c>
    </row>
    <row r="40" spans="1:6">
      <c r="A40" s="1248" t="s">
        <v>29</v>
      </c>
      <c r="B40" s="1248" t="s">
        <v>28</v>
      </c>
      <c r="C40" s="1249">
        <v>1</v>
      </c>
      <c r="D40" s="1249">
        <v>35864.912003999998</v>
      </c>
      <c r="E40" s="1249">
        <v>1</v>
      </c>
      <c r="F40" s="1249">
        <v>5592</v>
      </c>
    </row>
    <row r="41" spans="1:6">
      <c r="A41" s="1248" t="s">
        <v>31</v>
      </c>
      <c r="B41" s="1248" t="s">
        <v>32</v>
      </c>
      <c r="C41" s="1249">
        <v>256</v>
      </c>
      <c r="D41" s="1249">
        <v>11950530.405999999</v>
      </c>
      <c r="E41" s="1249">
        <v>611</v>
      </c>
      <c r="F41" s="1249">
        <v>21087605.686999999</v>
      </c>
    </row>
    <row r="42" spans="1:6">
      <c r="A42" s="1248" t="s">
        <v>31</v>
      </c>
      <c r="B42" s="1248" t="s">
        <v>33</v>
      </c>
      <c r="C42" s="1249">
        <v>0</v>
      </c>
      <c r="D42" s="1249">
        <v>0</v>
      </c>
      <c r="E42" s="1249">
        <v>0</v>
      </c>
      <c r="F42" s="1249">
        <v>0</v>
      </c>
    </row>
    <row r="43" spans="1:6">
      <c r="A43" s="1248" t="s">
        <v>31</v>
      </c>
      <c r="B43" s="1248" t="s">
        <v>34</v>
      </c>
      <c r="C43" s="1249">
        <v>0</v>
      </c>
      <c r="D43" s="1249">
        <v>0</v>
      </c>
      <c r="E43" s="1249">
        <v>3</v>
      </c>
      <c r="F43" s="1249">
        <v>39928.29178</v>
      </c>
    </row>
    <row r="44" spans="1:6">
      <c r="A44" s="1248" t="s">
        <v>31</v>
      </c>
      <c r="B44" s="1248" t="s">
        <v>35</v>
      </c>
      <c r="C44" s="1249">
        <v>6</v>
      </c>
      <c r="D44" s="1249">
        <v>3168091.6721999999</v>
      </c>
      <c r="E44" s="1249">
        <v>45</v>
      </c>
      <c r="F44" s="1249">
        <v>9895492.1327999998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14</v>
      </c>
      <c r="D47" s="1249">
        <v>149562.82500000001</v>
      </c>
      <c r="E47" s="1249">
        <v>15</v>
      </c>
      <c r="F47" s="1249">
        <v>89258.707706000001</v>
      </c>
    </row>
    <row r="48" spans="1:6">
      <c r="A48" s="1248" t="s">
        <v>31</v>
      </c>
      <c r="B48" s="1248" t="s">
        <v>28</v>
      </c>
      <c r="C48" s="1249">
        <v>111</v>
      </c>
      <c r="D48" s="1249">
        <v>114128708.48</v>
      </c>
      <c r="E48" s="1249">
        <v>139</v>
      </c>
      <c r="F48" s="1249">
        <v>52518408.678999998</v>
      </c>
    </row>
    <row r="49" spans="1:6">
      <c r="A49" s="1248" t="s">
        <v>31</v>
      </c>
      <c r="B49" s="1248" t="s">
        <v>39</v>
      </c>
      <c r="C49" s="1249">
        <v>4</v>
      </c>
      <c r="D49" s="1249">
        <v>53041.759083999998</v>
      </c>
      <c r="E49" s="1249">
        <v>7</v>
      </c>
      <c r="F49" s="1249">
        <v>63398.230972999998</v>
      </c>
    </row>
    <row r="50" spans="1:6">
      <c r="A50" s="1248" t="s">
        <v>31</v>
      </c>
      <c r="B50" s="1248" t="s">
        <v>40</v>
      </c>
      <c r="C50" s="1249">
        <v>38</v>
      </c>
      <c r="D50" s="1249">
        <v>5682369.3299000002</v>
      </c>
      <c r="E50" s="1249">
        <v>66</v>
      </c>
      <c r="F50" s="1249">
        <v>9410933.9206000008</v>
      </c>
    </row>
    <row r="51" spans="1:6">
      <c r="A51" s="1248" t="s">
        <v>41</v>
      </c>
      <c r="B51" s="1248" t="s">
        <v>42</v>
      </c>
      <c r="C51" s="1249">
        <v>17</v>
      </c>
      <c r="D51" s="1249">
        <v>513375.87462999998</v>
      </c>
      <c r="E51" s="1249">
        <v>122</v>
      </c>
      <c r="F51" s="1249">
        <v>1170479.2116</v>
      </c>
    </row>
    <row r="52" spans="1:6">
      <c r="A52" s="1248" t="s">
        <v>41</v>
      </c>
      <c r="B52" s="1248" t="s">
        <v>28</v>
      </c>
      <c r="C52" s="1249">
        <v>17</v>
      </c>
      <c r="D52" s="1249">
        <v>566884.78908999998</v>
      </c>
      <c r="E52" s="1249">
        <v>20</v>
      </c>
      <c r="F52" s="1249">
        <v>580374.70297999994</v>
      </c>
    </row>
    <row r="53" spans="1:6">
      <c r="A53" s="1248" t="s">
        <v>43</v>
      </c>
      <c r="B53" s="1248" t="s">
        <v>44</v>
      </c>
      <c r="C53" s="1249">
        <v>748</v>
      </c>
      <c r="D53" s="1249">
        <v>19996482.581</v>
      </c>
      <c r="E53" s="1249">
        <v>1485</v>
      </c>
      <c r="F53" s="1249">
        <v>6215035.7094999999</v>
      </c>
    </row>
    <row r="54" spans="1:6">
      <c r="A54" s="1248" t="s">
        <v>45</v>
      </c>
      <c r="B54" s="1248" t="s">
        <v>46</v>
      </c>
      <c r="C54" s="1249">
        <v>0</v>
      </c>
      <c r="D54" s="1249">
        <v>0</v>
      </c>
      <c r="E54" s="1249">
        <v>1</v>
      </c>
      <c r="F54" s="1249">
        <v>4239761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271</v>
      </c>
      <c r="D57" s="1249">
        <v>14078689.550000001</v>
      </c>
      <c r="E57" s="1249">
        <v>411</v>
      </c>
      <c r="F57" s="1249">
        <v>10608825.579</v>
      </c>
    </row>
    <row r="58" spans="1:6">
      <c r="A58" s="1248" t="s">
        <v>48</v>
      </c>
      <c r="B58" s="1248" t="s">
        <v>50</v>
      </c>
      <c r="C58" s="1249">
        <v>153</v>
      </c>
      <c r="D58" s="1249">
        <v>24549926.960000001</v>
      </c>
      <c r="E58" s="1249">
        <v>218</v>
      </c>
      <c r="F58" s="1249">
        <v>16406092.145</v>
      </c>
    </row>
    <row r="59" spans="1:6">
      <c r="A59" s="1248" t="s">
        <v>48</v>
      </c>
      <c r="B59" s="1248" t="s">
        <v>51</v>
      </c>
      <c r="C59" s="1249">
        <v>755</v>
      </c>
      <c r="D59" s="1249">
        <v>44132693.012000002</v>
      </c>
      <c r="E59" s="1249">
        <v>1516</v>
      </c>
      <c r="F59" s="1249">
        <v>41964588.583999999</v>
      </c>
    </row>
    <row r="60" spans="1:6">
      <c r="A60" s="1248" t="s">
        <v>48</v>
      </c>
      <c r="B60" s="1248" t="s">
        <v>52</v>
      </c>
      <c r="C60" s="1249">
        <v>358</v>
      </c>
      <c r="D60" s="1249">
        <v>21903528.432</v>
      </c>
      <c r="E60" s="1249">
        <v>426</v>
      </c>
      <c r="F60" s="1249">
        <v>10077467.288000001</v>
      </c>
    </row>
    <row r="61" spans="1:6">
      <c r="A61" s="1248" t="s">
        <v>48</v>
      </c>
      <c r="B61" s="1248" t="s">
        <v>53</v>
      </c>
      <c r="C61" s="1249">
        <v>770</v>
      </c>
      <c r="D61" s="1249">
        <v>36240580.636</v>
      </c>
      <c r="E61" s="1249">
        <v>1711</v>
      </c>
      <c r="F61" s="1249">
        <v>22524839.467</v>
      </c>
    </row>
    <row r="62" spans="1:6">
      <c r="A62" s="1248" t="s">
        <v>48</v>
      </c>
      <c r="B62" s="1248" t="s">
        <v>54</v>
      </c>
      <c r="C62" s="1249">
        <v>56</v>
      </c>
      <c r="D62" s="1249">
        <v>9046678.7480999995</v>
      </c>
      <c r="E62" s="1249">
        <v>79</v>
      </c>
      <c r="F62" s="1249">
        <v>4022851.6952</v>
      </c>
    </row>
    <row r="63" spans="1:6">
      <c r="A63" s="1248" t="s">
        <v>48</v>
      </c>
      <c r="B63" s="1248" t="s">
        <v>28</v>
      </c>
      <c r="C63" s="1249">
        <v>315</v>
      </c>
      <c r="D63" s="1249">
        <v>33944584.082000002</v>
      </c>
      <c r="E63" s="1249">
        <v>337</v>
      </c>
      <c r="F63" s="1249">
        <v>19395266.480999999</v>
      </c>
    </row>
    <row r="64" spans="1:6">
      <c r="A64" s="1248" t="s">
        <v>55</v>
      </c>
      <c r="B64" s="1248" t="s">
        <v>56</v>
      </c>
      <c r="C64" s="1249">
        <v>0</v>
      </c>
      <c r="D64" s="1249">
        <v>0</v>
      </c>
      <c r="E64" s="1249">
        <v>0</v>
      </c>
      <c r="F64" s="1249">
        <v>0</v>
      </c>
    </row>
    <row r="65" spans="1:6">
      <c r="A65" s="1248" t="s">
        <v>55</v>
      </c>
      <c r="B65" s="1248" t="s">
        <v>28</v>
      </c>
      <c r="C65" s="1249">
        <v>8</v>
      </c>
      <c r="D65" s="1249">
        <v>231901.59281999999</v>
      </c>
      <c r="E65" s="1249">
        <v>6</v>
      </c>
      <c r="F65" s="1249">
        <v>163233.10496999999</v>
      </c>
    </row>
    <row r="66" spans="1:6">
      <c r="A66" s="1248" t="s">
        <v>55</v>
      </c>
      <c r="B66" s="1248" t="s">
        <v>57</v>
      </c>
      <c r="C66" s="1249">
        <v>0</v>
      </c>
      <c r="D66" s="1249">
        <v>0</v>
      </c>
      <c r="E66" s="1249">
        <v>33</v>
      </c>
      <c r="F66" s="1249">
        <v>1277955.9147000001</v>
      </c>
    </row>
    <row r="67" spans="1:6">
      <c r="A67" s="1248" t="s">
        <v>55</v>
      </c>
      <c r="B67" s="1248" t="s">
        <v>58</v>
      </c>
      <c r="C67" s="1249">
        <v>0</v>
      </c>
      <c r="D67" s="1249">
        <v>0</v>
      </c>
      <c r="E67" s="1249">
        <v>0</v>
      </c>
      <c r="F67" s="1249">
        <v>0</v>
      </c>
    </row>
    <row r="68" spans="1:6">
      <c r="A68" s="1243" t="s">
        <v>55</v>
      </c>
      <c r="B68" s="1243" t="s">
        <v>59</v>
      </c>
      <c r="C68" s="1251">
        <v>7</v>
      </c>
      <c r="D68" s="1251">
        <v>320321.75553999998</v>
      </c>
      <c r="E68" s="1251">
        <v>31</v>
      </c>
      <c r="F68" s="1251">
        <v>636884.41466000001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210761271</v>
      </c>
      <c r="E73" s="439"/>
      <c r="F73" s="322"/>
    </row>
    <row r="74" spans="1:6">
      <c r="A74" s="1248" t="s">
        <v>63</v>
      </c>
      <c r="B74" s="1248" t="s">
        <v>626</v>
      </c>
      <c r="C74" s="1261" t="s">
        <v>628</v>
      </c>
      <c r="D74" s="1249">
        <v>22246005.851340838</v>
      </c>
      <c r="E74" s="439"/>
      <c r="F74" s="322"/>
    </row>
    <row r="75" spans="1:6">
      <c r="A75" s="1248" t="s">
        <v>64</v>
      </c>
      <c r="B75" s="1248" t="s">
        <v>625</v>
      </c>
      <c r="C75" s="1261" t="s">
        <v>629</v>
      </c>
      <c r="D75" s="1249">
        <v>148424175</v>
      </c>
      <c r="E75" s="439"/>
      <c r="F75" s="322"/>
    </row>
    <row r="76" spans="1:6">
      <c r="A76" s="1248" t="s">
        <v>64</v>
      </c>
      <c r="B76" s="1248" t="s">
        <v>626</v>
      </c>
      <c r="C76" s="1261" t="s">
        <v>630</v>
      </c>
      <c r="D76" s="1249">
        <v>11092566.851340838</v>
      </c>
      <c r="E76" s="439"/>
      <c r="F76" s="322"/>
    </row>
    <row r="77" spans="1:6">
      <c r="A77" s="1248" t="s">
        <v>65</v>
      </c>
      <c r="B77" s="1248" t="s">
        <v>625</v>
      </c>
      <c r="C77" s="1261" t="s">
        <v>631</v>
      </c>
      <c r="D77" s="1249">
        <v>281493669</v>
      </c>
      <c r="E77" s="439"/>
      <c r="F77" s="322"/>
    </row>
    <row r="78" spans="1:6">
      <c r="A78" s="1243" t="s">
        <v>65</v>
      </c>
      <c r="B78" s="1243" t="s">
        <v>626</v>
      </c>
      <c r="C78" s="1243" t="s">
        <v>632</v>
      </c>
      <c r="D78" s="1251">
        <v>34795597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3051026.2973183226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11958.176963769298</v>
      </c>
      <c r="C91" s="322"/>
      <c r="D91" s="322"/>
      <c r="E91" s="322"/>
      <c r="F91" s="322"/>
    </row>
    <row r="92" spans="1:6">
      <c r="A92" s="1243" t="s">
        <v>68</v>
      </c>
      <c r="B92" s="1244">
        <v>10378.989344234817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15443</v>
      </c>
      <c r="C97" s="322"/>
      <c r="D97" s="322"/>
      <c r="E97" s="322"/>
      <c r="F97" s="322"/>
    </row>
    <row r="98" spans="1:6">
      <c r="A98" s="1248" t="s">
        <v>71</v>
      </c>
      <c r="B98" s="1249">
        <v>386</v>
      </c>
      <c r="C98" s="322"/>
      <c r="D98" s="322"/>
      <c r="E98" s="322"/>
      <c r="F98" s="322"/>
    </row>
    <row r="99" spans="1:6">
      <c r="A99" s="1248" t="s">
        <v>72</v>
      </c>
      <c r="B99" s="1249">
        <v>323</v>
      </c>
      <c r="C99" s="322"/>
      <c r="D99" s="322"/>
      <c r="E99" s="322"/>
      <c r="F99" s="322"/>
    </row>
    <row r="100" spans="1:6">
      <c r="A100" s="1248" t="s">
        <v>73</v>
      </c>
      <c r="B100" s="1249">
        <v>2629</v>
      </c>
      <c r="C100" s="322"/>
      <c r="D100" s="322"/>
      <c r="E100" s="322"/>
      <c r="F100" s="322"/>
    </row>
    <row r="101" spans="1:6">
      <c r="A101" s="1248" t="s">
        <v>74</v>
      </c>
      <c r="B101" s="1249">
        <v>231</v>
      </c>
      <c r="C101" s="322"/>
      <c r="D101" s="322"/>
      <c r="E101" s="322"/>
      <c r="F101" s="322"/>
    </row>
    <row r="102" spans="1:6">
      <c r="A102" s="1248" t="s">
        <v>75</v>
      </c>
      <c r="B102" s="1249">
        <v>1339</v>
      </c>
      <c r="C102" s="322"/>
      <c r="D102" s="322"/>
      <c r="E102" s="322"/>
      <c r="F102" s="322"/>
    </row>
    <row r="103" spans="1:6">
      <c r="A103" s="1248" t="s">
        <v>76</v>
      </c>
      <c r="B103" s="1249">
        <v>1079</v>
      </c>
      <c r="C103" s="322"/>
      <c r="D103" s="322"/>
      <c r="E103" s="322"/>
      <c r="F103" s="322"/>
    </row>
    <row r="104" spans="1:6">
      <c r="A104" s="1248" t="s">
        <v>77</v>
      </c>
      <c r="B104" s="1249">
        <v>10625</v>
      </c>
      <c r="C104" s="322"/>
      <c r="D104" s="322"/>
      <c r="E104" s="322"/>
      <c r="F104" s="322"/>
    </row>
    <row r="105" spans="1:6">
      <c r="A105" s="1243" t="s">
        <v>78</v>
      </c>
      <c r="B105" s="1251">
        <v>174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54</v>
      </c>
      <c r="C123" s="1249">
        <v>66</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365</v>
      </c>
      <c r="C129" s="322"/>
      <c r="D129" s="322"/>
      <c r="E129" s="322"/>
      <c r="F129" s="322"/>
    </row>
    <row r="130" spans="1:6">
      <c r="A130" s="1248" t="s">
        <v>284</v>
      </c>
      <c r="B130" s="1249">
        <v>7</v>
      </c>
      <c r="C130" s="322"/>
      <c r="D130" s="322"/>
      <c r="E130" s="322"/>
      <c r="F130" s="322"/>
    </row>
    <row r="131" spans="1:6">
      <c r="A131" s="1248" t="s">
        <v>285</v>
      </c>
      <c r="B131" s="1249">
        <v>7</v>
      </c>
      <c r="C131" s="322"/>
      <c r="D131" s="322"/>
      <c r="E131" s="322"/>
      <c r="F131" s="322"/>
    </row>
    <row r="132" spans="1:6">
      <c r="A132" s="1243" t="s">
        <v>286</v>
      </c>
      <c r="B132" s="1244">
        <v>58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374814.84634331695</v>
      </c>
      <c r="C3" s="43" t="s">
        <v>163</v>
      </c>
      <c r="D3" s="43"/>
      <c r="E3" s="153"/>
      <c r="F3" s="43"/>
      <c r="G3" s="43"/>
      <c r="H3" s="43"/>
      <c r="I3" s="43"/>
      <c r="J3" s="43"/>
      <c r="K3" s="96"/>
    </row>
    <row r="4" spans="1:11">
      <c r="A4" s="348" t="s">
        <v>164</v>
      </c>
      <c r="B4" s="49">
        <f>IF(ISERROR('SEAP template'!B78+'SEAP template'!C78),0,'SEAP template'!B78+'SEAP template'!C78)</f>
        <v>23053.791308004114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170.30382352941177</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0.20786128870405321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243.29117647058825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1023.75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4239.7610000000004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4239.7610000000004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0.20786128870405321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881.28218525718546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131596.02765</v>
      </c>
      <c r="C5" s="17">
        <f>IF(ISERROR('Eigen informatie GS &amp; warmtenet'!B57),0,'Eigen informatie GS &amp; warmtenet'!B57)</f>
        <v>0</v>
      </c>
      <c r="D5" s="30">
        <f>(SUM(HH_hh_gas_kWh,HH_rest_gas_kWh)/1000)*0.902</f>
        <v>333909.9333471476</v>
      </c>
      <c r="E5" s="17">
        <f>B32*B41</f>
        <v>6863.2628947396315</v>
      </c>
      <c r="F5" s="17">
        <f>B36*B45</f>
        <v>186598.53316001981</v>
      </c>
      <c r="G5" s="18"/>
      <c r="H5" s="17"/>
      <c r="I5" s="17"/>
      <c r="J5" s="17">
        <f>B35*B44+C35*C44</f>
        <v>3441.2102397245544</v>
      </c>
      <c r="K5" s="17"/>
      <c r="L5" s="17"/>
      <c r="M5" s="17"/>
      <c r="N5" s="17">
        <f>B34*B43+C34*C43</f>
        <v>47955.125311026888</v>
      </c>
      <c r="O5" s="17">
        <f>B52*B53*B54</f>
        <v>673.79666666666674</v>
      </c>
      <c r="P5" s="17">
        <f>B60*B61*B62/1000-B60*B61*B62/1000/B63</f>
        <v>2154.5333333333333</v>
      </c>
    </row>
    <row r="6" spans="1:16">
      <c r="A6" s="16" t="s">
        <v>586</v>
      </c>
      <c r="B6" s="716">
        <f>kWh_PV_kleiner_dan_10kW</f>
        <v>11958.176963769298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143554.20461376931</v>
      </c>
      <c r="C8" s="21">
        <f>C5</f>
        <v>0</v>
      </c>
      <c r="D8" s="21">
        <f>D5</f>
        <v>333909.9333471476</v>
      </c>
      <c r="E8" s="21">
        <f>E5</f>
        <v>6863.2628947396315</v>
      </c>
      <c r="F8" s="21">
        <f>F5</f>
        <v>186598.53316001981</v>
      </c>
      <c r="G8" s="21"/>
      <c r="H8" s="21"/>
      <c r="I8" s="21"/>
      <c r="J8" s="21">
        <f>J5</f>
        <v>3441.2102397245544</v>
      </c>
      <c r="K8" s="21"/>
      <c r="L8" s="21">
        <f>L5</f>
        <v>0</v>
      </c>
      <c r="M8" s="21">
        <f>M5</f>
        <v>0</v>
      </c>
      <c r="N8" s="21">
        <f>N5</f>
        <v>47955.125311026888</v>
      </c>
      <c r="O8" s="21">
        <f>O5</f>
        <v>673.79666666666674</v>
      </c>
      <c r="P8" s="21">
        <f>P5</f>
        <v>2154.5333333333333</v>
      </c>
    </row>
    <row r="9" spans="1:16">
      <c r="B9" s="19"/>
      <c r="C9" s="19"/>
      <c r="D9" s="253"/>
      <c r="E9" s="19"/>
      <c r="F9" s="19"/>
      <c r="G9" s="19"/>
      <c r="H9" s="19"/>
      <c r="I9" s="19"/>
      <c r="J9" s="19"/>
      <c r="K9" s="19"/>
      <c r="L9" s="19"/>
      <c r="M9" s="19"/>
      <c r="N9" s="19"/>
      <c r="O9" s="19"/>
      <c r="P9" s="19"/>
    </row>
    <row r="10" spans="1:16">
      <c r="A10" s="24" t="s">
        <v>207</v>
      </c>
      <c r="B10" s="25">
        <f ca="1">'EF ele_warmte'!B12</f>
        <v>0.20786128870405321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29839.361969903432</v>
      </c>
      <c r="C12" s="23">
        <f ca="1">C10*C8</f>
        <v>0</v>
      </c>
      <c r="D12" s="23">
        <f>D8*D10</f>
        <v>67449.806536123826</v>
      </c>
      <c r="E12" s="23">
        <f>E10*E8</f>
        <v>1557.9606771058964</v>
      </c>
      <c r="F12" s="23">
        <f>F10*F8</f>
        <v>49821.80835372529</v>
      </c>
      <c r="G12" s="23"/>
      <c r="H12" s="23"/>
      <c r="I12" s="23"/>
      <c r="J12" s="23">
        <f>J10*J8</f>
        <v>1218.1884248624922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37193</v>
      </c>
      <c r="C26" s="36"/>
      <c r="D26" s="224"/>
    </row>
    <row r="27" spans="1:5" s="15" customFormat="1">
      <c r="A27" s="226" t="s">
        <v>655</v>
      </c>
      <c r="B27" s="37">
        <f>SUM(HH_hh_gas_aantal,HH_rest_gas_aantal)</f>
        <v>25314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24048.3</v>
      </c>
      <c r="C31" s="34" t="s">
        <v>104</v>
      </c>
      <c r="D31" s="170"/>
    </row>
    <row r="32" spans="1:5">
      <c r="A32" s="167" t="s">
        <v>72</v>
      </c>
      <c r="B32" s="33">
        <f>IF((B21*($B$26-($B$27-0.05*$B$27)-$B$60))&lt;0,0,B21*($B$26-($B$27-0.05*$B$27)-$B$60))</f>
        <v>84.099122436093566</v>
      </c>
      <c r="C32" s="34" t="s">
        <v>104</v>
      </c>
      <c r="D32" s="170"/>
    </row>
    <row r="33" spans="1:6">
      <c r="A33" s="167" t="s">
        <v>73</v>
      </c>
      <c r="B33" s="33">
        <f>IF((B22*($B$26-($B$27-0.05*$B$27)-$B$60))&lt;0,0,B22*($B$26-($B$27-0.05*$B$27)-$B$60))</f>
        <v>2928.6369513263521</v>
      </c>
      <c r="C33" s="34" t="s">
        <v>104</v>
      </c>
      <c r="D33" s="170"/>
    </row>
    <row r="34" spans="1:6">
      <c r="A34" s="167" t="s">
        <v>74</v>
      </c>
      <c r="B34" s="33">
        <f>IF((B24*($B$26-($B$27-0.05*$B$27)-$B$60))&lt;0,0,B24*($B$26-($B$27-0.05*$B$27)-$B$60))</f>
        <v>581.56728599101564</v>
      </c>
      <c r="C34" s="33">
        <f>B26*C24</f>
        <v>7612.0064264475623</v>
      </c>
      <c r="D34" s="229"/>
    </row>
    <row r="35" spans="1:6">
      <c r="A35" s="167" t="s">
        <v>76</v>
      </c>
      <c r="B35" s="33">
        <f>IF((B19*($B$26-($B$27-0.05*$B$27)-$B$60))&lt;0,0,B19*($B$26-($B$27-0.05*$B$27)-$B$60))</f>
        <v>284.00860188466015</v>
      </c>
      <c r="C35" s="33">
        <f>B35/2</f>
        <v>142.00430094233008</v>
      </c>
      <c r="D35" s="229"/>
    </row>
    <row r="36" spans="1:6">
      <c r="A36" s="167" t="s">
        <v>77</v>
      </c>
      <c r="B36" s="33">
        <f>IF((B18*($B$26-($B$27-0.05*$B$27)-$B$60))&lt;0,0,B18*($B$26-($B$27-0.05*$B$27)-$B$60))</f>
        <v>9153.3880383618834</v>
      </c>
      <c r="C36" s="34" t="s">
        <v>104</v>
      </c>
      <c r="D36" s="170"/>
    </row>
    <row r="37" spans="1:6">
      <c r="A37" s="167" t="s">
        <v>78</v>
      </c>
      <c r="B37" s="33">
        <f>B60</f>
        <v>113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431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124999.9312392</v>
      </c>
      <c r="C5" s="17">
        <f>IF(ISERROR('Eigen informatie GS &amp; warmtenet'!B58),0,'Eigen informatie GS &amp; warmtenet'!B58)</f>
        <v>0</v>
      </c>
      <c r="D5" s="30">
        <f>SUM(D6:D12)</f>
        <v>165874.80664093021</v>
      </c>
      <c r="E5" s="17">
        <f>SUM(E6:E12)</f>
        <v>1953.6180741059156</v>
      </c>
      <c r="F5" s="17">
        <f>SUM(F6:F12)</f>
        <v>25891.30871457883</v>
      </c>
      <c r="G5" s="18"/>
      <c r="H5" s="17"/>
      <c r="I5" s="17"/>
      <c r="J5" s="17">
        <f>SUM(J6:J12)</f>
        <v>0.17097967668294831</v>
      </c>
      <c r="K5" s="17"/>
      <c r="L5" s="17"/>
      <c r="M5" s="17"/>
      <c r="N5" s="17">
        <f>SUM(N6:N12)</f>
        <v>6247.5608267520656</v>
      </c>
      <c r="O5" s="17">
        <f>B38*B39*B40</f>
        <v>10.943333333333335</v>
      </c>
      <c r="P5" s="17">
        <f>B46*B47*B48/1000-B46*B47*B48/1000/B49</f>
        <v>133.46666666666667</v>
      </c>
      <c r="R5" s="32"/>
    </row>
    <row r="6" spans="1:18">
      <c r="A6" s="32" t="s">
        <v>53</v>
      </c>
      <c r="B6" s="37">
        <f>B26</f>
        <v>22524.839467000002</v>
      </c>
      <c r="C6" s="33"/>
      <c r="D6" s="37">
        <f>IF(ISERROR(TER_kantoor_gas_kWh/1000),0,TER_kantoor_gas_kWh/1000)*0.902</f>
        <v>32689.003733672002</v>
      </c>
      <c r="E6" s="33">
        <f>$C$26*'E Balans VL '!I12/100/3.6*1000000</f>
        <v>1.2823764710344102E-17</v>
      </c>
      <c r="F6" s="33">
        <f>$C$26*('E Balans VL '!L12+'E Balans VL '!N12)/100/3.6*1000000</f>
        <v>3044.9871500817007</v>
      </c>
      <c r="G6" s="34"/>
      <c r="H6" s="33"/>
      <c r="I6" s="33"/>
      <c r="J6" s="33">
        <f>$C$26*('E Balans VL '!D12+'E Balans VL '!E12)/100/3.6*1000000</f>
        <v>0</v>
      </c>
      <c r="K6" s="33"/>
      <c r="L6" s="33"/>
      <c r="M6" s="33"/>
      <c r="N6" s="33">
        <f>$C$26*'E Balans VL '!Y12/100/3.6*1000000</f>
        <v>28.309146362211223</v>
      </c>
      <c r="O6" s="33"/>
      <c r="P6" s="33"/>
      <c r="R6" s="32"/>
    </row>
    <row r="7" spans="1:18">
      <c r="A7" s="32" t="s">
        <v>52</v>
      </c>
      <c r="B7" s="37">
        <f t="shared" ref="B7:B12" si="0">B27</f>
        <v>10077.467288</v>
      </c>
      <c r="C7" s="33"/>
      <c r="D7" s="37">
        <f>IF(ISERROR(TER_horeca_gas_kWh/1000),0,TER_horeca_gas_kWh/1000)*0.902</f>
        <v>19756.982645664</v>
      </c>
      <c r="E7" s="33">
        <f>$C$27*'E Balans VL '!I9/100/3.6*1000000</f>
        <v>128.70976298186787</v>
      </c>
      <c r="F7" s="33">
        <f>$C$27*('E Balans VL '!L9+'E Balans VL '!N9)/100/3.6*1000000</f>
        <v>1138.2046504003481</v>
      </c>
      <c r="G7" s="34"/>
      <c r="H7" s="33"/>
      <c r="I7" s="33"/>
      <c r="J7" s="33">
        <f>$C$27*('E Balans VL '!D9+'E Balans VL '!E9)/100/3.6*1000000</f>
        <v>0</v>
      </c>
      <c r="K7" s="33"/>
      <c r="L7" s="33"/>
      <c r="M7" s="33"/>
      <c r="N7" s="33">
        <f>$C$27*'E Balans VL '!Y9/100/3.6*1000000</f>
        <v>2.4015032311749649</v>
      </c>
      <c r="O7" s="33"/>
      <c r="P7" s="33"/>
      <c r="R7" s="32"/>
    </row>
    <row r="8" spans="1:18">
      <c r="A8" s="6" t="s">
        <v>51</v>
      </c>
      <c r="B8" s="37">
        <f t="shared" si="0"/>
        <v>41964.588583999997</v>
      </c>
      <c r="C8" s="33"/>
      <c r="D8" s="37">
        <f>IF(ISERROR(TER_handel_gas_kWh/1000),0,TER_handel_gas_kWh/1000)*0.902</f>
        <v>39807.689096824004</v>
      </c>
      <c r="E8" s="33">
        <f>$C$28*'E Balans VL '!I13/100/3.6*1000000</f>
        <v>1370.4953498449829</v>
      </c>
      <c r="F8" s="33">
        <f>$C$28*('E Balans VL '!L13+'E Balans VL '!N13)/100/3.6*1000000</f>
        <v>7265.8275442933418</v>
      </c>
      <c r="G8" s="34"/>
      <c r="H8" s="33"/>
      <c r="I8" s="33"/>
      <c r="J8" s="33">
        <f>$C$28*('E Balans VL '!D13+'E Balans VL '!E13)/100/3.6*1000000</f>
        <v>0</v>
      </c>
      <c r="K8" s="33"/>
      <c r="L8" s="33"/>
      <c r="M8" s="33"/>
      <c r="N8" s="33">
        <f>$C$28*'E Balans VL '!Y13/100/3.6*1000000</f>
        <v>49.391156673452073</v>
      </c>
      <c r="O8" s="33"/>
      <c r="P8" s="33"/>
      <c r="R8" s="32"/>
    </row>
    <row r="9" spans="1:18">
      <c r="A9" s="32" t="s">
        <v>50</v>
      </c>
      <c r="B9" s="37">
        <f t="shared" si="0"/>
        <v>16406.092144999999</v>
      </c>
      <c r="C9" s="33"/>
      <c r="D9" s="37">
        <f>IF(ISERROR(TER_gezond_gas_kWh/1000),0,TER_gezond_gas_kWh/1000)*0.902</f>
        <v>22144.03411792</v>
      </c>
      <c r="E9" s="33">
        <f>$C$29*'E Balans VL '!I10/100/3.6*1000000</f>
        <v>0.91615740871817197</v>
      </c>
      <c r="F9" s="33">
        <f>$C$29*('E Balans VL '!L10+'E Balans VL '!N10)/100/3.6*1000000</f>
        <v>2173.7461762390149</v>
      </c>
      <c r="G9" s="34"/>
      <c r="H9" s="33"/>
      <c r="I9" s="33"/>
      <c r="J9" s="33">
        <f>$C$29*('E Balans VL '!D10+'E Balans VL '!E10)/100/3.6*1000000</f>
        <v>0</v>
      </c>
      <c r="K9" s="33"/>
      <c r="L9" s="33"/>
      <c r="M9" s="33"/>
      <c r="N9" s="33">
        <f>$C$29*'E Balans VL '!Y10/100/3.6*1000000</f>
        <v>173.89354968912824</v>
      </c>
      <c r="O9" s="33"/>
      <c r="P9" s="33"/>
      <c r="R9" s="32"/>
    </row>
    <row r="10" spans="1:18">
      <c r="A10" s="32" t="s">
        <v>49</v>
      </c>
      <c r="B10" s="37">
        <f t="shared" si="0"/>
        <v>10608.825579</v>
      </c>
      <c r="C10" s="33"/>
      <c r="D10" s="37">
        <f>IF(ISERROR(TER_ander_gas_kWh/1000),0,TER_ander_gas_kWh/1000)*0.902</f>
        <v>12698.977974100002</v>
      </c>
      <c r="E10" s="33">
        <f>$C$30*'E Balans VL '!I14/100/3.6*1000000</f>
        <v>136.99627553071471</v>
      </c>
      <c r="F10" s="33">
        <f>$C$30*('E Balans VL '!L14+'E Balans VL '!N14)/100/3.6*1000000</f>
        <v>7002.5815791302875</v>
      </c>
      <c r="G10" s="34"/>
      <c r="H10" s="33"/>
      <c r="I10" s="33"/>
      <c r="J10" s="33">
        <f>$C$30*('E Balans VL '!D14+'E Balans VL '!E14)/100/3.6*1000000</f>
        <v>0.12851758706784985</v>
      </c>
      <c r="K10" s="33"/>
      <c r="L10" s="33"/>
      <c r="M10" s="33"/>
      <c r="N10" s="33">
        <f>$C$30*'E Balans VL '!Y14/100/3.6*1000000</f>
        <v>4473.6985521044753</v>
      </c>
      <c r="O10" s="33"/>
      <c r="P10" s="33"/>
      <c r="R10" s="32"/>
    </row>
    <row r="11" spans="1:18">
      <c r="A11" s="32" t="s">
        <v>54</v>
      </c>
      <c r="B11" s="37">
        <f t="shared" si="0"/>
        <v>4022.8516952</v>
      </c>
      <c r="C11" s="33"/>
      <c r="D11" s="37">
        <f>IF(ISERROR(TER_onderwijs_gas_kWh/1000),0,TER_onderwijs_gas_kWh/1000)*0.902</f>
        <v>8160.1042307861999</v>
      </c>
      <c r="E11" s="33">
        <f>$C$31*'E Balans VL '!I11/100/3.6*1000000</f>
        <v>54.137604092623889</v>
      </c>
      <c r="F11" s="33">
        <f>$C$31*('E Balans VL '!L11+'E Balans VL '!N11)/100/3.6*1000000</f>
        <v>628.68029800458692</v>
      </c>
      <c r="G11" s="34"/>
      <c r="H11" s="33"/>
      <c r="I11" s="33"/>
      <c r="J11" s="33">
        <f>$C$31*('E Balans VL '!D11+'E Balans VL '!E11)/100/3.6*1000000</f>
        <v>0</v>
      </c>
      <c r="K11" s="33"/>
      <c r="L11" s="33"/>
      <c r="M11" s="33"/>
      <c r="N11" s="33">
        <f>$C$31*'E Balans VL '!Y11/100/3.6*1000000</f>
        <v>9.2889551884355015</v>
      </c>
      <c r="O11" s="33"/>
      <c r="P11" s="33"/>
      <c r="R11" s="32"/>
    </row>
    <row r="12" spans="1:18">
      <c r="A12" s="32" t="s">
        <v>249</v>
      </c>
      <c r="B12" s="37">
        <f t="shared" si="0"/>
        <v>19395.266480999999</v>
      </c>
      <c r="C12" s="33"/>
      <c r="D12" s="37">
        <f>IF(ISERROR(TER_rest_gas_kWh/1000),0,TER_rest_gas_kWh/1000)*0.902</f>
        <v>30618.014841964003</v>
      </c>
      <c r="E12" s="33">
        <f>$C$32*'E Balans VL '!I8/100/3.6*1000000</f>
        <v>262.36292424700804</v>
      </c>
      <c r="F12" s="33">
        <f>$C$32*('E Balans VL '!L8+'E Balans VL '!N8)/100/3.6*1000000</f>
        <v>4637.2813164295458</v>
      </c>
      <c r="G12" s="34"/>
      <c r="H12" s="33"/>
      <c r="I12" s="33"/>
      <c r="J12" s="33">
        <f>$C$32*('E Balans VL '!D8+'E Balans VL '!E8)/100/3.6*1000000</f>
        <v>4.2462089615098446E-2</v>
      </c>
      <c r="K12" s="33"/>
      <c r="L12" s="33"/>
      <c r="M12" s="33"/>
      <c r="N12" s="33">
        <f>$C$32*'E Balans VL '!Y8/100/3.6*1000000</f>
        <v>1510.5779635031886</v>
      </c>
      <c r="O12" s="33"/>
      <c r="P12" s="33"/>
      <c r="R12" s="32"/>
    </row>
    <row r="13" spans="1:18">
      <c r="A13" s="16" t="s">
        <v>477</v>
      </c>
      <c r="B13" s="242">
        <f ca="1">'lokale energieproductie'!N38+'lokale energieproductie'!N31</f>
        <v>716.625</v>
      </c>
      <c r="C13" s="242">
        <f ca="1">'lokale energieproductie'!O38+'lokale energieproductie'!O31</f>
        <v>1023.75</v>
      </c>
      <c r="D13" s="300">
        <f ca="1">('lokale energieproductie'!P31+'lokale energieproductie'!P38)*(-1)</f>
        <v>-2047.5000000000002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125716.5562392</v>
      </c>
      <c r="C16" s="21">
        <f t="shared" ca="1" si="1"/>
        <v>1023.75</v>
      </c>
      <c r="D16" s="21">
        <f t="shared" ca="1" si="1"/>
        <v>163827.30664093021</v>
      </c>
      <c r="E16" s="21">
        <f t="shared" si="1"/>
        <v>1953.6180741059156</v>
      </c>
      <c r="F16" s="21">
        <f t="shared" ca="1" si="1"/>
        <v>25891.30871457883</v>
      </c>
      <c r="G16" s="21">
        <f t="shared" si="1"/>
        <v>0</v>
      </c>
      <c r="H16" s="21">
        <f t="shared" si="1"/>
        <v>0</v>
      </c>
      <c r="I16" s="21">
        <f t="shared" si="1"/>
        <v>0</v>
      </c>
      <c r="J16" s="21">
        <f t="shared" si="1"/>
        <v>0.17097967668294831</v>
      </c>
      <c r="K16" s="21">
        <f t="shared" si="1"/>
        <v>0</v>
      </c>
      <c r="L16" s="21">
        <f t="shared" ca="1" si="1"/>
        <v>0</v>
      </c>
      <c r="M16" s="21">
        <f t="shared" si="1"/>
        <v>0</v>
      </c>
      <c r="N16" s="21">
        <f t="shared" ca="1" si="1"/>
        <v>6247.5608267520656</v>
      </c>
      <c r="O16" s="21">
        <f>O5</f>
        <v>10.943333333333335</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0.20786128870405321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26131.605391315694</v>
      </c>
      <c r="C20" s="23">
        <f t="shared" ref="C20:P20" ca="1" si="2">C16*C18</f>
        <v>243.29117647058825</v>
      </c>
      <c r="D20" s="23">
        <f t="shared" ca="1" si="2"/>
        <v>33093.115941467906</v>
      </c>
      <c r="E20" s="23">
        <f t="shared" si="2"/>
        <v>443.47130282204284</v>
      </c>
      <c r="F20" s="23">
        <f t="shared" ca="1" si="2"/>
        <v>6912.9794267925481</v>
      </c>
      <c r="G20" s="23">
        <f t="shared" si="2"/>
        <v>0</v>
      </c>
      <c r="H20" s="23">
        <f t="shared" si="2"/>
        <v>0</v>
      </c>
      <c r="I20" s="23">
        <f t="shared" si="2"/>
        <v>0</v>
      </c>
      <c r="J20" s="23">
        <f t="shared" si="2"/>
        <v>6.0526805545763694E-2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22524.839467000002</v>
      </c>
      <c r="C26" s="39">
        <f>IF(ISERROR(B26*3.6/1000000/'E Balans VL '!Z12*100),0,B26*3.6/1000000/'E Balans VL '!Z12*100)</f>
        <v>0.60436872827720822</v>
      </c>
      <c r="D26" s="232" t="s">
        <v>621</v>
      </c>
      <c r="F26" s="6"/>
    </row>
    <row r="27" spans="1:18">
      <c r="A27" s="227" t="s">
        <v>52</v>
      </c>
      <c r="B27" s="33">
        <f>IF(ISERROR(TER_horeca_ele_kWh/1000),0,TER_horeca_ele_kWh/1000)</f>
        <v>10077.467288</v>
      </c>
      <c r="C27" s="39">
        <f>IF(ISERROR(B27*3.6/1000000/'E Balans VL '!Z9*100),0,B27*3.6/1000000/'E Balans VL '!Z9*100)</f>
        <v>0.80058438305235113</v>
      </c>
      <c r="D27" s="232" t="s">
        <v>621</v>
      </c>
      <c r="F27" s="6"/>
    </row>
    <row r="28" spans="1:18">
      <c r="A28" s="167" t="s">
        <v>51</v>
      </c>
      <c r="B28" s="33">
        <f>IF(ISERROR(TER_handel_ele_kWh/1000),0,TER_handel_ele_kWh/1000)</f>
        <v>41964.588583999997</v>
      </c>
      <c r="C28" s="39">
        <f>IF(ISERROR(B28*3.6/1000000/'E Balans VL '!Z13*100),0,B28*3.6/1000000/'E Balans VL '!Z13*100)</f>
        <v>1.2274592533954465</v>
      </c>
      <c r="D28" s="232" t="s">
        <v>621</v>
      </c>
      <c r="F28" s="6"/>
    </row>
    <row r="29" spans="1:18">
      <c r="A29" s="227" t="s">
        <v>50</v>
      </c>
      <c r="B29" s="33">
        <f>IF(ISERROR(TER_gezond_ele_kWh/1000),0,TER_gezond_ele_kWh/1000)</f>
        <v>16406.092144999999</v>
      </c>
      <c r="C29" s="39">
        <f>IF(ISERROR(B29*3.6/1000000/'E Balans VL '!Z10*100),0,B29*3.6/1000000/'E Balans VL '!Z10*100)</f>
        <v>1.7412754615515253</v>
      </c>
      <c r="D29" s="232" t="s">
        <v>621</v>
      </c>
      <c r="F29" s="6"/>
    </row>
    <row r="30" spans="1:18">
      <c r="A30" s="227" t="s">
        <v>49</v>
      </c>
      <c r="B30" s="33">
        <f>IF(ISERROR(TER_ander_ele_kWh/1000),0,TER_ander_ele_kWh/1000)</f>
        <v>10608.825579</v>
      </c>
      <c r="C30" s="39">
        <f>IF(ISERROR(B30*3.6/1000000/'E Balans VL '!Z14*100),0,B30*3.6/1000000/'E Balans VL '!Z14*100)</f>
        <v>0.49345489915130059</v>
      </c>
      <c r="D30" s="232" t="s">
        <v>621</v>
      </c>
      <c r="F30" s="6"/>
    </row>
    <row r="31" spans="1:18">
      <c r="A31" s="227" t="s">
        <v>54</v>
      </c>
      <c r="B31" s="33">
        <f>IF(ISERROR(TER_onderwijs_ele_kWh/1000),0,TER_onderwijs_ele_kWh/1000)</f>
        <v>4022.8516952</v>
      </c>
      <c r="C31" s="39">
        <f>IF(ISERROR(B31*3.6/1000000/'E Balans VL '!Z11*100),0,B31*3.6/1000000/'E Balans VL '!Z11*100)</f>
        <v>1.0068364028487427</v>
      </c>
      <c r="D31" s="232" t="s">
        <v>621</v>
      </c>
    </row>
    <row r="32" spans="1:18">
      <c r="A32" s="227" t="s">
        <v>249</v>
      </c>
      <c r="B32" s="33">
        <f>IF(ISERROR(TER_rest_ele_kWh/1000),0,TER_rest_ele_kWh/1000)</f>
        <v>19395.266480999999</v>
      </c>
      <c r="C32" s="39">
        <f>IF(ISERROR(B32*3.6/1000000/'E Balans VL '!Z8*100),0,B32*3.6/1000000/'E Balans VL '!Z8*100)</f>
        <v>0.16303703350507079</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7</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93105.025649858988</v>
      </c>
      <c r="C5" s="17">
        <f>IF(ISERROR('Eigen informatie GS &amp; warmtenet'!B59),0,'Eigen informatie GS &amp; warmtenet'!B59)</f>
        <v>0</v>
      </c>
      <c r="D5" s="30">
        <f>SUM(D6:D15)</f>
        <v>121889.33863390997</v>
      </c>
      <c r="E5" s="17">
        <f>SUM(E6:E15)</f>
        <v>8827.2711213785988</v>
      </c>
      <c r="F5" s="17">
        <f>SUM(F6:F15)</f>
        <v>36057.626397068525</v>
      </c>
      <c r="G5" s="18"/>
      <c r="H5" s="17"/>
      <c r="I5" s="17"/>
      <c r="J5" s="17">
        <f>SUM(J6:J15)</f>
        <v>431.74818863517976</v>
      </c>
      <c r="K5" s="17"/>
      <c r="L5" s="17"/>
      <c r="M5" s="17"/>
      <c r="N5" s="17">
        <f>SUM(N6:N15)</f>
        <v>8657.6880114817068</v>
      </c>
      <c r="O5" s="17">
        <f>B43*B44*B45</f>
        <v>0</v>
      </c>
      <c r="P5" s="17">
        <f>B51*B52*B53/1000-B51*B52*B53/1000/B54</f>
        <v>0</v>
      </c>
      <c r="R5" s="32"/>
    </row>
    <row r="6" spans="1:18">
      <c r="A6" s="6" t="s">
        <v>34</v>
      </c>
      <c r="B6" s="37">
        <f>IF( ISERROR(IND_ijzer_ele_kWh/1000),0,IND_ijzer_ele_kWh/1000)</f>
        <v>39.928291780000002</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9895.4921328</v>
      </c>
      <c r="C8" s="33"/>
      <c r="D8" s="37">
        <f>IF( ISERROR(IND_metaal_Gas_kWH/1000),0,IND_metaal_Gas_kWH/1000)*0.902</f>
        <v>2857.6186883244</v>
      </c>
      <c r="E8" s="33">
        <f>C30*'E Balans VL '!I18/100/3.6*1000000</f>
        <v>356.06974283114027</v>
      </c>
      <c r="F8" s="33">
        <f>C30*'E Balans VL '!L18/100/3.6*1000000+C30*'E Balans VL '!N18/100/3.6*1000000</f>
        <v>4321.0406370512083</v>
      </c>
      <c r="G8" s="34"/>
      <c r="H8" s="33"/>
      <c r="I8" s="33"/>
      <c r="J8" s="40">
        <f>C30*'E Balans VL '!D18/100/3.6*1000000+C30*'E Balans VL '!E18/100/3.6*1000000</f>
        <v>0</v>
      </c>
      <c r="K8" s="33"/>
      <c r="L8" s="33"/>
      <c r="M8" s="33"/>
      <c r="N8" s="33">
        <f>C30*'E Balans VL '!Y18/100/3.6*1000000</f>
        <v>495.95534099648535</v>
      </c>
      <c r="O8" s="33"/>
      <c r="P8" s="33"/>
      <c r="R8" s="32"/>
    </row>
    <row r="9" spans="1:18">
      <c r="A9" s="6" t="s">
        <v>32</v>
      </c>
      <c r="B9" s="37">
        <f t="shared" si="0"/>
        <v>21087.605686999999</v>
      </c>
      <c r="C9" s="33"/>
      <c r="D9" s="37">
        <f>IF( ISERROR(IND_andere_gas_kWh/1000),0,IND_andere_gas_kWh/1000)*0.902</f>
        <v>10779.378426212001</v>
      </c>
      <c r="E9" s="33">
        <f>C31*'E Balans VL '!I19/100/3.6*1000000</f>
        <v>5381.0798508800845</v>
      </c>
      <c r="F9" s="33">
        <f>C31*'E Balans VL '!L19/100/3.6*1000000+C31*'E Balans VL '!N19/100/3.6*1000000</f>
        <v>18154.843490443825</v>
      </c>
      <c r="G9" s="34"/>
      <c r="H9" s="33"/>
      <c r="I9" s="33"/>
      <c r="J9" s="40">
        <f>C31*'E Balans VL '!D19/100/3.6*1000000+C31*'E Balans VL '!E19/100/3.6*1000000</f>
        <v>0</v>
      </c>
      <c r="K9" s="33"/>
      <c r="L9" s="33"/>
      <c r="M9" s="33"/>
      <c r="N9" s="33">
        <f>C31*'E Balans VL '!Y19/100/3.6*1000000</f>
        <v>1663.5653275251009</v>
      </c>
      <c r="O9" s="33"/>
      <c r="P9" s="33"/>
      <c r="R9" s="32"/>
    </row>
    <row r="10" spans="1:18">
      <c r="A10" s="6" t="s">
        <v>40</v>
      </c>
      <c r="B10" s="37">
        <f t="shared" si="0"/>
        <v>9410.9339206000004</v>
      </c>
      <c r="C10" s="33"/>
      <c r="D10" s="37">
        <f>IF( ISERROR(IND_voed_gas_kWh/1000),0,IND_voed_gas_kWh/1000)*0.902</f>
        <v>5125.4971355698008</v>
      </c>
      <c r="E10" s="33">
        <f>C32*'E Balans VL '!I20/100/3.6*1000000</f>
        <v>239.2388625328833</v>
      </c>
      <c r="F10" s="33">
        <f>C32*'E Balans VL '!L20/100/3.6*1000000+C32*'E Balans VL '!N20/100/3.6*1000000</f>
        <v>2129.5530759304729</v>
      </c>
      <c r="G10" s="34"/>
      <c r="H10" s="33"/>
      <c r="I10" s="33"/>
      <c r="J10" s="40">
        <f>C32*'E Balans VL '!D20/100/3.6*1000000+C32*'E Balans VL '!E20/100/3.6*1000000</f>
        <v>0</v>
      </c>
      <c r="K10" s="33"/>
      <c r="L10" s="33"/>
      <c r="M10" s="33"/>
      <c r="N10" s="33">
        <f>C32*'E Balans VL '!Y20/100/3.6*1000000</f>
        <v>3529.3553136226747</v>
      </c>
      <c r="O10" s="33"/>
      <c r="P10" s="33"/>
      <c r="R10" s="32"/>
    </row>
    <row r="11" spans="1:18">
      <c r="A11" s="6" t="s">
        <v>39</v>
      </c>
      <c r="B11" s="37">
        <f t="shared" si="0"/>
        <v>63.398230972999997</v>
      </c>
      <c r="C11" s="33"/>
      <c r="D11" s="37">
        <f>IF( ISERROR(IND_textiel_gas_kWh/1000),0,IND_textiel_gas_kWh/1000)*0.902</f>
        <v>47.843666693768</v>
      </c>
      <c r="E11" s="33">
        <f>C33*'E Balans VL '!I21/100/3.6*1000000</f>
        <v>0.17404519325385501</v>
      </c>
      <c r="F11" s="33">
        <f>C33*'E Balans VL '!L21/100/3.6*1000000+C33*'E Balans VL '!N21/100/3.6*1000000</f>
        <v>3.3611099917149181</v>
      </c>
      <c r="G11" s="34"/>
      <c r="H11" s="33"/>
      <c r="I11" s="33"/>
      <c r="J11" s="40">
        <f>C33*'E Balans VL '!D21/100/3.6*1000000+C33*'E Balans VL '!E21/100/3.6*1000000</f>
        <v>0</v>
      </c>
      <c r="K11" s="33"/>
      <c r="L11" s="33"/>
      <c r="M11" s="33"/>
      <c r="N11" s="33">
        <f>C33*'E Balans VL '!Y21/100/3.6*1000000</f>
        <v>0.12741995295123651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89.258707705999996</v>
      </c>
      <c r="C13" s="33"/>
      <c r="D13" s="37">
        <f>IF( ISERROR(IND_papier_gas_kWh/1000),0,IND_papier_gas_kWh/1000)*0.902</f>
        <v>134.90566815</v>
      </c>
      <c r="E13" s="33">
        <f>C35*'E Balans VL '!I23/100/3.6*1000000</f>
        <v>0.38280463040562379</v>
      </c>
      <c r="F13" s="33">
        <f>C35*'E Balans VL '!L23/100/3.6*1000000+C35*'E Balans VL '!N23/100/3.6*1000000</f>
        <v>2.2433483660440321</v>
      </c>
      <c r="G13" s="34"/>
      <c r="H13" s="33"/>
      <c r="I13" s="33"/>
      <c r="J13" s="40">
        <f>C35*'E Balans VL '!D23/100/3.6*1000000+C35*'E Balans VL '!E23/100/3.6*1000000</f>
        <v>5.975380917043613</v>
      </c>
      <c r="K13" s="33"/>
      <c r="L13" s="33"/>
      <c r="M13" s="33"/>
      <c r="N13" s="33">
        <f>C35*'E Balans VL '!Y23/100/3.6*1000000</f>
        <v>21.766954331462106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52518.408679</v>
      </c>
      <c r="C15" s="33"/>
      <c r="D15" s="37">
        <f>IF( ISERROR(IND_rest_gas_kWh/1000),0,IND_rest_gas_kWh/1000)*0.902</f>
        <v>102944.09504896001</v>
      </c>
      <c r="E15" s="33">
        <f>C37*'E Balans VL '!I15/100/3.6*1000000</f>
        <v>2850.3258153108322</v>
      </c>
      <c r="F15" s="33">
        <f>C37*'E Balans VL '!L15/100/3.6*1000000+C37*'E Balans VL '!N15/100/3.6*1000000</f>
        <v>11446.584735285258</v>
      </c>
      <c r="G15" s="34"/>
      <c r="H15" s="33"/>
      <c r="I15" s="33"/>
      <c r="J15" s="40">
        <f>C37*'E Balans VL '!D15/100/3.6*1000000+C37*'E Balans VL '!E15/100/3.6*1000000</f>
        <v>425.77280771813616</v>
      </c>
      <c r="K15" s="33"/>
      <c r="L15" s="33"/>
      <c r="M15" s="33"/>
      <c r="N15" s="33">
        <f>C37*'E Balans VL '!Y15/100/3.6*1000000</f>
        <v>2946.9176550530328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93105.025649858988</v>
      </c>
      <c r="C18" s="21">
        <f>C5+C16</f>
        <v>0</v>
      </c>
      <c r="D18" s="21">
        <f>MAX((D5+D16),0)</f>
        <v>121889.33863390997</v>
      </c>
      <c r="E18" s="21">
        <f>MAX((E5+E16),0)</f>
        <v>8827.2711213785988</v>
      </c>
      <c r="F18" s="21">
        <f>MAX((F5+F16),0)</f>
        <v>36057.626397068525</v>
      </c>
      <c r="G18" s="21"/>
      <c r="H18" s="21"/>
      <c r="I18" s="21"/>
      <c r="J18" s="21">
        <f>MAX((J5+J16),0)</f>
        <v>431.74818863517976</v>
      </c>
      <c r="K18" s="21"/>
      <c r="L18" s="21">
        <f>MAX((L5+L16),0)</f>
        <v>0</v>
      </c>
      <c r="M18" s="21"/>
      <c r="N18" s="21">
        <f>MAX((N5+N16),0)</f>
        <v>8657.6880114817068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0.20786128870405321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19352.930616403617</v>
      </c>
      <c r="C22" s="23">
        <f ca="1">C18*C20</f>
        <v>0</v>
      </c>
      <c r="D22" s="23">
        <f>D18*D20</f>
        <v>24621.646404049814</v>
      </c>
      <c r="E22" s="23">
        <f>E18*E20</f>
        <v>2003.790544552942</v>
      </c>
      <c r="F22" s="23">
        <f>F18*F20</f>
        <v>9627.3862480172975</v>
      </c>
      <c r="G22" s="23"/>
      <c r="H22" s="23"/>
      <c r="I22" s="23"/>
      <c r="J22" s="23">
        <f>J18*J20</f>
        <v>152.83885877685361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9895.4921328</v>
      </c>
      <c r="C30" s="39">
        <f>IF(ISERROR(B30*3.6/1000000/'E Balans VL '!Z18*100),0,B30*3.6/1000000/'E Balans VL '!Z18*100)</f>
        <v>2.0966426291804203</v>
      </c>
      <c r="D30" s="232" t="s">
        <v>621</v>
      </c>
    </row>
    <row r="31" spans="1:18">
      <c r="A31" s="6" t="s">
        <v>32</v>
      </c>
      <c r="B31" s="37">
        <f>IF( ISERROR(IND_ander_ele_kWh/1000),0,IND_ander_ele_kWh/1000)</f>
        <v>21087.605686999999</v>
      </c>
      <c r="C31" s="39">
        <f>IF(ISERROR(B31*3.6/1000000/'E Balans VL '!Z19*100),0,B31*3.6/1000000/'E Balans VL '!Z19*100)</f>
        <v>0.88762520625686947</v>
      </c>
      <c r="D31" s="232" t="s">
        <v>621</v>
      </c>
    </row>
    <row r="32" spans="1:18">
      <c r="A32" s="167" t="s">
        <v>40</v>
      </c>
      <c r="B32" s="37">
        <f>IF( ISERROR(IND_voed_ele_kWh/1000),0,IND_voed_ele_kWh/1000)</f>
        <v>9410.9339206000004</v>
      </c>
      <c r="C32" s="39">
        <f>IF(ISERROR(B32*3.6/1000000/'E Balans VL '!Z20*100),0,B32*3.6/1000000/'E Balans VL '!Z20*100)</f>
        <v>1.5722029888303808</v>
      </c>
      <c r="D32" s="232" t="s">
        <v>621</v>
      </c>
    </row>
    <row r="33" spans="1:5">
      <c r="A33" s="167" t="s">
        <v>39</v>
      </c>
      <c r="B33" s="37">
        <f>IF( ISERROR(IND_textiel_ele_kWh/1000),0,IND_textiel_ele_kWh/1000)</f>
        <v>63.398230972999997</v>
      </c>
      <c r="C33" s="39">
        <f>IF(ISERROR(B33*3.6/1000000/'E Balans VL '!Z21*100),0,B33*3.6/1000000/'E Balans VL '!Z21*100)</f>
        <v>3.7013784444803635E-3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89.258707705999996</v>
      </c>
      <c r="C35" s="39">
        <f>IF(ISERROR(B35*3.6/1000000/'E Balans VL '!Z22*100),0,B35*3.6/1000000/'E Balans VL '!Z22*100)</f>
        <v>1.1314022572524448E-2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52518.408679</v>
      </c>
      <c r="C37" s="39">
        <f>IF(ISERROR(B37*3.6/1000000/'E Balans VL '!Z15*100),0,B37*3.6/1000000/'E Balans VL '!Z15*100)</f>
        <v>0.42400144932548528</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1750.85391458</v>
      </c>
      <c r="C5" s="17">
        <f>'Eigen informatie GS &amp; warmtenet'!B60</f>
        <v>0</v>
      </c>
      <c r="D5" s="30">
        <f>IF(ISERROR(SUM(LB_lb_gas_kWh,LB_rest_gas_kWh)/1000),0,SUM(LB_lb_gas_kWh,LB_rest_gas_kWh)/1000)*0.902</f>
        <v>974.39511867544013</v>
      </c>
      <c r="E5" s="17">
        <f>B17*'E Balans VL '!I25/3.6*1000000/100</f>
        <v>34.685921795053169</v>
      </c>
      <c r="F5" s="17">
        <f>B17*('E Balans VL '!L25/3.6*1000000+'E Balans VL '!N25/3.6*1000000)/100</f>
        <v>6384.87041261984</v>
      </c>
      <c r="G5" s="18"/>
      <c r="H5" s="17"/>
      <c r="I5" s="17"/>
      <c r="J5" s="17">
        <f>('E Balans VL '!D25+'E Balans VL '!E25)/3.6*1000000*landbouw!B17/100</f>
        <v>415.72325962998934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1750.85391458</v>
      </c>
      <c r="C8" s="21">
        <f>C5+C6</f>
        <v>0</v>
      </c>
      <c r="D8" s="21">
        <f>MAX((D5+D6),0)</f>
        <v>974.39511867544013</v>
      </c>
      <c r="E8" s="21">
        <f>MAX((E5+E6),0)</f>
        <v>34.685921795053169</v>
      </c>
      <c r="F8" s="21">
        <f>MAX((F5+F6),0)</f>
        <v>6384.87041261984</v>
      </c>
      <c r="G8" s="21"/>
      <c r="H8" s="21"/>
      <c r="I8" s="21"/>
      <c r="J8" s="21">
        <f>MAX((J5+J6),0)</f>
        <v>415.72325962998934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0.20786128870405321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363.93475101713511</v>
      </c>
      <c r="C12" s="23">
        <f ca="1">C8*C10</f>
        <v>0</v>
      </c>
      <c r="D12" s="23">
        <f>D8*D10</f>
        <v>196.82781397243892</v>
      </c>
      <c r="E12" s="23">
        <f>E8*E10</f>
        <v>7.8737042474770691</v>
      </c>
      <c r="F12" s="23">
        <f>F8*F10</f>
        <v>1704.7604001694974</v>
      </c>
      <c r="G12" s="23"/>
      <c r="H12" s="23"/>
      <c r="I12" s="23"/>
      <c r="J12" s="23">
        <f>J8*J10</f>
        <v>147.16603390901622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0.24688199935206326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145.11067672666428</v>
      </c>
      <c r="C26" s="242">
        <f>B26*'GWP N2O_CH4'!B5</f>
        <v>3047.3242112599501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41.530478568275448</v>
      </c>
      <c r="C27" s="242">
        <f>B27*'GWP N2O_CH4'!B5</f>
        <v>872.14004993378444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2.0650864460211675</v>
      </c>
      <c r="C28" s="242">
        <f>B28*'GWP N2O_CH4'!B4</f>
        <v>640.17679826656195</v>
      </c>
      <c r="D28" s="50"/>
    </row>
    <row r="29" spans="1:4">
      <c r="A29" s="41" t="s">
        <v>266</v>
      </c>
      <c r="B29" s="242">
        <f>B34*'ha_N2O bodem landbouw'!B4</f>
        <v>16.899741413670956</v>
      </c>
      <c r="C29" s="242">
        <f>B29*'GWP N2O_CH4'!B4</f>
        <v>5238.9198382379964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3.8033601767388822E-3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6.2060093984143288E-4</v>
      </c>
      <c r="C5" s="427" t="s">
        <v>204</v>
      </c>
      <c r="D5" s="412">
        <f>SUM(D6:D11)</f>
        <v>9.9297107952567949E-4</v>
      </c>
      <c r="E5" s="412">
        <f>SUM(E6:E11)</f>
        <v>4.8603321615533499E-3</v>
      </c>
      <c r="F5" s="425" t="s">
        <v>204</v>
      </c>
      <c r="G5" s="412">
        <f>SUM(G6:G11)</f>
        <v>1.9022103275538735</v>
      </c>
      <c r="H5" s="412">
        <f>SUM(H6:H11)</f>
        <v>0.34847213263313798</v>
      </c>
      <c r="I5" s="427" t="s">
        <v>204</v>
      </c>
      <c r="J5" s="427" t="s">
        <v>204</v>
      </c>
      <c r="K5" s="427" t="s">
        <v>204</v>
      </c>
      <c r="L5" s="427" t="s">
        <v>204</v>
      </c>
      <c r="M5" s="412">
        <f>SUM(M6:M11)</f>
        <v>7.0287087970597795E-2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1.7787961969064928E-4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2.8029015413740346E-4</v>
      </c>
      <c r="E6" s="818">
        <f>vkm_GW_PW*SUMIFS(TableVerdeelsleutelVkm[LPG],TableVerdeelsleutelVkm[Voertuigtype],"Lichte voertuigen")*SUMIFS(TableECFTransport[EnergieConsumptieFactor (PJ per km)],TableECFTransport[Index],CONCATENATE($A6,"_LPG_LPG"))</f>
        <v>1.2794585616298017E-3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0.34545630171126596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9.7546672687558733E-2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1.3791575260369579E-2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6.2076869457142142E-6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0.213971921866071</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4.3470218124913333E-6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6.7315832210874012E-3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1.5056619203905518E-4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3.3609466445244976E-4</v>
      </c>
      <c r="E8" s="415">
        <f>vkm_NGW_PW*SUMIFS(TableVerdeelsleutelVkm[LPG],TableVerdeelsleutelVkm[Voertuigtype],"Lichte voertuigen")*SUMIFS(TableECFTransport[EnergieConsumptieFactor (PJ per km)],TableECFTransport[Index],CONCATENATE($A8,"_LPG_LPG"))</f>
        <v>1.4636558154243352E-3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0.36846843228260678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0.11348735375707429</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1.499330286589985E-2</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3.095350369755494E-6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0.13718223447379244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2.6163044101047258E-6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4.3157650088974505E-3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2.7314247484503328E-4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3.7658626093582627E-4</v>
      </c>
      <c r="E10" s="415">
        <f>vkm_SW_PW*SUMIFS(TableVerdeelsleutelVkm[LPG],TableVerdeelsleutelVkm[Voertuigtype],"Lichte voertuigen")*SUMIFS(TableECFTransport[EnergieConsumptieFactor (PJ per km)],TableECFTransport[Index],CONCATENATE($A10,"_LPG_LPG"))</f>
        <v>2.1172177844992132E-3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0.51822970345119168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0.13742414453088891</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2.0422157913736052E-2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9.7096159512254032E-6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0.31890173376894554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6.9983313934580265E-6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1.0032703700607463E-2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172.38914995595357</v>
      </c>
      <c r="C14" s="21"/>
      <c r="D14" s="21">
        <f t="shared" ref="D14:M14" si="0">((D5)*10^9/3600)+D12</f>
        <v>275.82529986824431</v>
      </c>
      <c r="E14" s="21">
        <f t="shared" si="0"/>
        <v>1350.0922670981529</v>
      </c>
      <c r="F14" s="21"/>
      <c r="G14" s="21">
        <f t="shared" si="0"/>
        <v>528391.75765385374</v>
      </c>
      <c r="H14" s="21">
        <f t="shared" si="0"/>
        <v>96797.814620316116</v>
      </c>
      <c r="I14" s="21"/>
      <c r="J14" s="21"/>
      <c r="K14" s="21"/>
      <c r="L14" s="21"/>
      <c r="M14" s="21">
        <f t="shared" si="0"/>
        <v>19524.191102943831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0.20786128870405321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35.833030868440787</v>
      </c>
      <c r="C18" s="23"/>
      <c r="D18" s="23">
        <f t="shared" ref="D18:M18" si="1">D14*D16</f>
        <v>55.716710573385356</v>
      </c>
      <c r="E18" s="23">
        <f t="shared" si="1"/>
        <v>306.4709446312807</v>
      </c>
      <c r="F18" s="23"/>
      <c r="G18" s="23">
        <f t="shared" si="1"/>
        <v>141080.59929357897</v>
      </c>
      <c r="H18" s="23">
        <f t="shared" si="1"/>
        <v>24102.655840458712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2.1967223922970337E-4</v>
      </c>
      <c r="C50" s="311">
        <f t="shared" ref="C50:P50" si="2">SUM(C51:C52)</f>
        <v>0</v>
      </c>
      <c r="D50" s="311">
        <f t="shared" si="2"/>
        <v>0</v>
      </c>
      <c r="E50" s="311">
        <f t="shared" si="2"/>
        <v>0</v>
      </c>
      <c r="F50" s="311">
        <f t="shared" si="2"/>
        <v>0</v>
      </c>
      <c r="G50" s="311">
        <f t="shared" si="2"/>
        <v>3.9168025329925915E-2</v>
      </c>
      <c r="H50" s="311">
        <f t="shared" si="2"/>
        <v>0</v>
      </c>
      <c r="I50" s="311">
        <f t="shared" si="2"/>
        <v>0</v>
      </c>
      <c r="J50" s="311">
        <f t="shared" si="2"/>
        <v>0</v>
      </c>
      <c r="K50" s="311">
        <f t="shared" si="2"/>
        <v>0</v>
      </c>
      <c r="L50" s="311">
        <f t="shared" si="2"/>
        <v>0</v>
      </c>
      <c r="M50" s="311">
        <f t="shared" si="2"/>
        <v>1.2226739890388717E-3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2.1967223922970337E-4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3.9168025329925915E-2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1.2226739890388717E-3</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61.020066452695382</v>
      </c>
      <c r="C54" s="21">
        <f t="shared" ref="C54:P54" si="3">(C50)*10^9/3600</f>
        <v>0</v>
      </c>
      <c r="D54" s="21">
        <f t="shared" si="3"/>
        <v>0</v>
      </c>
      <c r="E54" s="21">
        <f t="shared" si="3"/>
        <v>0</v>
      </c>
      <c r="F54" s="21">
        <f t="shared" si="3"/>
        <v>0</v>
      </c>
      <c r="G54" s="21">
        <f t="shared" si="3"/>
        <v>10880.007036090532</v>
      </c>
      <c r="H54" s="21">
        <f t="shared" si="3"/>
        <v>0</v>
      </c>
      <c r="I54" s="21">
        <f t="shared" si="3"/>
        <v>0</v>
      </c>
      <c r="J54" s="21">
        <f t="shared" si="3"/>
        <v>0</v>
      </c>
      <c r="K54" s="21">
        <f t="shared" si="3"/>
        <v>0</v>
      </c>
      <c r="L54" s="21">
        <f t="shared" si="3"/>
        <v>0</v>
      </c>
      <c r="M54" s="21">
        <f t="shared" si="3"/>
        <v>339.63166362190879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0.20786128870405321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12.683709649664227</v>
      </c>
      <c r="C58" s="23">
        <f t="shared" ref="C58:P58" ca="1" si="4">C54*C56</f>
        <v>0</v>
      </c>
      <c r="D58" s="23">
        <f t="shared" si="4"/>
        <v>0</v>
      </c>
      <c r="E58" s="23">
        <f t="shared" si="4"/>
        <v>0</v>
      </c>
      <c r="F58" s="23">
        <f t="shared" si="4"/>
        <v>0</v>
      </c>
      <c r="G58" s="23">
        <f t="shared" si="4"/>
        <v>2904.9618786361721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22337.166308004114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716.625</v>
      </c>
      <c r="C8" s="534">
        <f>B48</f>
        <v>843.08823529411768</v>
      </c>
      <c r="D8" s="961"/>
      <c r="E8" s="961">
        <f>E48</f>
        <v>0</v>
      </c>
      <c r="F8" s="962"/>
      <c r="G8" s="535"/>
      <c r="H8" s="961">
        <f>I48</f>
        <v>0</v>
      </c>
      <c r="I8" s="961">
        <f>G48+F48</f>
        <v>0</v>
      </c>
      <c r="J8" s="961">
        <f>H48+D48+C48</f>
        <v>0</v>
      </c>
      <c r="K8" s="961"/>
      <c r="L8" s="961"/>
      <c r="M8" s="961"/>
      <c r="N8" s="536"/>
      <c r="O8" s="537">
        <f>C8*$C$12+D8*$D$12+E8*$E$12+F8*$F$12+G8*$G$12+H8*$H$12+I8*$I$12+J8*$J$12</f>
        <v>170.30382352941177</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23053.791308004114</v>
      </c>
      <c r="C10" s="547">
        <f t="shared" ref="C10:L10" si="0">SUM(C8:C9)</f>
        <v>843.08823529411768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170.30382352941177</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1023.75</v>
      </c>
      <c r="C17" s="559">
        <f>B49</f>
        <v>1204.4117647058824</v>
      </c>
      <c r="D17" s="560"/>
      <c r="E17" s="560">
        <f>E49</f>
        <v>0</v>
      </c>
      <c r="F17" s="967"/>
      <c r="G17" s="561"/>
      <c r="H17" s="559">
        <f>I49</f>
        <v>0</v>
      </c>
      <c r="I17" s="560">
        <f>G49+F49</f>
        <v>0</v>
      </c>
      <c r="J17" s="560">
        <f>H49+D49+C49</f>
        <v>0</v>
      </c>
      <c r="K17" s="560"/>
      <c r="L17" s="560"/>
      <c r="M17" s="560"/>
      <c r="N17" s="968"/>
      <c r="O17" s="562">
        <f>C17*$C$22+E17*$E$22+H17*$H$22+I17*$I$22+J17*$J$22+D17*$D$22+F17*$F$22+G17*$G$22+K17*$K$22+L17*$L$22</f>
        <v>243.29117647058825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1023.75</v>
      </c>
      <c r="C20" s="546">
        <f>SUM(C17:C19)</f>
        <v>1204.4117647058824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243.29117647058825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41002</v>
      </c>
      <c r="C28" s="724">
        <v>9300</v>
      </c>
      <c r="D28" s="617"/>
      <c r="E28" s="616"/>
      <c r="F28" s="616"/>
      <c r="G28" s="616" t="s">
        <v>887</v>
      </c>
      <c r="H28" s="616" t="s">
        <v>888</v>
      </c>
      <c r="I28" s="616"/>
      <c r="J28" s="723"/>
      <c r="K28" s="723"/>
      <c r="L28" s="616" t="s">
        <v>889</v>
      </c>
      <c r="M28" s="616">
        <v>637</v>
      </c>
      <c r="N28" s="616">
        <v>716.625</v>
      </c>
      <c r="O28" s="616">
        <v>1023.75</v>
      </c>
      <c r="P28" s="616">
        <v>2047.5000000000002</v>
      </c>
      <c r="Q28" s="616">
        <v>0</v>
      </c>
      <c r="R28" s="616">
        <v>0</v>
      </c>
      <c r="S28" s="616">
        <v>0</v>
      </c>
      <c r="T28" s="616">
        <v>0</v>
      </c>
      <c r="U28" s="616">
        <v>0</v>
      </c>
      <c r="V28" s="616">
        <v>0</v>
      </c>
      <c r="W28" s="616">
        <v>0</v>
      </c>
      <c r="X28" s="616"/>
      <c r="Y28" s="616">
        <v>1500</v>
      </c>
      <c r="Z28" s="616" t="s">
        <v>50</v>
      </c>
      <c r="AA28" s="618" t="s">
        <v>149</v>
      </c>
    </row>
    <row r="29" spans="1:27" s="554" customFormat="1" hidden="1">
      <c r="A29" s="572" t="s">
        <v>269</v>
      </c>
      <c r="B29" s="573"/>
      <c r="C29" s="573"/>
      <c r="D29" s="573"/>
      <c r="E29" s="573"/>
      <c r="F29" s="573"/>
      <c r="G29" s="573"/>
      <c r="H29" s="573"/>
      <c r="I29" s="573"/>
      <c r="J29" s="573"/>
      <c r="K29" s="573"/>
      <c r="L29" s="574"/>
      <c r="M29" s="574">
        <f>SUM(M28:M28)</f>
        <v>637</v>
      </c>
      <c r="N29" s="574">
        <f>SUM(N28:N28)</f>
        <v>716.625</v>
      </c>
      <c r="O29" s="574">
        <f>SUM(O28:O28)</f>
        <v>1023.75</v>
      </c>
      <c r="P29" s="574">
        <f>SUM(P28:P28)</f>
        <v>2047.5000000000002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637</v>
      </c>
      <c r="N31" s="574">
        <f ca="1">SUMIF($AA$28:AE28,"tertiair",N28:N28)</f>
        <v>716.625</v>
      </c>
      <c r="O31" s="574">
        <f ca="1">SUMIF($AA$28:AF28,"tertiair",O28:O28)</f>
        <v>1023.75</v>
      </c>
      <c r="P31" s="574">
        <f ca="1">SUMIF($AA$28:AG28,"tertiair",P28:P28)</f>
        <v>2047.5000000000002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843.08823529411768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1204.4117647058824</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129956.3172392</v>
      </c>
      <c r="D10" s="930">
        <f ca="1">tertiair!C16</f>
        <v>1023.75</v>
      </c>
      <c r="E10" s="930">
        <f ca="1">tertiair!D16</f>
        <v>163827.30664093021</v>
      </c>
      <c r="F10" s="930">
        <f>tertiair!E16</f>
        <v>1953.6180741059156</v>
      </c>
      <c r="G10" s="930">
        <f ca="1">tertiair!F16</f>
        <v>25891.30871457883</v>
      </c>
      <c r="H10" s="930">
        <f>tertiair!G16</f>
        <v>0</v>
      </c>
      <c r="I10" s="930">
        <f>tertiair!H16</f>
        <v>0</v>
      </c>
      <c r="J10" s="930">
        <f>tertiair!I16</f>
        <v>0</v>
      </c>
      <c r="K10" s="930">
        <f>tertiair!J16</f>
        <v>0.17097967668294831</v>
      </c>
      <c r="L10" s="930">
        <f>tertiair!K16</f>
        <v>0</v>
      </c>
      <c r="M10" s="930">
        <f ca="1">tertiair!L16</f>
        <v>0</v>
      </c>
      <c r="N10" s="930">
        <f>tertiair!M16</f>
        <v>0</v>
      </c>
      <c r="O10" s="930">
        <f ca="1">tertiair!N16</f>
        <v>6247.5608267520656</v>
      </c>
      <c r="P10" s="930">
        <f>tertiair!O16</f>
        <v>10.943333333333335</v>
      </c>
      <c r="Q10" s="931">
        <f>tertiair!P16</f>
        <v>133.46666666666667</v>
      </c>
      <c r="R10" s="628">
        <f ca="1">SUM(C10:Q10)</f>
        <v>329044.44247524382</v>
      </c>
      <c r="S10" s="67"/>
    </row>
    <row r="11" spans="1:19" s="437" customFormat="1">
      <c r="A11" s="736" t="s">
        <v>214</v>
      </c>
      <c r="B11" s="741"/>
      <c r="C11" s="930">
        <f>huishoudens!B8</f>
        <v>143554.20461376931</v>
      </c>
      <c r="D11" s="930">
        <f>huishoudens!C8</f>
        <v>0</v>
      </c>
      <c r="E11" s="930">
        <f>huishoudens!D8</f>
        <v>333909.9333471476</v>
      </c>
      <c r="F11" s="930">
        <f>huishoudens!E8</f>
        <v>6863.2628947396315</v>
      </c>
      <c r="G11" s="930">
        <f>huishoudens!F8</f>
        <v>186598.53316001981</v>
      </c>
      <c r="H11" s="930">
        <f>huishoudens!G8</f>
        <v>0</v>
      </c>
      <c r="I11" s="930">
        <f>huishoudens!H8</f>
        <v>0</v>
      </c>
      <c r="J11" s="930">
        <f>huishoudens!I8</f>
        <v>0</v>
      </c>
      <c r="K11" s="930">
        <f>huishoudens!J8</f>
        <v>3441.2102397245544</v>
      </c>
      <c r="L11" s="930">
        <f>huishoudens!K8</f>
        <v>0</v>
      </c>
      <c r="M11" s="930">
        <f>huishoudens!L8</f>
        <v>0</v>
      </c>
      <c r="N11" s="930">
        <f>huishoudens!M8</f>
        <v>0</v>
      </c>
      <c r="O11" s="930">
        <f>huishoudens!N8</f>
        <v>47955.125311026888</v>
      </c>
      <c r="P11" s="930">
        <f>huishoudens!O8</f>
        <v>673.79666666666674</v>
      </c>
      <c r="Q11" s="931">
        <f>huishoudens!P8</f>
        <v>2154.5333333333333</v>
      </c>
      <c r="R11" s="628">
        <f>SUM(C11:Q11)</f>
        <v>725150.59956642787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93105.025649858988</v>
      </c>
      <c r="D13" s="930">
        <f>industrie!C18</f>
        <v>0</v>
      </c>
      <c r="E13" s="930">
        <f>industrie!D18</f>
        <v>121889.33863390997</v>
      </c>
      <c r="F13" s="930">
        <f>industrie!E18</f>
        <v>8827.2711213785988</v>
      </c>
      <c r="G13" s="930">
        <f>industrie!F18</f>
        <v>36057.626397068525</v>
      </c>
      <c r="H13" s="930">
        <f>industrie!G18</f>
        <v>0</v>
      </c>
      <c r="I13" s="930">
        <f>industrie!H18</f>
        <v>0</v>
      </c>
      <c r="J13" s="930">
        <f>industrie!I18</f>
        <v>0</v>
      </c>
      <c r="K13" s="930">
        <f>industrie!J18</f>
        <v>431.74818863517976</v>
      </c>
      <c r="L13" s="930">
        <f>industrie!K18</f>
        <v>0</v>
      </c>
      <c r="M13" s="930">
        <f>industrie!L18</f>
        <v>0</v>
      </c>
      <c r="N13" s="930">
        <f>industrie!M18</f>
        <v>0</v>
      </c>
      <c r="O13" s="930">
        <f>industrie!N18</f>
        <v>8657.6880114817068</v>
      </c>
      <c r="P13" s="930">
        <f>industrie!O18</f>
        <v>0</v>
      </c>
      <c r="Q13" s="931">
        <f>industrie!P18</f>
        <v>0</v>
      </c>
      <c r="R13" s="628">
        <f>SUM(C13:Q13)</f>
        <v>268968.698002333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366615.5475028283</v>
      </c>
      <c r="D16" s="660">
        <f t="shared" ref="D16:R16" ca="1" si="0">SUM(D9:D15)</f>
        <v>1023.75</v>
      </c>
      <c r="E16" s="660">
        <f t="shared" ca="1" si="0"/>
        <v>619626.57862198772</v>
      </c>
      <c r="F16" s="660">
        <f t="shared" si="0"/>
        <v>17644.152090224146</v>
      </c>
      <c r="G16" s="660">
        <f t="shared" ca="1" si="0"/>
        <v>248547.46827166717</v>
      </c>
      <c r="H16" s="660">
        <f t="shared" si="0"/>
        <v>0</v>
      </c>
      <c r="I16" s="660">
        <f t="shared" si="0"/>
        <v>0</v>
      </c>
      <c r="J16" s="660">
        <f t="shared" si="0"/>
        <v>0</v>
      </c>
      <c r="K16" s="660">
        <f t="shared" si="0"/>
        <v>3873.1294080364173</v>
      </c>
      <c r="L16" s="660">
        <f t="shared" si="0"/>
        <v>0</v>
      </c>
      <c r="M16" s="660">
        <f t="shared" ca="1" si="0"/>
        <v>0</v>
      </c>
      <c r="N16" s="660">
        <f t="shared" si="0"/>
        <v>0</v>
      </c>
      <c r="O16" s="660">
        <f t="shared" ca="1" si="0"/>
        <v>62860.374149260664</v>
      </c>
      <c r="P16" s="660">
        <f t="shared" si="0"/>
        <v>684.74000000000012</v>
      </c>
      <c r="Q16" s="660">
        <f t="shared" si="0"/>
        <v>2288</v>
      </c>
      <c r="R16" s="660">
        <f t="shared" ca="1" si="0"/>
        <v>1323163.7400440047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61.020066452695382</v>
      </c>
      <c r="D19" s="930">
        <f>transport!C54</f>
        <v>0</v>
      </c>
      <c r="E19" s="930">
        <f>transport!D54</f>
        <v>0</v>
      </c>
      <c r="F19" s="930">
        <f>transport!E54</f>
        <v>0</v>
      </c>
      <c r="G19" s="930">
        <f>transport!F54</f>
        <v>0</v>
      </c>
      <c r="H19" s="930">
        <f>transport!G54</f>
        <v>10880.007036090532</v>
      </c>
      <c r="I19" s="930">
        <f>transport!H54</f>
        <v>0</v>
      </c>
      <c r="J19" s="930">
        <f>transport!I54</f>
        <v>0</v>
      </c>
      <c r="K19" s="930">
        <f>transport!J54</f>
        <v>0</v>
      </c>
      <c r="L19" s="930">
        <f>transport!K54</f>
        <v>0</v>
      </c>
      <c r="M19" s="930">
        <f>transport!L54</f>
        <v>0</v>
      </c>
      <c r="N19" s="930">
        <f>transport!M54</f>
        <v>339.63166362190879</v>
      </c>
      <c r="O19" s="930">
        <f>transport!N54</f>
        <v>0</v>
      </c>
      <c r="P19" s="930">
        <f>transport!O54</f>
        <v>0</v>
      </c>
      <c r="Q19" s="931">
        <f>transport!P54</f>
        <v>0</v>
      </c>
      <c r="R19" s="628">
        <f>SUM(C19:Q19)</f>
        <v>11280.658766165136</v>
      </c>
      <c r="S19" s="67"/>
    </row>
    <row r="20" spans="1:19" s="437" customFormat="1">
      <c r="A20" s="736" t="s">
        <v>296</v>
      </c>
      <c r="B20" s="741"/>
      <c r="C20" s="930">
        <f>transport!B14</f>
        <v>172.38914995595357</v>
      </c>
      <c r="D20" s="930">
        <f>transport!C14</f>
        <v>0</v>
      </c>
      <c r="E20" s="930">
        <f>transport!D14</f>
        <v>275.82529986824431</v>
      </c>
      <c r="F20" s="930">
        <f>transport!E14</f>
        <v>1350.0922670981529</v>
      </c>
      <c r="G20" s="930">
        <f>transport!F14</f>
        <v>0</v>
      </c>
      <c r="H20" s="930">
        <f>transport!G14</f>
        <v>528391.75765385374</v>
      </c>
      <c r="I20" s="930">
        <f>transport!H14</f>
        <v>96797.814620316116</v>
      </c>
      <c r="J20" s="930">
        <f>transport!I14</f>
        <v>0</v>
      </c>
      <c r="K20" s="930">
        <f>transport!J14</f>
        <v>0</v>
      </c>
      <c r="L20" s="930">
        <f>transport!K14</f>
        <v>0</v>
      </c>
      <c r="M20" s="930">
        <f>transport!L14</f>
        <v>0</v>
      </c>
      <c r="N20" s="930">
        <f>transport!M14</f>
        <v>19524.191102943831</v>
      </c>
      <c r="O20" s="930">
        <f>transport!N14</f>
        <v>0</v>
      </c>
      <c r="P20" s="930">
        <f>transport!O14</f>
        <v>0</v>
      </c>
      <c r="Q20" s="931">
        <f>transport!P14</f>
        <v>0</v>
      </c>
      <c r="R20" s="628">
        <f>SUM(C20:Q20)</f>
        <v>646512.07009403605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233.40921640864894</v>
      </c>
      <c r="D22" s="739">
        <f t="shared" ref="D22:R22" si="1">SUM(D18:D21)</f>
        <v>0</v>
      </c>
      <c r="E22" s="739">
        <f t="shared" si="1"/>
        <v>275.82529986824431</v>
      </c>
      <c r="F22" s="739">
        <f t="shared" si="1"/>
        <v>1350.0922670981529</v>
      </c>
      <c r="G22" s="739">
        <f t="shared" si="1"/>
        <v>0</v>
      </c>
      <c r="H22" s="739">
        <f t="shared" si="1"/>
        <v>539271.76468994422</v>
      </c>
      <c r="I22" s="739">
        <f t="shared" si="1"/>
        <v>96797.814620316116</v>
      </c>
      <c r="J22" s="739">
        <f t="shared" si="1"/>
        <v>0</v>
      </c>
      <c r="K22" s="739">
        <f t="shared" si="1"/>
        <v>0</v>
      </c>
      <c r="L22" s="739">
        <f t="shared" si="1"/>
        <v>0</v>
      </c>
      <c r="M22" s="739">
        <f t="shared" si="1"/>
        <v>0</v>
      </c>
      <c r="N22" s="739">
        <f t="shared" si="1"/>
        <v>19863.82276656574</v>
      </c>
      <c r="O22" s="739">
        <f t="shared" si="1"/>
        <v>0</v>
      </c>
      <c r="P22" s="739">
        <f t="shared" si="1"/>
        <v>0</v>
      </c>
      <c r="Q22" s="739">
        <f t="shared" si="1"/>
        <v>0</v>
      </c>
      <c r="R22" s="739">
        <f t="shared" si="1"/>
        <v>657792.7288602012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1750.85391458</v>
      </c>
      <c r="D24" s="930">
        <f>+landbouw!C8</f>
        <v>0</v>
      </c>
      <c r="E24" s="930">
        <f>+landbouw!D8</f>
        <v>974.39511867544013</v>
      </c>
      <c r="F24" s="930">
        <f>+landbouw!E8</f>
        <v>34.685921795053169</v>
      </c>
      <c r="G24" s="930">
        <f>+landbouw!F8</f>
        <v>6384.87041261984</v>
      </c>
      <c r="H24" s="930">
        <f>+landbouw!G8</f>
        <v>0</v>
      </c>
      <c r="I24" s="930">
        <f>+landbouw!H8</f>
        <v>0</v>
      </c>
      <c r="J24" s="930">
        <f>+landbouw!I8</f>
        <v>0</v>
      </c>
      <c r="K24" s="930">
        <f>+landbouw!J8</f>
        <v>415.72325962998934</v>
      </c>
      <c r="L24" s="930">
        <f>+landbouw!K8</f>
        <v>0</v>
      </c>
      <c r="M24" s="930">
        <f>+landbouw!L8</f>
        <v>0</v>
      </c>
      <c r="N24" s="930">
        <f>+landbouw!M8</f>
        <v>0</v>
      </c>
      <c r="O24" s="930">
        <f>+landbouw!N8</f>
        <v>0</v>
      </c>
      <c r="P24" s="930">
        <f>+landbouw!O8</f>
        <v>0</v>
      </c>
      <c r="Q24" s="931">
        <f>+landbouw!P8</f>
        <v>0</v>
      </c>
      <c r="R24" s="628">
        <f>SUM(C24:Q24)</f>
        <v>9560.5286273003221</v>
      </c>
      <c r="S24" s="67"/>
    </row>
    <row r="25" spans="1:19" s="437" customFormat="1" ht="15" thickBot="1">
      <c r="A25" s="758" t="s">
        <v>788</v>
      </c>
      <c r="B25" s="933"/>
      <c r="C25" s="934">
        <f>IF(Onbekend_ele_kWh="---",0,Onbekend_ele_kWh)/1000+IF(REST_rest_ele_kWh="---",0,REST_rest_ele_kWh)/1000</f>
        <v>6215.0357094999999</v>
      </c>
      <c r="D25" s="934"/>
      <c r="E25" s="934">
        <f>IF(onbekend_gas_kWh="---",0,onbekend_gas_kWh)/1000+IF(REST_rest_gas_kWh="---",0,REST_rest_gas_kWh)/1000</f>
        <v>19996.482581</v>
      </c>
      <c r="F25" s="934"/>
      <c r="G25" s="934"/>
      <c r="H25" s="934"/>
      <c r="I25" s="934"/>
      <c r="J25" s="934"/>
      <c r="K25" s="934"/>
      <c r="L25" s="934"/>
      <c r="M25" s="934"/>
      <c r="N25" s="934"/>
      <c r="O25" s="934"/>
      <c r="P25" s="934"/>
      <c r="Q25" s="935"/>
      <c r="R25" s="628">
        <f>SUM(C25:Q25)</f>
        <v>26211.5182905</v>
      </c>
      <c r="S25" s="67"/>
    </row>
    <row r="26" spans="1:19" s="437" customFormat="1" ht="15.75" thickBot="1">
      <c r="A26" s="633" t="s">
        <v>789</v>
      </c>
      <c r="B26" s="744"/>
      <c r="C26" s="739">
        <f>SUM(C24:C25)</f>
        <v>7965.8896240800004</v>
      </c>
      <c r="D26" s="739">
        <f t="shared" ref="D26:R26" si="2">SUM(D24:D25)</f>
        <v>0</v>
      </c>
      <c r="E26" s="739">
        <f t="shared" si="2"/>
        <v>20970.877699675439</v>
      </c>
      <c r="F26" s="739">
        <f t="shared" si="2"/>
        <v>34.685921795053169</v>
      </c>
      <c r="G26" s="739">
        <f t="shared" si="2"/>
        <v>6384.87041261984</v>
      </c>
      <c r="H26" s="739">
        <f t="shared" si="2"/>
        <v>0</v>
      </c>
      <c r="I26" s="739">
        <f t="shared" si="2"/>
        <v>0</v>
      </c>
      <c r="J26" s="739">
        <f t="shared" si="2"/>
        <v>0</v>
      </c>
      <c r="K26" s="739">
        <f t="shared" si="2"/>
        <v>415.72325962998934</v>
      </c>
      <c r="L26" s="739">
        <f t="shared" si="2"/>
        <v>0</v>
      </c>
      <c r="M26" s="739">
        <f t="shared" si="2"/>
        <v>0</v>
      </c>
      <c r="N26" s="739">
        <f t="shared" si="2"/>
        <v>0</v>
      </c>
      <c r="O26" s="739">
        <f t="shared" si="2"/>
        <v>0</v>
      </c>
      <c r="P26" s="739">
        <f t="shared" si="2"/>
        <v>0</v>
      </c>
      <c r="Q26" s="739">
        <f t="shared" si="2"/>
        <v>0</v>
      </c>
      <c r="R26" s="739">
        <f t="shared" si="2"/>
        <v>35772.046917800326</v>
      </c>
      <c r="S26" s="67"/>
    </row>
    <row r="27" spans="1:19" s="437" customFormat="1" ht="17.25" thickTop="1" thickBot="1">
      <c r="A27" s="634" t="s">
        <v>109</v>
      </c>
      <c r="B27" s="732"/>
      <c r="C27" s="635">
        <f ca="1">C22+C16+C26</f>
        <v>374814.84634331695</v>
      </c>
      <c r="D27" s="635">
        <f t="shared" ref="D27:R27" ca="1" si="3">D22+D16+D26</f>
        <v>1023.75</v>
      </c>
      <c r="E27" s="635">
        <f t="shared" ca="1" si="3"/>
        <v>640873.28162153135</v>
      </c>
      <c r="F27" s="635">
        <f t="shared" si="3"/>
        <v>19028.93027911735</v>
      </c>
      <c r="G27" s="635">
        <f t="shared" ca="1" si="3"/>
        <v>254932.33868428701</v>
      </c>
      <c r="H27" s="635">
        <f t="shared" si="3"/>
        <v>539271.76468994422</v>
      </c>
      <c r="I27" s="635">
        <f t="shared" si="3"/>
        <v>96797.814620316116</v>
      </c>
      <c r="J27" s="635">
        <f t="shared" si="3"/>
        <v>0</v>
      </c>
      <c r="K27" s="635">
        <f t="shared" si="3"/>
        <v>4288.8526676664069</v>
      </c>
      <c r="L27" s="635">
        <f t="shared" si="3"/>
        <v>0</v>
      </c>
      <c r="M27" s="635">
        <f t="shared" ca="1" si="3"/>
        <v>0</v>
      </c>
      <c r="N27" s="635">
        <f t="shared" si="3"/>
        <v>19863.82276656574</v>
      </c>
      <c r="O27" s="635">
        <f t="shared" ca="1" si="3"/>
        <v>62860.374149260664</v>
      </c>
      <c r="P27" s="635">
        <f t="shared" si="3"/>
        <v>684.74000000000012</v>
      </c>
      <c r="Q27" s="635">
        <f t="shared" si="3"/>
        <v>2288</v>
      </c>
      <c r="R27" s="635">
        <f t="shared" ca="1" si="3"/>
        <v>2016728.5158220064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27012.887576572881</v>
      </c>
      <c r="D40" s="930">
        <f ca="1">tertiair!C20</f>
        <v>243.29117647058825</v>
      </c>
      <c r="E40" s="930">
        <f ca="1">tertiair!D20</f>
        <v>33093.115941467906</v>
      </c>
      <c r="F40" s="930">
        <f>tertiair!E20</f>
        <v>443.47130282204284</v>
      </c>
      <c r="G40" s="930">
        <f ca="1">tertiair!F20</f>
        <v>6912.9794267925481</v>
      </c>
      <c r="H40" s="930">
        <f>tertiair!G20</f>
        <v>0</v>
      </c>
      <c r="I40" s="930">
        <f>tertiair!H20</f>
        <v>0</v>
      </c>
      <c r="J40" s="930">
        <f>tertiair!I20</f>
        <v>0</v>
      </c>
      <c r="K40" s="930">
        <f>tertiair!J20</f>
        <v>6.0526805545763694E-2</v>
      </c>
      <c r="L40" s="930">
        <f>tertiair!K20</f>
        <v>0</v>
      </c>
      <c r="M40" s="930">
        <f ca="1">tertiair!L20</f>
        <v>0</v>
      </c>
      <c r="N40" s="930">
        <f>tertiair!M20</f>
        <v>0</v>
      </c>
      <c r="O40" s="930">
        <f ca="1">tertiair!N20</f>
        <v>0</v>
      </c>
      <c r="P40" s="930">
        <f>tertiair!O20</f>
        <v>0</v>
      </c>
      <c r="Q40" s="702">
        <f>tertiair!P20</f>
        <v>0</v>
      </c>
      <c r="R40" s="777">
        <f t="shared" ca="1" si="4"/>
        <v>67705.805950931521</v>
      </c>
    </row>
    <row r="41" spans="1:18">
      <c r="A41" s="749" t="s">
        <v>214</v>
      </c>
      <c r="B41" s="756"/>
      <c r="C41" s="930">
        <f ca="1">huishoudens!B12</f>
        <v>29839.361969903432</v>
      </c>
      <c r="D41" s="930">
        <f ca="1">huishoudens!C12</f>
        <v>0</v>
      </c>
      <c r="E41" s="930">
        <f>huishoudens!D12</f>
        <v>67449.806536123826</v>
      </c>
      <c r="F41" s="930">
        <f>huishoudens!E12</f>
        <v>1557.9606771058964</v>
      </c>
      <c r="G41" s="930">
        <f>huishoudens!F12</f>
        <v>49821.80835372529</v>
      </c>
      <c r="H41" s="930">
        <f>huishoudens!G12</f>
        <v>0</v>
      </c>
      <c r="I41" s="930">
        <f>huishoudens!H12</f>
        <v>0</v>
      </c>
      <c r="J41" s="930">
        <f>huishoudens!I12</f>
        <v>0</v>
      </c>
      <c r="K41" s="930">
        <f>huishoudens!J12</f>
        <v>1218.1884248624922</v>
      </c>
      <c r="L41" s="930">
        <f>huishoudens!K12</f>
        <v>0</v>
      </c>
      <c r="M41" s="930">
        <f>huishoudens!L12</f>
        <v>0</v>
      </c>
      <c r="N41" s="930">
        <f>huishoudens!M12</f>
        <v>0</v>
      </c>
      <c r="O41" s="930">
        <f>huishoudens!N12</f>
        <v>0</v>
      </c>
      <c r="P41" s="930">
        <f>huishoudens!O12</f>
        <v>0</v>
      </c>
      <c r="Q41" s="702">
        <f>huishoudens!P12</f>
        <v>0</v>
      </c>
      <c r="R41" s="777">
        <f t="shared" ca="1" si="4"/>
        <v>149887.12596172091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19352.930616403617</v>
      </c>
      <c r="D43" s="930">
        <f ca="1">industrie!C22</f>
        <v>0</v>
      </c>
      <c r="E43" s="930">
        <f>industrie!D22</f>
        <v>24621.646404049814</v>
      </c>
      <c r="F43" s="930">
        <f>industrie!E22</f>
        <v>2003.790544552942</v>
      </c>
      <c r="G43" s="930">
        <f>industrie!F22</f>
        <v>9627.3862480172975</v>
      </c>
      <c r="H43" s="930">
        <f>industrie!G22</f>
        <v>0</v>
      </c>
      <c r="I43" s="930">
        <f>industrie!H22</f>
        <v>0</v>
      </c>
      <c r="J43" s="930">
        <f>industrie!I22</f>
        <v>0</v>
      </c>
      <c r="K43" s="930">
        <f>industrie!J22</f>
        <v>152.83885877685361</v>
      </c>
      <c r="L43" s="930">
        <f>industrie!K22</f>
        <v>0</v>
      </c>
      <c r="M43" s="930">
        <f>industrie!L22</f>
        <v>0</v>
      </c>
      <c r="N43" s="930">
        <f>industrie!M22</f>
        <v>0</v>
      </c>
      <c r="O43" s="930">
        <f>industrie!N22</f>
        <v>0</v>
      </c>
      <c r="P43" s="930">
        <f>industrie!O22</f>
        <v>0</v>
      </c>
      <c r="Q43" s="702">
        <f>industrie!P22</f>
        <v>0</v>
      </c>
      <c r="R43" s="776">
        <f t="shared" ca="1" si="4"/>
        <v>55758.592671800528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76205.180162879929</v>
      </c>
      <c r="D46" s="660">
        <f t="shared" ref="D46:Q46" ca="1" si="5">SUM(D39:D45)</f>
        <v>243.29117647058825</v>
      </c>
      <c r="E46" s="660">
        <f t="shared" ca="1" si="5"/>
        <v>125164.56888164153</v>
      </c>
      <c r="F46" s="660">
        <f t="shared" si="5"/>
        <v>4005.2225244808815</v>
      </c>
      <c r="G46" s="660">
        <f t="shared" ca="1" si="5"/>
        <v>66362.174028535141</v>
      </c>
      <c r="H46" s="660">
        <f t="shared" si="5"/>
        <v>0</v>
      </c>
      <c r="I46" s="660">
        <f t="shared" si="5"/>
        <v>0</v>
      </c>
      <c r="J46" s="660">
        <f t="shared" si="5"/>
        <v>0</v>
      </c>
      <c r="K46" s="660">
        <f t="shared" si="5"/>
        <v>1371.0878104448916</v>
      </c>
      <c r="L46" s="660">
        <f t="shared" si="5"/>
        <v>0</v>
      </c>
      <c r="M46" s="660">
        <f t="shared" ca="1" si="5"/>
        <v>0</v>
      </c>
      <c r="N46" s="660">
        <f t="shared" si="5"/>
        <v>0</v>
      </c>
      <c r="O46" s="660">
        <f t="shared" ca="1" si="5"/>
        <v>0</v>
      </c>
      <c r="P46" s="660">
        <f t="shared" si="5"/>
        <v>0</v>
      </c>
      <c r="Q46" s="660">
        <f t="shared" si="5"/>
        <v>0</v>
      </c>
      <c r="R46" s="660">
        <f ca="1">SUM(R39:R45)</f>
        <v>273351.52458445297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12.683709649664227</v>
      </c>
      <c r="D49" s="930">
        <f ca="1">transport!C58</f>
        <v>0</v>
      </c>
      <c r="E49" s="930">
        <f>transport!D58</f>
        <v>0</v>
      </c>
      <c r="F49" s="930">
        <f>transport!E58</f>
        <v>0</v>
      </c>
      <c r="G49" s="930">
        <f>transport!F58</f>
        <v>0</v>
      </c>
      <c r="H49" s="930">
        <f>transport!G58</f>
        <v>2904.9618786361721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2917.6455882858363</v>
      </c>
    </row>
    <row r="50" spans="1:18">
      <c r="A50" s="752" t="s">
        <v>296</v>
      </c>
      <c r="B50" s="762"/>
      <c r="C50" s="631">
        <f ca="1">transport!B18</f>
        <v>35.833030868440787</v>
      </c>
      <c r="D50" s="631">
        <f>transport!C18</f>
        <v>0</v>
      </c>
      <c r="E50" s="631">
        <f>transport!D18</f>
        <v>55.716710573385356</v>
      </c>
      <c r="F50" s="631">
        <f>transport!E18</f>
        <v>306.4709446312807</v>
      </c>
      <c r="G50" s="631">
        <f>transport!F18</f>
        <v>0</v>
      </c>
      <c r="H50" s="631">
        <f>transport!G18</f>
        <v>141080.59929357897</v>
      </c>
      <c r="I50" s="631">
        <f>transport!H18</f>
        <v>24102.655840458712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165581.27582011081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48.51674051810501</v>
      </c>
      <c r="D52" s="660">
        <f t="shared" ref="D52:Q52" ca="1" si="6">SUM(D48:D51)</f>
        <v>0</v>
      </c>
      <c r="E52" s="660">
        <f t="shared" si="6"/>
        <v>55.716710573385356</v>
      </c>
      <c r="F52" s="660">
        <f t="shared" si="6"/>
        <v>306.4709446312807</v>
      </c>
      <c r="G52" s="660">
        <f t="shared" si="6"/>
        <v>0</v>
      </c>
      <c r="H52" s="660">
        <f t="shared" si="6"/>
        <v>143985.56117221515</v>
      </c>
      <c r="I52" s="660">
        <f t="shared" si="6"/>
        <v>24102.655840458712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168498.92140839665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363.93475101713511</v>
      </c>
      <c r="D54" s="631">
        <f ca="1">+landbouw!C12</f>
        <v>0</v>
      </c>
      <c r="E54" s="631">
        <f>+landbouw!D12</f>
        <v>196.82781397243892</v>
      </c>
      <c r="F54" s="631">
        <f>+landbouw!E12</f>
        <v>7.8737042474770691</v>
      </c>
      <c r="G54" s="631">
        <f>+landbouw!F12</f>
        <v>1704.7604001694974</v>
      </c>
      <c r="H54" s="631">
        <f>+landbouw!G12</f>
        <v>0</v>
      </c>
      <c r="I54" s="631">
        <f>+landbouw!H12</f>
        <v>0</v>
      </c>
      <c r="J54" s="631">
        <f>+landbouw!I12</f>
        <v>0</v>
      </c>
      <c r="K54" s="631">
        <f>+landbouw!J12</f>
        <v>147.16603390901622</v>
      </c>
      <c r="L54" s="631">
        <f>+landbouw!K12</f>
        <v>0</v>
      </c>
      <c r="M54" s="631">
        <f>+landbouw!L12</f>
        <v>0</v>
      </c>
      <c r="N54" s="631">
        <f>+landbouw!M12</f>
        <v>0</v>
      </c>
      <c r="O54" s="631">
        <f>+landbouw!N12</f>
        <v>0</v>
      </c>
      <c r="P54" s="631">
        <f>+landbouw!O12</f>
        <v>0</v>
      </c>
      <c r="Q54" s="632">
        <f>+landbouw!P12</f>
        <v>0</v>
      </c>
      <c r="R54" s="659">
        <f ca="1">SUM(C54:Q54)</f>
        <v>2420.5627033155647</v>
      </c>
    </row>
    <row r="55" spans="1:18" ht="15" thickBot="1">
      <c r="A55" s="752" t="s">
        <v>788</v>
      </c>
      <c r="B55" s="762"/>
      <c r="C55" s="631">
        <f ca="1">C25*'EF ele_warmte'!B12</f>
        <v>1291.8653319183798</v>
      </c>
      <c r="D55" s="631"/>
      <c r="E55" s="631">
        <f>E25*EF_CO2_aardgas</f>
        <v>4039.2894813620005</v>
      </c>
      <c r="F55" s="631"/>
      <c r="G55" s="631"/>
      <c r="H55" s="631"/>
      <c r="I55" s="631"/>
      <c r="J55" s="631"/>
      <c r="K55" s="631"/>
      <c r="L55" s="631"/>
      <c r="M55" s="631"/>
      <c r="N55" s="631"/>
      <c r="O55" s="631"/>
      <c r="P55" s="631"/>
      <c r="Q55" s="632"/>
      <c r="R55" s="659">
        <f ca="1">SUM(C55:Q55)</f>
        <v>5331.15481328038</v>
      </c>
    </row>
    <row r="56" spans="1:18" ht="15.75" thickBot="1">
      <c r="A56" s="750" t="s">
        <v>789</v>
      </c>
      <c r="B56" s="763"/>
      <c r="C56" s="660">
        <f ca="1">SUM(C54:C55)</f>
        <v>1655.8000829355149</v>
      </c>
      <c r="D56" s="660">
        <f t="shared" ref="D56:Q56" ca="1" si="7">SUM(D54:D55)</f>
        <v>0</v>
      </c>
      <c r="E56" s="660">
        <f t="shared" si="7"/>
        <v>4236.1172953344394</v>
      </c>
      <c r="F56" s="660">
        <f t="shared" si="7"/>
        <v>7.8737042474770691</v>
      </c>
      <c r="G56" s="660">
        <f t="shared" si="7"/>
        <v>1704.7604001694974</v>
      </c>
      <c r="H56" s="660">
        <f t="shared" si="7"/>
        <v>0</v>
      </c>
      <c r="I56" s="660">
        <f t="shared" si="7"/>
        <v>0</v>
      </c>
      <c r="J56" s="660">
        <f t="shared" si="7"/>
        <v>0</v>
      </c>
      <c r="K56" s="660">
        <f t="shared" si="7"/>
        <v>147.16603390901622</v>
      </c>
      <c r="L56" s="660">
        <f t="shared" si="7"/>
        <v>0</v>
      </c>
      <c r="M56" s="660">
        <f t="shared" si="7"/>
        <v>0</v>
      </c>
      <c r="N56" s="660">
        <f t="shared" si="7"/>
        <v>0</v>
      </c>
      <c r="O56" s="660">
        <f t="shared" si="7"/>
        <v>0</v>
      </c>
      <c r="P56" s="660">
        <f t="shared" si="7"/>
        <v>0</v>
      </c>
      <c r="Q56" s="661">
        <f t="shared" si="7"/>
        <v>0</v>
      </c>
      <c r="R56" s="662">
        <f ca="1">SUM(R54:R55)</f>
        <v>7751.7175165959452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77909.496986333543</v>
      </c>
      <c r="D61" s="668">
        <f t="shared" ref="D61:Q61" ca="1" si="8">D46+D52+D56</f>
        <v>243.29117647058825</v>
      </c>
      <c r="E61" s="668">
        <f t="shared" ca="1" si="8"/>
        <v>129456.40288754935</v>
      </c>
      <c r="F61" s="668">
        <f t="shared" si="8"/>
        <v>4319.5671733596391</v>
      </c>
      <c r="G61" s="668">
        <f t="shared" ca="1" si="8"/>
        <v>68066.934428704641</v>
      </c>
      <c r="H61" s="668">
        <f t="shared" si="8"/>
        <v>143985.56117221515</v>
      </c>
      <c r="I61" s="668">
        <f t="shared" si="8"/>
        <v>24102.655840458712</v>
      </c>
      <c r="J61" s="668">
        <f t="shared" si="8"/>
        <v>0</v>
      </c>
      <c r="K61" s="668">
        <f t="shared" si="8"/>
        <v>1518.2538443539079</v>
      </c>
      <c r="L61" s="668">
        <f t="shared" si="8"/>
        <v>0</v>
      </c>
      <c r="M61" s="668">
        <f t="shared" ca="1" si="8"/>
        <v>0</v>
      </c>
      <c r="N61" s="668">
        <f t="shared" si="8"/>
        <v>0</v>
      </c>
      <c r="O61" s="668">
        <f t="shared" ca="1" si="8"/>
        <v>0</v>
      </c>
      <c r="P61" s="668">
        <f t="shared" si="8"/>
        <v>0</v>
      </c>
      <c r="Q61" s="668">
        <f t="shared" si="8"/>
        <v>0</v>
      </c>
      <c r="R61" s="668">
        <f ca="1">R46+R52+R56</f>
        <v>449602.16350944561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0.20786128870405321</v>
      </c>
      <c r="D63" s="709">
        <f t="shared" ca="1" si="9"/>
        <v>0.23764705882352943</v>
      </c>
      <c r="E63" s="941">
        <f t="shared" ca="1" si="9"/>
        <v>0.20200000000000004</v>
      </c>
      <c r="F63" s="709">
        <f t="shared" si="9"/>
        <v>0.22700000000000004</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22337.166308004114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716.625</v>
      </c>
      <c r="D76" s="951">
        <f>'lokale energieproductie'!C8</f>
        <v>843.08823529411768</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170.30382352941177</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22337.166308004114</v>
      </c>
      <c r="C78" s="683">
        <f>SUM(C72:C77)</f>
        <v>716.625</v>
      </c>
      <c r="D78" s="684">
        <f t="shared" ref="D78:H78" si="10">SUM(D76:D77)</f>
        <v>843.08823529411768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170.30382352941177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1023.75</v>
      </c>
      <c r="D87" s="705">
        <f>'lokale energieproductie'!C17</f>
        <v>1204.4117647058824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243.29117647058825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1023.75</v>
      </c>
      <c r="D90" s="683">
        <f t="shared" ref="D90:H90" si="12">SUM(D87:D89)</f>
        <v>1204.4117647058824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243.29117647058825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143554.20461376931</v>
      </c>
      <c r="C4" s="441">
        <f>huishoudens!C8</f>
        <v>0</v>
      </c>
      <c r="D4" s="441">
        <f>huishoudens!D8</f>
        <v>333909.9333471476</v>
      </c>
      <c r="E4" s="441">
        <f>huishoudens!E8</f>
        <v>6863.2628947396315</v>
      </c>
      <c r="F4" s="441">
        <f>huishoudens!F8</f>
        <v>186598.53316001981</v>
      </c>
      <c r="G4" s="441">
        <f>huishoudens!G8</f>
        <v>0</v>
      </c>
      <c r="H4" s="441">
        <f>huishoudens!H8</f>
        <v>0</v>
      </c>
      <c r="I4" s="441">
        <f>huishoudens!I8</f>
        <v>0</v>
      </c>
      <c r="J4" s="441">
        <f>huishoudens!J8</f>
        <v>3441.2102397245544</v>
      </c>
      <c r="K4" s="441">
        <f>huishoudens!K8</f>
        <v>0</v>
      </c>
      <c r="L4" s="441">
        <f>huishoudens!L8</f>
        <v>0</v>
      </c>
      <c r="M4" s="441">
        <f>huishoudens!M8</f>
        <v>0</v>
      </c>
      <c r="N4" s="441">
        <f>huishoudens!N8</f>
        <v>47955.125311026888</v>
      </c>
      <c r="O4" s="441">
        <f>huishoudens!O8</f>
        <v>673.79666666666674</v>
      </c>
      <c r="P4" s="442">
        <f>huishoudens!P8</f>
        <v>2154.5333333333333</v>
      </c>
      <c r="Q4" s="443">
        <f>SUM(B4:P4)</f>
        <v>725150.59956642787</v>
      </c>
    </row>
    <row r="5" spans="1:17">
      <c r="A5" s="440" t="s">
        <v>149</v>
      </c>
      <c r="B5" s="441">
        <f ca="1">tertiair!B16</f>
        <v>125716.5562392</v>
      </c>
      <c r="C5" s="441">
        <f ca="1">tertiair!C16</f>
        <v>1023.75</v>
      </c>
      <c r="D5" s="441">
        <f ca="1">tertiair!D16</f>
        <v>163827.30664093021</v>
      </c>
      <c r="E5" s="441">
        <f>tertiair!E16</f>
        <v>1953.6180741059156</v>
      </c>
      <c r="F5" s="441">
        <f ca="1">tertiair!F16</f>
        <v>25891.30871457883</v>
      </c>
      <c r="G5" s="441">
        <f>tertiair!G16</f>
        <v>0</v>
      </c>
      <c r="H5" s="441">
        <f>tertiair!H16</f>
        <v>0</v>
      </c>
      <c r="I5" s="441">
        <f>tertiair!I16</f>
        <v>0</v>
      </c>
      <c r="J5" s="441">
        <f>tertiair!J16</f>
        <v>0.17097967668294831</v>
      </c>
      <c r="K5" s="441">
        <f>tertiair!K16</f>
        <v>0</v>
      </c>
      <c r="L5" s="441">
        <f ca="1">tertiair!L16</f>
        <v>0</v>
      </c>
      <c r="M5" s="441">
        <f>tertiair!M16</f>
        <v>0</v>
      </c>
      <c r="N5" s="441">
        <f ca="1">tertiair!N16</f>
        <v>6247.5608267520656</v>
      </c>
      <c r="O5" s="441">
        <f>tertiair!O16</f>
        <v>10.943333333333335</v>
      </c>
      <c r="P5" s="442">
        <f>tertiair!P16</f>
        <v>133.46666666666667</v>
      </c>
      <c r="Q5" s="440">
        <f t="shared" ref="Q5:Q14" ca="1" si="0">SUM(B5:P5)</f>
        <v>324804.68147524376</v>
      </c>
    </row>
    <row r="6" spans="1:17">
      <c r="A6" s="440" t="s">
        <v>187</v>
      </c>
      <c r="B6" s="441">
        <f>'openbare verlichting'!B8</f>
        <v>4239.7610000000004</v>
      </c>
      <c r="C6" s="441"/>
      <c r="D6" s="441"/>
      <c r="E6" s="441"/>
      <c r="F6" s="441"/>
      <c r="G6" s="441"/>
      <c r="H6" s="441"/>
      <c r="I6" s="441"/>
      <c r="J6" s="441"/>
      <c r="K6" s="441"/>
      <c r="L6" s="441"/>
      <c r="M6" s="441"/>
      <c r="N6" s="441"/>
      <c r="O6" s="441"/>
      <c r="P6" s="442"/>
      <c r="Q6" s="440">
        <f t="shared" si="0"/>
        <v>4239.7610000000004</v>
      </c>
    </row>
    <row r="7" spans="1:17">
      <c r="A7" s="440" t="s">
        <v>105</v>
      </c>
      <c r="B7" s="441">
        <f>landbouw!B8</f>
        <v>1750.85391458</v>
      </c>
      <c r="C7" s="441">
        <f>landbouw!C8</f>
        <v>0</v>
      </c>
      <c r="D7" s="441">
        <f>landbouw!D8</f>
        <v>974.39511867544013</v>
      </c>
      <c r="E7" s="441">
        <f>landbouw!E8</f>
        <v>34.685921795053169</v>
      </c>
      <c r="F7" s="441">
        <f>landbouw!F8</f>
        <v>6384.87041261984</v>
      </c>
      <c r="G7" s="441">
        <f>landbouw!G8</f>
        <v>0</v>
      </c>
      <c r="H7" s="441">
        <f>landbouw!H8</f>
        <v>0</v>
      </c>
      <c r="I7" s="441">
        <f>landbouw!I8</f>
        <v>0</v>
      </c>
      <c r="J7" s="441">
        <f>landbouw!J8</f>
        <v>415.72325962998934</v>
      </c>
      <c r="K7" s="441">
        <f>landbouw!K8</f>
        <v>0</v>
      </c>
      <c r="L7" s="441">
        <f>landbouw!L8</f>
        <v>0</v>
      </c>
      <c r="M7" s="441">
        <f>landbouw!M8</f>
        <v>0</v>
      </c>
      <c r="N7" s="441">
        <f>landbouw!N8</f>
        <v>0</v>
      </c>
      <c r="O7" s="441">
        <f>landbouw!O8</f>
        <v>0</v>
      </c>
      <c r="P7" s="442">
        <f>landbouw!P8</f>
        <v>0</v>
      </c>
      <c r="Q7" s="440">
        <f t="shared" si="0"/>
        <v>9560.5286273003221</v>
      </c>
    </row>
    <row r="8" spans="1:17">
      <c r="A8" s="440" t="s">
        <v>600</v>
      </c>
      <c r="B8" s="441">
        <f>industrie!B18</f>
        <v>93105.025649858988</v>
      </c>
      <c r="C8" s="441">
        <f>industrie!C18</f>
        <v>0</v>
      </c>
      <c r="D8" s="441">
        <f>industrie!D18</f>
        <v>121889.33863390997</v>
      </c>
      <c r="E8" s="441">
        <f>industrie!E18</f>
        <v>8827.2711213785988</v>
      </c>
      <c r="F8" s="441">
        <f>industrie!F18</f>
        <v>36057.626397068525</v>
      </c>
      <c r="G8" s="441">
        <f>industrie!G18</f>
        <v>0</v>
      </c>
      <c r="H8" s="441">
        <f>industrie!H18</f>
        <v>0</v>
      </c>
      <c r="I8" s="441">
        <f>industrie!I18</f>
        <v>0</v>
      </c>
      <c r="J8" s="441">
        <f>industrie!J18</f>
        <v>431.74818863517976</v>
      </c>
      <c r="K8" s="441">
        <f>industrie!K18</f>
        <v>0</v>
      </c>
      <c r="L8" s="441">
        <f>industrie!L18</f>
        <v>0</v>
      </c>
      <c r="M8" s="441">
        <f>industrie!M18</f>
        <v>0</v>
      </c>
      <c r="N8" s="441">
        <f>industrie!N18</f>
        <v>8657.6880114817068</v>
      </c>
      <c r="O8" s="441">
        <f>industrie!O18</f>
        <v>0</v>
      </c>
      <c r="P8" s="442">
        <f>industrie!P18</f>
        <v>0</v>
      </c>
      <c r="Q8" s="440">
        <f t="shared" si="0"/>
        <v>268968.698002333</v>
      </c>
    </row>
    <row r="9" spans="1:17" s="446" customFormat="1">
      <c r="A9" s="444" t="s">
        <v>549</v>
      </c>
      <c r="B9" s="445">
        <f>transport!B14</f>
        <v>172.38914995595357</v>
      </c>
      <c r="C9" s="445">
        <f>transport!C14</f>
        <v>0</v>
      </c>
      <c r="D9" s="445">
        <f>transport!D14</f>
        <v>275.82529986824431</v>
      </c>
      <c r="E9" s="445">
        <f>transport!E14</f>
        <v>1350.0922670981529</v>
      </c>
      <c r="F9" s="445">
        <f>transport!F14</f>
        <v>0</v>
      </c>
      <c r="G9" s="445">
        <f>transport!G14</f>
        <v>528391.75765385374</v>
      </c>
      <c r="H9" s="445">
        <f>transport!H14</f>
        <v>96797.814620316116</v>
      </c>
      <c r="I9" s="445">
        <f>transport!I14</f>
        <v>0</v>
      </c>
      <c r="J9" s="445">
        <f>transport!J14</f>
        <v>0</v>
      </c>
      <c r="K9" s="445">
        <f>transport!K14</f>
        <v>0</v>
      </c>
      <c r="L9" s="445">
        <f>transport!L14</f>
        <v>0</v>
      </c>
      <c r="M9" s="445">
        <f>transport!M14</f>
        <v>19524.191102943831</v>
      </c>
      <c r="N9" s="445">
        <f>transport!N14</f>
        <v>0</v>
      </c>
      <c r="O9" s="445">
        <f>transport!O14</f>
        <v>0</v>
      </c>
      <c r="P9" s="445">
        <f>transport!P14</f>
        <v>0</v>
      </c>
      <c r="Q9" s="444">
        <f>SUM(B9:P9)</f>
        <v>646512.07009403605</v>
      </c>
    </row>
    <row r="10" spans="1:17">
      <c r="A10" s="440" t="s">
        <v>539</v>
      </c>
      <c r="B10" s="441">
        <f>transport!B54</f>
        <v>61.020066452695382</v>
      </c>
      <c r="C10" s="441">
        <f>transport!C54</f>
        <v>0</v>
      </c>
      <c r="D10" s="441">
        <f>transport!D54</f>
        <v>0</v>
      </c>
      <c r="E10" s="441">
        <f>transport!E54</f>
        <v>0</v>
      </c>
      <c r="F10" s="441">
        <f>transport!F54</f>
        <v>0</v>
      </c>
      <c r="G10" s="441">
        <f>transport!G54</f>
        <v>10880.007036090532</v>
      </c>
      <c r="H10" s="441">
        <f>transport!H54</f>
        <v>0</v>
      </c>
      <c r="I10" s="441">
        <f>transport!I54</f>
        <v>0</v>
      </c>
      <c r="J10" s="441">
        <f>transport!J54</f>
        <v>0</v>
      </c>
      <c r="K10" s="441">
        <f>transport!K54</f>
        <v>0</v>
      </c>
      <c r="L10" s="441">
        <f>transport!L54</f>
        <v>0</v>
      </c>
      <c r="M10" s="441">
        <f>transport!M54</f>
        <v>339.63166362190879</v>
      </c>
      <c r="N10" s="441">
        <f>transport!N54</f>
        <v>0</v>
      </c>
      <c r="O10" s="441">
        <f>transport!O54</f>
        <v>0</v>
      </c>
      <c r="P10" s="442">
        <f>transport!P54</f>
        <v>0</v>
      </c>
      <c r="Q10" s="440">
        <f t="shared" si="0"/>
        <v>11280.658766165136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6215.0357094999999</v>
      </c>
      <c r="C14" s="448"/>
      <c r="D14" s="448">
        <f>'SEAP template'!E25</f>
        <v>19996.482581</v>
      </c>
      <c r="E14" s="448"/>
      <c r="F14" s="448"/>
      <c r="G14" s="448"/>
      <c r="H14" s="448"/>
      <c r="I14" s="448"/>
      <c r="J14" s="448"/>
      <c r="K14" s="448"/>
      <c r="L14" s="448"/>
      <c r="M14" s="448"/>
      <c r="N14" s="448"/>
      <c r="O14" s="448"/>
      <c r="P14" s="449"/>
      <c r="Q14" s="440">
        <f t="shared" si="0"/>
        <v>26211.5182905</v>
      </c>
    </row>
    <row r="15" spans="1:17" s="450" customFormat="1">
      <c r="A15" s="956" t="s">
        <v>543</v>
      </c>
      <c r="B15" s="896">
        <f ca="1">SUM(B4:B14)</f>
        <v>374814.84634331695</v>
      </c>
      <c r="C15" s="896">
        <f t="shared" ref="C15:Q15" ca="1" si="1">SUM(C4:C14)</f>
        <v>1023.75</v>
      </c>
      <c r="D15" s="896">
        <f t="shared" ca="1" si="1"/>
        <v>640873.28162153135</v>
      </c>
      <c r="E15" s="896">
        <f t="shared" si="1"/>
        <v>19028.930279117354</v>
      </c>
      <c r="F15" s="896">
        <f t="shared" ca="1" si="1"/>
        <v>254932.33868428701</v>
      </c>
      <c r="G15" s="896">
        <f t="shared" si="1"/>
        <v>539271.76468994422</v>
      </c>
      <c r="H15" s="896">
        <f t="shared" si="1"/>
        <v>96797.814620316116</v>
      </c>
      <c r="I15" s="896">
        <f t="shared" si="1"/>
        <v>0</v>
      </c>
      <c r="J15" s="896">
        <f t="shared" si="1"/>
        <v>4288.8526676664069</v>
      </c>
      <c r="K15" s="896">
        <f t="shared" si="1"/>
        <v>0</v>
      </c>
      <c r="L15" s="896">
        <f t="shared" ca="1" si="1"/>
        <v>0</v>
      </c>
      <c r="M15" s="896">
        <f t="shared" si="1"/>
        <v>19863.82276656574</v>
      </c>
      <c r="N15" s="896">
        <f t="shared" ca="1" si="1"/>
        <v>62860.374149260664</v>
      </c>
      <c r="O15" s="896">
        <f t="shared" si="1"/>
        <v>684.74000000000012</v>
      </c>
      <c r="P15" s="896">
        <f t="shared" si="1"/>
        <v>2288</v>
      </c>
      <c r="Q15" s="896">
        <f t="shared" ca="1" si="1"/>
        <v>2016728.5158220059</v>
      </c>
    </row>
    <row r="17" spans="1:17">
      <c r="A17" s="451" t="s">
        <v>544</v>
      </c>
      <c r="B17" s="714">
        <f ca="1">huishoudens!B10</f>
        <v>0.20786128870405321</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29839.361969903432</v>
      </c>
      <c r="C22" s="441">
        <f t="shared" ref="C22:C32" ca="1" si="3">C4*$C$17</f>
        <v>0</v>
      </c>
      <c r="D22" s="441">
        <f t="shared" ref="D22:D32" si="4">D4*$D$17</f>
        <v>67449.806536123826</v>
      </c>
      <c r="E22" s="441">
        <f t="shared" ref="E22:E32" si="5">E4*$E$17</f>
        <v>1557.9606771058964</v>
      </c>
      <c r="F22" s="441">
        <f t="shared" ref="F22:F32" si="6">F4*$F$17</f>
        <v>49821.80835372529</v>
      </c>
      <c r="G22" s="441">
        <f t="shared" ref="G22:G32" si="7">G4*$G$17</f>
        <v>0</v>
      </c>
      <c r="H22" s="441">
        <f t="shared" ref="H22:H32" si="8">H4*$H$17</f>
        <v>0</v>
      </c>
      <c r="I22" s="441">
        <f t="shared" ref="I22:I32" si="9">I4*$I$17</f>
        <v>0</v>
      </c>
      <c r="J22" s="441">
        <f t="shared" ref="J22:J32" si="10">J4*$J$17</f>
        <v>1218.1884248624922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149887.12596172091</v>
      </c>
    </row>
    <row r="23" spans="1:17">
      <c r="A23" s="440" t="s">
        <v>149</v>
      </c>
      <c r="B23" s="441">
        <f t="shared" ca="1" si="2"/>
        <v>26131.605391315694</v>
      </c>
      <c r="C23" s="441">
        <f t="shared" ca="1" si="3"/>
        <v>243.29117647058825</v>
      </c>
      <c r="D23" s="441">
        <f t="shared" ca="1" si="4"/>
        <v>33093.115941467906</v>
      </c>
      <c r="E23" s="441">
        <f t="shared" si="5"/>
        <v>443.47130282204284</v>
      </c>
      <c r="F23" s="441">
        <f t="shared" ca="1" si="6"/>
        <v>6912.9794267925481</v>
      </c>
      <c r="G23" s="441">
        <f t="shared" si="7"/>
        <v>0</v>
      </c>
      <c r="H23" s="441">
        <f t="shared" si="8"/>
        <v>0</v>
      </c>
      <c r="I23" s="441">
        <f t="shared" si="9"/>
        <v>0</v>
      </c>
      <c r="J23" s="441">
        <f t="shared" si="10"/>
        <v>6.0526805545763694E-2</v>
      </c>
      <c r="K23" s="441">
        <f t="shared" si="11"/>
        <v>0</v>
      </c>
      <c r="L23" s="441">
        <f t="shared" ca="1" si="12"/>
        <v>0</v>
      </c>
      <c r="M23" s="441">
        <f t="shared" si="13"/>
        <v>0</v>
      </c>
      <c r="N23" s="441">
        <f t="shared" ca="1" si="14"/>
        <v>0</v>
      </c>
      <c r="O23" s="441">
        <f t="shared" si="15"/>
        <v>0</v>
      </c>
      <c r="P23" s="442">
        <f t="shared" si="16"/>
        <v>0</v>
      </c>
      <c r="Q23" s="440">
        <f t="shared" ref="Q23:Q32" ca="1" si="17">SUM(B23:P23)</f>
        <v>66824.523765674327</v>
      </c>
    </row>
    <row r="24" spans="1:17">
      <c r="A24" s="440" t="s">
        <v>187</v>
      </c>
      <c r="B24" s="441">
        <f t="shared" ca="1" si="2"/>
        <v>881.28218525718546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881.28218525718546</v>
      </c>
    </row>
    <row r="25" spans="1:17">
      <c r="A25" s="440" t="s">
        <v>105</v>
      </c>
      <c r="B25" s="441">
        <f t="shared" ca="1" si="2"/>
        <v>363.93475101713511</v>
      </c>
      <c r="C25" s="441">
        <f t="shared" ca="1" si="3"/>
        <v>0</v>
      </c>
      <c r="D25" s="441">
        <f t="shared" si="4"/>
        <v>196.82781397243892</v>
      </c>
      <c r="E25" s="441">
        <f t="shared" si="5"/>
        <v>7.8737042474770691</v>
      </c>
      <c r="F25" s="441">
        <f t="shared" si="6"/>
        <v>1704.7604001694974</v>
      </c>
      <c r="G25" s="441">
        <f t="shared" si="7"/>
        <v>0</v>
      </c>
      <c r="H25" s="441">
        <f t="shared" si="8"/>
        <v>0</v>
      </c>
      <c r="I25" s="441">
        <f t="shared" si="9"/>
        <v>0</v>
      </c>
      <c r="J25" s="441">
        <f t="shared" si="10"/>
        <v>147.16603390901622</v>
      </c>
      <c r="K25" s="441">
        <f t="shared" si="11"/>
        <v>0</v>
      </c>
      <c r="L25" s="441">
        <f t="shared" si="12"/>
        <v>0</v>
      </c>
      <c r="M25" s="441">
        <f t="shared" si="13"/>
        <v>0</v>
      </c>
      <c r="N25" s="441">
        <f t="shared" si="14"/>
        <v>0</v>
      </c>
      <c r="O25" s="441">
        <f t="shared" si="15"/>
        <v>0</v>
      </c>
      <c r="P25" s="442">
        <f t="shared" si="16"/>
        <v>0</v>
      </c>
      <c r="Q25" s="440">
        <f t="shared" ca="1" si="17"/>
        <v>2420.5627033155647</v>
      </c>
    </row>
    <row r="26" spans="1:17">
      <c r="A26" s="440" t="s">
        <v>600</v>
      </c>
      <c r="B26" s="441">
        <f t="shared" ca="1" si="2"/>
        <v>19352.930616403617</v>
      </c>
      <c r="C26" s="441">
        <f t="shared" ca="1" si="3"/>
        <v>0</v>
      </c>
      <c r="D26" s="441">
        <f t="shared" si="4"/>
        <v>24621.646404049814</v>
      </c>
      <c r="E26" s="441">
        <f t="shared" si="5"/>
        <v>2003.790544552942</v>
      </c>
      <c r="F26" s="441">
        <f t="shared" si="6"/>
        <v>9627.3862480172975</v>
      </c>
      <c r="G26" s="441">
        <f t="shared" si="7"/>
        <v>0</v>
      </c>
      <c r="H26" s="441">
        <f t="shared" si="8"/>
        <v>0</v>
      </c>
      <c r="I26" s="441">
        <f t="shared" si="9"/>
        <v>0</v>
      </c>
      <c r="J26" s="441">
        <f t="shared" si="10"/>
        <v>152.83885877685361</v>
      </c>
      <c r="K26" s="441">
        <f t="shared" si="11"/>
        <v>0</v>
      </c>
      <c r="L26" s="441">
        <f t="shared" si="12"/>
        <v>0</v>
      </c>
      <c r="M26" s="441">
        <f t="shared" si="13"/>
        <v>0</v>
      </c>
      <c r="N26" s="441">
        <f t="shared" si="14"/>
        <v>0</v>
      </c>
      <c r="O26" s="441">
        <f t="shared" si="15"/>
        <v>0</v>
      </c>
      <c r="P26" s="442">
        <f t="shared" si="16"/>
        <v>0</v>
      </c>
      <c r="Q26" s="440">
        <f t="shared" ca="1" si="17"/>
        <v>55758.592671800528</v>
      </c>
    </row>
    <row r="27" spans="1:17" s="446" customFormat="1">
      <c r="A27" s="444" t="s">
        <v>549</v>
      </c>
      <c r="B27" s="708">
        <f t="shared" ca="1" si="2"/>
        <v>35.833030868440787</v>
      </c>
      <c r="C27" s="445">
        <f t="shared" ca="1" si="3"/>
        <v>0</v>
      </c>
      <c r="D27" s="445">
        <f t="shared" si="4"/>
        <v>55.716710573385356</v>
      </c>
      <c r="E27" s="445">
        <f t="shared" si="5"/>
        <v>306.4709446312807</v>
      </c>
      <c r="F27" s="445">
        <f t="shared" si="6"/>
        <v>0</v>
      </c>
      <c r="G27" s="445">
        <f t="shared" si="7"/>
        <v>141080.59929357897</v>
      </c>
      <c r="H27" s="445">
        <f t="shared" si="8"/>
        <v>24102.655840458712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165581.27582011081</v>
      </c>
    </row>
    <row r="28" spans="1:17">
      <c r="A28" s="440" t="s">
        <v>539</v>
      </c>
      <c r="B28" s="441">
        <f t="shared" ca="1" si="2"/>
        <v>12.683709649664227</v>
      </c>
      <c r="C28" s="441">
        <f t="shared" ca="1" si="3"/>
        <v>0</v>
      </c>
      <c r="D28" s="441">
        <f t="shared" si="4"/>
        <v>0</v>
      </c>
      <c r="E28" s="441">
        <f t="shared" si="5"/>
        <v>0</v>
      </c>
      <c r="F28" s="441">
        <f t="shared" si="6"/>
        <v>0</v>
      </c>
      <c r="G28" s="441">
        <f t="shared" si="7"/>
        <v>2904.9618786361721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2917.6455882858363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1291.8653319183798</v>
      </c>
      <c r="C32" s="441">
        <f t="shared" ca="1" si="3"/>
        <v>0</v>
      </c>
      <c r="D32" s="441">
        <f t="shared" si="4"/>
        <v>4039.2894813620005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5331.15481328038</v>
      </c>
    </row>
    <row r="33" spans="1:17" s="450" customFormat="1">
      <c r="A33" s="956" t="s">
        <v>543</v>
      </c>
      <c r="B33" s="896">
        <f ca="1">SUM(B22:B32)</f>
        <v>77909.496986333543</v>
      </c>
      <c r="C33" s="896">
        <f t="shared" ref="C33:Q33" ca="1" si="18">SUM(C22:C32)</f>
        <v>243.29117647058825</v>
      </c>
      <c r="D33" s="896">
        <f t="shared" ca="1" si="18"/>
        <v>129456.40288754937</v>
      </c>
      <c r="E33" s="896">
        <f t="shared" si="18"/>
        <v>4319.5671733596391</v>
      </c>
      <c r="F33" s="896">
        <f t="shared" ca="1" si="18"/>
        <v>68066.934428704641</v>
      </c>
      <c r="G33" s="896">
        <f t="shared" si="18"/>
        <v>143985.56117221515</v>
      </c>
      <c r="H33" s="896">
        <f t="shared" si="18"/>
        <v>24102.655840458712</v>
      </c>
      <c r="I33" s="896">
        <f t="shared" si="18"/>
        <v>0</v>
      </c>
      <c r="J33" s="896">
        <f t="shared" si="18"/>
        <v>1518.2538443539079</v>
      </c>
      <c r="K33" s="896">
        <f t="shared" si="18"/>
        <v>0</v>
      </c>
      <c r="L33" s="896">
        <f t="shared" ca="1" si="18"/>
        <v>0</v>
      </c>
      <c r="M33" s="896">
        <f t="shared" si="18"/>
        <v>0</v>
      </c>
      <c r="N33" s="896">
        <f t="shared" ca="1" si="18"/>
        <v>0</v>
      </c>
      <c r="O33" s="896">
        <f t="shared" si="18"/>
        <v>0</v>
      </c>
      <c r="P33" s="896">
        <f t="shared" si="18"/>
        <v>0</v>
      </c>
      <c r="Q33" s="896">
        <f t="shared" ca="1" si="18"/>
        <v>449602.16350944556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22337.166308004114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716.625</v>
      </c>
      <c r="D8" s="973">
        <f>'SEAP template'!D76</f>
        <v>843.08823529411768</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170.30382352941177</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22337.166308004114</v>
      </c>
      <c r="C10" s="977">
        <f>SUM(C4:C9)</f>
        <v>716.625</v>
      </c>
      <c r="D10" s="977">
        <f t="shared" ref="D10:H10" si="0">SUM(D8:D9)</f>
        <v>843.08823529411768</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170.30382352941177</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0.20786128870405321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1023.75</v>
      </c>
      <c r="D17" s="974">
        <f>'SEAP template'!D87</f>
        <v>1204.4117647058824</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243.29117647058825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1023.75</v>
      </c>
      <c r="D20" s="977">
        <f t="shared" ref="D20:H20" si="2">SUM(D17:D19)</f>
        <v>1204.4117647058824</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243.29117647058825</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0.20786128870405321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2022-07-26T11:12:57Z</dcterms:modified>
</cp:coreProperties>
</file>