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C2781A6-3859-475E-B14D-963BDEF92AC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<sst xmlns="http://schemas.openxmlformats.org/spreadsheetml/2006/main" count="2411" uniqueCount="890">
  <si>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</si>
  <si>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</si>
  <si>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</si>
  <si>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</si>
  <si>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</si>
  <si>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</si>
  <si>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</si>
  <si>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</si>
  <si>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</si>
  <si>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</si>
  <si>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</si>
  <si>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</si>
  <si>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</si>
  <si>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</si>
  <si>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</si>
  <si>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</si>
  <si>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</si>
  <si>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</si>
  <si>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</si>
  <si>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</si>
  <si>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</si>
  <si>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</si>
  <si>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</si>
  <si>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</si>
  <si>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</si>
  <si>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</si>
  <si>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</si>
  <si>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</si>
  <si>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</si>
  <si>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</si>
  <si>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</si>
  <si>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</si>
  <si>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</si>
  <si>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</si>
  <si>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</si>
  <si>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</si>
  <si>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</si>
  <si>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</si>
  <si>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</si>
  <si>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</si>
  <si>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</si>
  <si>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</si>
  <si>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</si>
  <si>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</si>
  <si>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</si>
  <si>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</si>
  <si>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</si>
  <si>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</si>
  <si>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</si>
  <si>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</si>
  <si>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</si>
  <si>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</si>
  <si>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</si>
  <si>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</si>
  <si>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</si>
  <si>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</si>
  <si>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</si>
  <si>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</si>
  <si>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</si>
  <si>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</si>
  <si>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</si>
  <si>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</si>
  <si>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</si>
  <si>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</si>
  <si>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</si>
  <si>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</si>
  <si>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</si>
  <si>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</si>
  <si>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</si>
  <si>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</si>
  <si>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</si>
  <si>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</si>
  <si>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</si>
  <si>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</si>
  <si>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</si>
  <si>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</si>
  <si>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</si>
  <si>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</si>
  <si>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</si>
  <si>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</si>
  <si>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</si>
  <si>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</si>
  <si>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</si>
  <si>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</si>
  <si>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</si>
  <si>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</si>
  <si>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</si>
  <si>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</si>
  <si>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</si>
  <si>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</si>
  <si>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</si>
  <si>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</si>
  <si>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</si>
  <si>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</si>
  <si>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</si>
  <si>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</si>
  <si>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</si>
  <si>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</si>
  <si>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</si>
  <si>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</si>
  <si>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</si>
  <si>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</si>
  <si>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</si>
  <si>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</si>
  <si>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</si>
  <si>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</si>
  <si>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</si>
  <si>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</si>
  <si>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</si>
  <si>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</si>
  <si>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</si>
  <si>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</si>
  <si>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</si>
  <si>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</si>
  <si>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</si>
  <si>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</si>
  <si>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</si>
  <si>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</si>
  <si>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</si>
  <si>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</si>
  <si>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</si>
  <si>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</si>
  <si>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</si>
  <si>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</si>
  <si>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</si>
  <si>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</si>
  <si>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</si>
  <si>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</si>
  <si>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</si>
  <si>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</si>
  <si>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</si>
  <si>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</si>
  <si>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</si>
  <si>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</si>
  <si>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</si>
  <si>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</si>
  <si>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</si>
  <si>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</si>
  <si>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</si>
  <si>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</si>
  <si>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</si>
  <si>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</si>
  <si>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</si>
  <si>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</si>
  <si>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</si>
  <si>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</si>
  <si>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</si>
  <si>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</si>
  <si>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</si>
  <si>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</si>
  <si>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</si>
  <si>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</si>
  <si>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</si>
  <si>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</si>
  <si>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</si>
  <si>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</si>
  <si>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</si>
  <si>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</si>
  <si>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</si>
  <si>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</si>
  <si>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</si>
  <si>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</si>
  <si>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</si>
  <si>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</si>
  <si>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</si>
  <si>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</si>
  <si>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</si>
  <si>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</si>
  <si>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</si>
  <si>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</si>
  <si>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</si>
  <si>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</si>
  <si>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</si>
  <si>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</si>
  <si>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</si>
  <si>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</si>
  <si>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</si>
  <si>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</si>
  <si>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</si>
  <si>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</si>
  <si>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</si>
  <si>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</si>
  <si>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</si>
  <si>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</si>
  <si>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</si>
  <si>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</si>
  <si>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</si>
  <si>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</si>
  <si>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</si>
  <si>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</si>
  <si>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</si>
  <si>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</si>
  <si>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</si>
  <si>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</si>
  <si>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</si>
  <si>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</si>
  <si>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</si>
  <si>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</si>
  <si>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</si>
  <si>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</si>
  <si>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</si>
  <si>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</si>
  <si>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</si>
  <si>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</si>
  <si>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</si>
  <si>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</si>
  <si>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</si>
  <si>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</si>
  <si>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</si>
  <si>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</si>
  <si>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</si>
  <si>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</si>
  <si>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</si>
  <si>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</si>
  <si>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</si>
  <si>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</si>
  <si>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</si>
  <si>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</si>
  <si>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</si>
  <si>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</si>
  <si>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</si>
  <si>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</si>
  <si>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</si>
  <si>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</si>
  <si>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</si>
  <si>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</si>
  <si>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</si>
  <si>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</si>
  <si>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</si>
  <si>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</si>
  <si>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</si>
  <si>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</si>
  <si>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</si>
  <si>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</si>
  <si>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</si>
  <si>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</si>
  <si>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</si>
  <si>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</si>
  <si>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</si>
  <si>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</si>
  <si>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</si>
  <si>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</si>
  <si>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</si>
  <si>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</si>
  <si>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</si>
  <si>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</si>
  <si>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</si>
  <si>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</si>
  <si>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</si>
  <si>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</si>
  <si>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</si>
  <si>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</si>
  <si>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</si>
  <si>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</si>
  <si>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</si>
  <si>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</si>
  <si>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</si>
  <si>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</si>
  <si>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</si>
  <si>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</si>
  <si>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</si>
  <si>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</si>
  <si>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</si>
  <si>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</si>
  <si>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</si>
  <si>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</si>
  <si>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</si>
  <si>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</si>
  <si>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</si>
  <si>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</si>
  <si>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</si>
  <si>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</si>
  <si>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</si>
  <si>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</si>
  <si>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</si>
  <si>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</si>
  <si>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</si>
  <si>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</si>
  <si>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</si>
  <si>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</si>
  <si>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</si>
  <si>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</si>
  <si>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</si>
  <si>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</si>
  <si>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</si>
  <si>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</si>
  <si>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</si>
  <si>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</si>
  <si>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</si>
  <si>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</si>
  <si>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</si>
  <si>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</si>
  <si>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</si>
  <si>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</si>
  <si>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</si>
  <si>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</si>
  <si>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</si>
  <si>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</si>
  <si>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</si>
  <si>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</si>
  <si>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</si>
  <si>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</si>
  <si>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</si>
  <si>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</si>
  <si>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</si>
  <si>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</si>
  <si>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</si>
  <si>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</si>
  <si>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</si>
  <si>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</si>
  <si>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</si>
  <si>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</si>
  <si>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</si>
  <si>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</si>
  <si>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</si>
  <si>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</si>
  <si>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</si>
  <si>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</si>
  <si>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</si>
  <si>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</si>
  <si>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</si>
  <si>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</si>
  <si>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</si>
  <si>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</si>
  <si>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</si>
  <si>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</si>
  <si>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</si>
  <si>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</si>
  <si>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</si>
  <si>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</si>
  <si>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</si>
  <si>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</si>
  <si>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</si>
  <si>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</si>
  <si>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</si>
  <si>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</si>
  <si>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</si>
  <si>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</si>
  <si>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</si>
  <si>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</si>
  <si>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</si>
  <si>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</si>
  <si>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</si>
  <si>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</si>
  <si>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</si>
  <si>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</si>
  <si>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</si>
  <si>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</si>
  <si>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</si>
  <si>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</si>
  <si>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</si>
  <si>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</si>
  <si>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</si>
  <si>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</si>
  <si>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</si>
  <si>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</si>
  <si>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</si>
  <si>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</si>
  <si>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</si>
  <si>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</si>
  <si>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</si>
  <si>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</si>
  <si>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</si>
  <si>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</si>
  <si>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</si>
  <si>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</si>
  <si>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</si>
  <si>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</si>
  <si>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</si>
  <si>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</si>
  <si>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</si>
  <si>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</si>
  <si>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</si>
  <si>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</si>
  <si>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</si>
  <si>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</si>
  <si>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</si>
  <si>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</si>
  <si>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</si>
  <si>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</si>
  <si>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</si>
  <si>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</si>
  <si>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</si>
  <si>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</si>
  <si>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</si>
  <si>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</si>
  <si>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</si>
  <si>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</si>
  <si>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</si>
  <si>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</si>
  <si>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</si>
  <si>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</si>
  <si>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</si>
  <si>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</si>
  <si>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</si>
  <si>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</si>
  <si>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</si>
  <si>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</si>
  <si>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</si>
  <si>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</si>
  <si>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</si>
  <si>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</si>
  <si>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</si>
  <si>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</si>
  <si>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</si>
  <si>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</si>
  <si>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</si>
  <si>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</si>
  <si>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</si>
  <si>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</si>
  <si>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</si>
  <si>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</si>
  <si>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</si>
  <si>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</si>
  <si>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</si>
  <si>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</si>
  <si>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</si>
  <si>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</si>
  <si>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</si>
  <si>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</si>
  <si>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</si>
  <si>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</si>
  <si>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</si>
  <si>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</si>
  <si>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</si>
  <si>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</si>
  <si>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</si>
  <si>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</si>
  <si>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</si>
  <si>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</si>
  <si>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</si>
  <si>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</si>
  <si>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</si>
  <si>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</si>
  <si>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</si>
  <si>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</si>
  <si>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</si>
  <si>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</si>
  <si>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</si>
  <si>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</si>
  <si>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</si>
  <si>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</si>
  <si>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</si>
  <si>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</si>
  <si>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</si>
  <si>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</si>
  <si>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</si>
  <si>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</si>
  <si>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</si>
  <si>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</si>
  <si>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</si>
  <si>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</si>
  <si>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</si>
  <si>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</si>
  <si>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</si>
  <si>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</si>
  <si>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</si>
  <si>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</si>
  <si>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</si>
  <si>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</si>
  <si>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</si>
  <si>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</si>
  <si>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</si>
  <si>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</si>
  <si>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</si>
  <si>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</si>
  <si>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</si>
  <si>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</si>
  <si>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</si>
  <si>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</si>
  <si>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</si>
  <si>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</si>
  <si>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</si>
  <si>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</si>
  <si>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</si>
  <si>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</si>
  <si>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</si>
  <si>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</si>
  <si>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</si>
  <si>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</si>
  <si>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</si>
  <si>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</si>
  <si>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</si>
  <si>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</si>
  <si>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</si>
  <si>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</si>
  <si>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</si>
  <si>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</si>
  <si>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</si>
  <si>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</si>
  <si>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</si>
  <si>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</si>
  <si>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</si>
  <si>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</si>
  <si>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</si>
  <si>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</si>
  <si>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</si>
  <si>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</si>
  <si>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</si>
  <si>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</si>
  <si>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</si>
  <si>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</si>
  <si>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</si>
  <si>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</si>
  <si>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</si>
  <si>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</si>
  <si>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</si>
  <si>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</si>
  <si>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</si>
  <si>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</si>
  <si>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</si>
  <si>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</si>
  <si>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</si>
  <si>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</si>
  <si>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</si>
  <si>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</si>
  <si>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</si>
  <si>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</si>
  <si>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</si>
  <si>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</si>
  <si>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</si>
  <si>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</si>
  <si>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</si>
  <si>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</si>
  <si>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</si>
  <si>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</si>
  <si>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</si>
  <si>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</si>
  <si>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</si>
  <si>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</si>
  <si>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</si>
  <si>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</si>
  <si>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</si>
  <si>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</si>
  <si>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</si>
  <si>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</si>
  <si>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</si>
  <si>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</si>
  <si>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</si>
  <si>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</si>
  <si>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</si>
  <si>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</si>
  <si>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</si>
  <si>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</si>
  <si>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</si>
  <si>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</si>
  <si>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</si>
  <si>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</si>
  <si>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</si>
  <si>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</si>
  <si>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</si>
  <si>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</si>
  <si>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</si>
  <si>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</si>
  <si>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</si>
  <si>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</si>
  <si>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</si>
  <si>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</si>
  <si>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</si>
  <si>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</si>
  <si>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</si>
  <si>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</si>
  <si>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</si>
  <si>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</si>
  <si>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</si>
  <si>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</si>
  <si>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</si>
  <si>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</si>
  <si>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</si>
  <si>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</si>
  <si>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</si>
  <si>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</si>
  <si>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</si>
  <si>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</si>
  <si>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</si>
  <si>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</si>
  <si>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</si>
  <si>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</si>
  <si>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</si>
  <si>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</si>
  <si>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</si>
  <si>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</si>
  <si>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</si>
  <si>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</si>
  <si>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</si>
  <si>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</si>
  <si>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</si>
  <si>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</si>
  <si>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</si>
  <si>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</si>
  <si>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</si>
  <si>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</si>
  <si>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</si>
  <si>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</si>
  <si>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</si>
  <si>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</si>
  <si>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</si>
  <si>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</si>
  <si>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</si>
  <si>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</si>
  <si>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</si>
  <si>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</si>
  <si>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</si>
  <si>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</si>
  <si>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</si>
  <si>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</si>
  <si>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</si>
  <si>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</si>
  <si>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</si>
  <si>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</si>
  <si>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</si>
  <si>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</si>
  <si>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</si>
  <si>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</si>
  <si>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</si>
  <si>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</si>
  <si>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</si>
  <si>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</si>
  <si>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</si>
  <si>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</si>
  <si>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</si>
  <si>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</si>
  <si>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</si>
  <si>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</si>
  <si>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</si>
  <si>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</si>
  <si>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</si>
  <si>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</si>
  <si>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</si>
  <si>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</si>
  <si>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</si>
  <si>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</si>
  <si>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</si>
  <si>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</si>
  <si>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</si>
  <si>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</si>
  <si>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</si>
  <si>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</si>
  <si>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</si>
  <si>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</si>
  <si>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</si>
  <si>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</si>
  <si>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</si>
  <si>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</si>
  <si>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</si>
  <si>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</si>
  <si>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</si>
  <si>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</si>
  <si>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</si>
  <si>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</si>
  <si>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</si>
  <si>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</si>
  <si>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</si>
  <si>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</si>
  <si>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</si>
  <si>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</si>
  <si>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</si>
  <si>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</si>
  <si>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</si>
  <si>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</si>
  <si>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</si>
  <si>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</si>
  <si>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</si>
  <si>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</si>
  <si>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</si>
  <si>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</si>
  <si>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</si>
  <si>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</si>
  <si>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</si>
  <si>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</si>
  <si>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</si>
  <si>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</si>
  <si>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</si>
  <si>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</si>
  <si>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</si>
  <si>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</si>
  <si>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</si>
  <si>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</si>
  <si>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</si>
  <si>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</si>
  <si>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</si>
  <si>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</si>
  <si>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</si>
  <si>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</si>
  <si>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</si>
  <si>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</si>
  <si>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</si>
  <si>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</si>
  <si>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</si>
  <si>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</si>
  <si>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</si>
  <si>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</si>
  <si>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</si>
  <si>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</si>
  <si>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</si>
  <si>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</si>
  <si>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</si>
  <si>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</si>
  <si>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</si>
  <si>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</si>
  <si>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</si>
  <si>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</si>
  <si>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</si>
  <si>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</si>
  <si>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</si>
  <si>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</si>
  <si>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</si>
  <si>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</si>
  <si>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</si>
  <si>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</si>
  <si>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</si>
  <si>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</si>
  <si>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</si>
  <si>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</si>
  <si>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</si>
  <si>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</si>
  <si>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</si>
  <si>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</si>
  <si>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</si>
  <si>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</si>
  <si>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</si>
  <si>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</si>
  <si>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</si>
  <si>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</si>
  <si>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</si>
  <si>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</si>
  <si>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</si>
  <si>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</si>
  <si>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</si>
  <si>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</si>
  <si>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</si>
  <si>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</si>
  <si>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</si>
  <si>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</si>
  <si>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</si>
  <si>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</si>
  <si>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</si>
  <si>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</si>
  <si>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</si>
  <si>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</si>
  <si>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</si>
  <si>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</si>
  <si>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</si>
  <si>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</si>
  <si>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</si>
  <si>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</si>
  <si>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</si>
  <si>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</si>
  <si>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</si>
  <si>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</si>
  <si>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</si>
  <si>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</si>
  <si>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</si>
  <si>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</si>
  <si>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</si>
  <si>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</si>
  <si>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</si>
  <si>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</si>
  <si>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</si>
  <si>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</si>
  <si>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</si>
  <si>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</si>
  <si>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</si>
  <si>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</si>
  <si>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</si>
  <si>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</si>
  <si>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</si>
  <si>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</si>
  <si>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</si>
  <si>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</si>
  <si>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</si>
  <si>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</si>
  <si>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</si>
  <si>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</si>
  <si>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</si>
  <si>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</si>
  <si>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</si>
  <si>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</si>
  <si>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</si>
  <si>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</si>
  <si>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</si>
  <si>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</si>
  <si>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</si>
  <si>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</si>
  <si>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</si>
  <si>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</si>
  <si>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</si>
  <si>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</si>
  <si>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</si>
  <si>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</si>
  <si>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</si>
  <si>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</si>
  <si>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</si>
  <si>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</si>
  <si>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</si>
  <si>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</si>
  <si>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</si>
  <si>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</si>
  <si>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</si>
  <si>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</si>
  <si>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</si>
  <si>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</si>
  <si>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</si>
  <si>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</si>
  <si>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</si>
  <si>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</si>
  <si>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</si>
  <si>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</si>
  <si>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</si>
  <si>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</si>
  <si>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</si>
  <si>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</si>
  <si>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</si>
  <si>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</si>
  <si>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</si>
  <si>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</si>
  <si>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</si>
  <si>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</si>
  <si>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</si>
  <si>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</si>
  <si>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</si>
  <si>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</si>
  <si>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</si>
  <si>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</si>
  <si>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</si>
  <si>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</si>
  <si>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</si>
  <si>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</si>
  <si>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</si>
  <si>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</si>
  <si>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</si>
  <si>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</si>
  <si>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</si>
  <si>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</si>
  <si>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</si>
  <si>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</si>
  <si>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</si>
  <si>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</si>
  <si>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</si>
  <si>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</si>
  <si>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</si>
  <si>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</si>
  <si>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</si>
  <si>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</si>
  <si>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</si>
  <si>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</si>
  <si>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</si>
  <si>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</si>
  <si>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</si>
  <si>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</si>
  <si>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</si>
  <si>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</si>
  <si>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</si>
  <si>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</si>
  <si>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</si>
  <si>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</si>
  <si>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</si>
  <si>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</si>
  <si>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</si>
  <si>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</si>
  <si>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</si>
  <si>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</si>
  <si>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</si>
  <si>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</si>
  <si>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</si>
  <si>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</si>
  <si>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</si>
  <si>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</si>
  <si>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</si>
  <si>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</si>
  <si>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</si>
  <si>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</si>
  <si>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</si>
  <si>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</si>
  <si>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</si>
  <si>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</si>
  <si>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</si>
  <si>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</si>
  <si>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</si>
  <si>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</si>
  <si>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</si>
  <si>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</si>
  <si>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37017</t>
  </si>
  <si>
    <t>WIELSBEKE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</si>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</sst>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0995644-ECB3-4E62-AA18-2ED2A91A1B2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75685.407290222996</c:v>
                </c:pt>
                <c:pt idx="1">
                  <c:v>38680.751021607328</c:v>
                </c:pt>
                <c:pt idx="2">
                  <c:v>980.98299999999995</c:v>
                </c:pt>
                <c:pt idx="3">
                  <c:v>5706.5000902307575</c:v>
                </c:pt>
                <c:pt idx="4">
                  <c:v>918738.10522012808</c:v>
                </c:pt>
                <c:pt idx="5">
                  <c:v>51317.300800875462</c:v>
                </c:pt>
                <c:pt idx="6">
                  <c:v>395.18907146664498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75685.407290222996</c:v>
                </c:pt>
                <c:pt idx="1">
                  <c:v>38680.751021607328</c:v>
                </c:pt>
                <c:pt idx="2">
                  <c:v>980.98299999999995</c:v>
                </c:pt>
                <c:pt idx="3">
                  <c:v>5706.5000902307575</c:v>
                </c:pt>
                <c:pt idx="4">
                  <c:v>918738.10522012808</c:v>
                </c:pt>
                <c:pt idx="5">
                  <c:v>51317.300800875462</c:v>
                </c:pt>
                <c:pt idx="6">
                  <c:v>395.18907146664498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15822.895288627236</c:v>
                </c:pt>
                <c:pt idx="2">
                  <c:v>7929.7147704340932</c:v>
                </c:pt>
                <c:pt idx="3">
                  <c:v>204.17100155276373</c:v>
                </c:pt>
                <c:pt idx="4">
                  <c:v>1464.6472178632785</c:v>
                </c:pt>
                <c:pt idx="5">
                  <c:v>195196.48041661622</c:v>
                </c:pt>
                <c:pt idx="6">
                  <c:v>13167.060208390891</c:v>
                </c:pt>
                <c:pt idx="7">
                  <c:v>102.21283440011071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15822.895288627236</c:v>
                </c:pt>
                <c:pt idx="2">
                  <c:v>7929.7147704340932</c:v>
                </c:pt>
                <c:pt idx="3">
                  <c:v>204.17100155276373</c:v>
                </c:pt>
                <c:pt idx="4">
                  <c:v>1464.6472178632785</c:v>
                </c:pt>
                <c:pt idx="5">
                  <c:v>195196.48041661622</c:v>
                </c:pt>
                <c:pt idx="6">
                  <c:v>13167.060208390891</c:v>
                </c:pt>
                <c:pt idx="7">
                  <c:v>102.21283440011071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37017</v>
      </c>
      <c r="B6" s="380"/>
      <c r="C6" s="381"/>
    </row>
    <row r="7" spans="1:7" s="378" customFormat="1" ht="15.75" customHeight="1">
      <c r="A7" s="382" t="str">
        <f>txtMunicipality</f>
        <v>WIELSBEKE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0.20812899056636427</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0.20812899056636427</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3747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1016.05</v>
      </c>
      <c r="C14" s="322"/>
      <c r="D14" s="322"/>
      <c r="E14" s="322"/>
      <c r="F14" s="322"/>
    </row>
    <row r="15" spans="1:6">
      <c r="A15" s="1248" t="s">
        <v>177</v>
      </c>
      <c r="B15" s="1249">
        <v>512</v>
      </c>
      <c r="C15" s="322"/>
      <c r="D15" s="322"/>
      <c r="E15" s="322"/>
      <c r="F15" s="322"/>
    </row>
    <row r="16" spans="1:6">
      <c r="A16" s="1248" t="s">
        <v>6</v>
      </c>
      <c r="B16" s="1249">
        <v>434</v>
      </c>
      <c r="C16" s="322"/>
      <c r="D16" s="322"/>
      <c r="E16" s="322"/>
      <c r="F16" s="322"/>
    </row>
    <row r="17" spans="1:6">
      <c r="A17" s="1248" t="s">
        <v>7</v>
      </c>
      <c r="B17" s="1249">
        <v>503</v>
      </c>
      <c r="C17" s="322"/>
      <c r="D17" s="322"/>
      <c r="E17" s="322"/>
      <c r="F17" s="322"/>
    </row>
    <row r="18" spans="1:6">
      <c r="A18" s="1248" t="s">
        <v>8</v>
      </c>
      <c r="B18" s="1249">
        <v>755</v>
      </c>
      <c r="C18" s="322"/>
      <c r="D18" s="322"/>
      <c r="E18" s="322"/>
      <c r="F18" s="322"/>
    </row>
    <row r="19" spans="1:6">
      <c r="A19" s="1248" t="s">
        <v>9</v>
      </c>
      <c r="B19" s="1249">
        <v>659</v>
      </c>
      <c r="C19" s="322"/>
      <c r="D19" s="322"/>
      <c r="E19" s="322"/>
      <c r="F19" s="322"/>
    </row>
    <row r="20" spans="1:6">
      <c r="A20" s="1248" t="s">
        <v>10</v>
      </c>
      <c r="B20" s="1249">
        <v>430</v>
      </c>
      <c r="C20" s="322"/>
      <c r="D20" s="322"/>
      <c r="E20" s="322"/>
      <c r="F20" s="322"/>
    </row>
    <row r="21" spans="1:6">
      <c r="A21" s="1248" t="s">
        <v>11</v>
      </c>
      <c r="B21" s="1249">
        <v>3177</v>
      </c>
      <c r="C21" s="322"/>
      <c r="D21" s="322"/>
      <c r="E21" s="322"/>
      <c r="F21" s="322"/>
    </row>
    <row r="22" spans="1:6">
      <c r="A22" s="1248" t="s">
        <v>12</v>
      </c>
      <c r="B22" s="1249">
        <v>16626</v>
      </c>
      <c r="C22" s="322"/>
      <c r="D22" s="322"/>
      <c r="E22" s="322"/>
      <c r="F22" s="322"/>
    </row>
    <row r="23" spans="1:6">
      <c r="A23" s="1248" t="s">
        <v>13</v>
      </c>
      <c r="B23" s="1249">
        <v>105</v>
      </c>
      <c r="C23" s="322"/>
      <c r="D23" s="322"/>
      <c r="E23" s="322"/>
      <c r="F23" s="322"/>
    </row>
    <row r="24" spans="1:6">
      <c r="A24" s="1248" t="s">
        <v>14</v>
      </c>
      <c r="B24" s="1249">
        <v>6</v>
      </c>
      <c r="C24" s="322"/>
      <c r="D24" s="322"/>
      <c r="E24" s="322"/>
      <c r="F24" s="322"/>
    </row>
    <row r="25" spans="1:6">
      <c r="A25" s="1248" t="s">
        <v>15</v>
      </c>
      <c r="B25" s="1249">
        <v>879</v>
      </c>
      <c r="C25" s="322"/>
      <c r="D25" s="322"/>
      <c r="E25" s="322"/>
      <c r="F25" s="322"/>
    </row>
    <row r="26" spans="1:6">
      <c r="A26" s="1248" t="s">
        <v>16</v>
      </c>
      <c r="B26" s="1249">
        <v>160</v>
      </c>
      <c r="C26" s="322"/>
      <c r="D26" s="322"/>
      <c r="E26" s="322"/>
      <c r="F26" s="322"/>
    </row>
    <row r="27" spans="1:6">
      <c r="A27" s="1248" t="s">
        <v>17</v>
      </c>
      <c r="B27" s="1249">
        <v>0</v>
      </c>
      <c r="C27" s="322"/>
      <c r="D27" s="322"/>
      <c r="E27" s="322"/>
      <c r="F27" s="322"/>
    </row>
    <row r="28" spans="1:6">
      <c r="A28" s="1248" t="s">
        <v>18</v>
      </c>
      <c r="B28" s="1250">
        <v>80390</v>
      </c>
      <c r="C28" s="322"/>
      <c r="D28" s="322"/>
      <c r="E28" s="322"/>
      <c r="F28" s="322"/>
    </row>
    <row r="29" spans="1:6">
      <c r="A29" s="1248" t="s">
        <v>884</v>
      </c>
      <c r="B29" s="1250">
        <v>33</v>
      </c>
      <c r="C29" s="322"/>
      <c r="D29" s="322"/>
      <c r="E29" s="322"/>
      <c r="F29" s="322"/>
    </row>
    <row r="30" spans="1:6">
      <c r="A30" s="1243" t="s">
        <v>885</v>
      </c>
      <c r="B30" s="1251">
        <v>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1755578.1831</v>
      </c>
    </row>
    <row r="39" spans="1:6">
      <c r="A39" s="1248" t="s">
        <v>29</v>
      </c>
      <c r="B39" s="1248" t="s">
        <v>30</v>
      </c>
      <c r="C39" s="1249">
        <v>2191</v>
      </c>
      <c r="D39" s="1249">
        <v>32676847.620000001</v>
      </c>
      <c r="E39" s="1249">
        <v>3516</v>
      </c>
      <c r="F39" s="1249">
        <v>13775148.99</v>
      </c>
    </row>
    <row r="40" spans="1:6">
      <c r="A40" s="1248" t="s">
        <v>29</v>
      </c>
      <c r="B40" s="1248" t="s">
        <v>28</v>
      </c>
      <c r="C40" s="1249">
        <v>0</v>
      </c>
      <c r="D40" s="1249">
        <v>0</v>
      </c>
      <c r="E40" s="1249">
        <v>0</v>
      </c>
      <c r="F40" s="1249">
        <v>11524</v>
      </c>
    </row>
    <row r="41" spans="1:6">
      <c r="A41" s="1248" t="s">
        <v>31</v>
      </c>
      <c r="B41" s="1248" t="s">
        <v>32</v>
      </c>
      <c r="C41" s="1249">
        <v>51</v>
      </c>
      <c r="D41" s="1249">
        <v>78793942.811000004</v>
      </c>
      <c r="E41" s="1249">
        <v>174</v>
      </c>
      <c r="F41" s="1249">
        <v>169059788.84999999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298418.17559</v>
      </c>
    </row>
    <row r="45" spans="1:6">
      <c r="A45" s="1248" t="s">
        <v>31</v>
      </c>
      <c r="B45" s="1248" t="s">
        <v>36</v>
      </c>
      <c r="C45" s="1249">
        <v>0</v>
      </c>
      <c r="D45" s="1249">
        <v>0</v>
      </c>
      <c r="E45" s="1249">
        <v>4</v>
      </c>
      <c r="F45" s="1249">
        <v>104007.18513</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566896.13719000004</v>
      </c>
    </row>
    <row r="48" spans="1:6">
      <c r="A48" s="1248" t="s">
        <v>31</v>
      </c>
      <c r="B48" s="1248" t="s">
        <v>28</v>
      </c>
      <c r="C48" s="1249">
        <v>34</v>
      </c>
      <c r="D48" s="1249">
        <v>193744228.50999999</v>
      </c>
      <c r="E48" s="1249">
        <v>34</v>
      </c>
      <c r="F48" s="1249">
        <v>20955555.120000001</v>
      </c>
    </row>
    <row r="49" spans="1:6">
      <c r="A49" s="1248" t="s">
        <v>31</v>
      </c>
      <c r="B49" s="1248" t="s">
        <v>39</v>
      </c>
      <c r="C49" s="1249">
        <v>8</v>
      </c>
      <c r="D49" s="1249">
        <v>119287040.84999999</v>
      </c>
      <c r="E49" s="1249">
        <v>29</v>
      </c>
      <c r="F49" s="1249">
        <v>132996289.73999999</v>
      </c>
    </row>
    <row r="50" spans="1:6">
      <c r="A50" s="1248" t="s">
        <v>31</v>
      </c>
      <c r="B50" s="1248" t="s">
        <v>40</v>
      </c>
      <c r="C50" s="1249">
        <v>7</v>
      </c>
      <c r="D50" s="1249">
        <v>885761.92755000002</v>
      </c>
      <c r="E50" s="1249">
        <v>10</v>
      </c>
      <c r="F50" s="1249">
        <v>14688918.664000001</v>
      </c>
    </row>
    <row r="51" spans="1:6">
      <c r="A51" s="1248" t="s">
        <v>41</v>
      </c>
      <c r="B51" s="1248" t="s">
        <v>42</v>
      </c>
      <c r="C51" s="1249">
        <v>0</v>
      </c>
      <c r="D51" s="1249">
        <v>0</v>
      </c>
      <c r="E51" s="1249">
        <v>50</v>
      </c>
      <c r="F51" s="1249">
        <v>848591.81712000002</v>
      </c>
    </row>
    <row r="52" spans="1:6">
      <c r="A52" s="1248" t="s">
        <v>41</v>
      </c>
      <c r="B52" s="1248" t="s">
        <v>28</v>
      </c>
      <c r="C52" s="1249">
        <v>6</v>
      </c>
      <c r="D52" s="1249">
        <v>264283.54319</v>
      </c>
      <c r="E52" s="1249">
        <v>7</v>
      </c>
      <c r="F52" s="1249">
        <v>266447.08597000001</v>
      </c>
    </row>
    <row r="53" spans="1:6">
      <c r="A53" s="1248" t="s">
        <v>43</v>
      </c>
      <c r="B53" s="1248" t="s">
        <v>44</v>
      </c>
      <c r="C53" s="1249">
        <v>56</v>
      </c>
      <c r="D53" s="1249">
        <v>902215.41014000005</v>
      </c>
      <c r="E53" s="1249">
        <v>115</v>
      </c>
      <c r="F53" s="1249">
        <v>415541.66434000002</v>
      </c>
    </row>
    <row r="54" spans="1:6">
      <c r="A54" s="1248" t="s">
        <v>45</v>
      </c>
      <c r="B54" s="1248" t="s">
        <v>46</v>
      </c>
      <c r="C54" s="1249">
        <v>0</v>
      </c>
      <c r="D54" s="1249">
        <v>0</v>
      </c>
      <c r="E54" s="1249">
        <v>1</v>
      </c>
      <c r="F54" s="1249">
        <v>980983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22</v>
      </c>
      <c r="D57" s="1249">
        <v>723327.40616999997</v>
      </c>
      <c r="E57" s="1249">
        <v>49</v>
      </c>
      <c r="F57" s="1249">
        <v>1793283.2490000001</v>
      </c>
    </row>
    <row r="58" spans="1:6">
      <c r="A58" s="1248" t="s">
        <v>48</v>
      </c>
      <c r="B58" s="1248" t="s">
        <v>50</v>
      </c>
      <c r="C58" s="1249">
        <v>0</v>
      </c>
      <c r="D58" s="1249">
        <v>0</v>
      </c>
      <c r="E58" s="1249">
        <v>10</v>
      </c>
      <c r="F58" s="1249">
        <v>67277.645357999994</v>
      </c>
    </row>
    <row r="59" spans="1:6">
      <c r="A59" s="1248" t="s">
        <v>48</v>
      </c>
      <c r="B59" s="1248" t="s">
        <v>51</v>
      </c>
      <c r="C59" s="1249">
        <v>21</v>
      </c>
      <c r="D59" s="1249">
        <v>769588.72170999995</v>
      </c>
      <c r="E59" s="1249">
        <v>97</v>
      </c>
      <c r="F59" s="1249">
        <v>2198977.0515999999</v>
      </c>
    </row>
    <row r="60" spans="1:6">
      <c r="A60" s="1248" t="s">
        <v>48</v>
      </c>
      <c r="B60" s="1248" t="s">
        <v>52</v>
      </c>
      <c r="C60" s="1249">
        <v>16</v>
      </c>
      <c r="D60" s="1249">
        <v>478441.30330000003</v>
      </c>
      <c r="E60" s="1249">
        <v>21</v>
      </c>
      <c r="F60" s="1249">
        <v>258674.46134000001</v>
      </c>
    </row>
    <row r="61" spans="1:6">
      <c r="A61" s="1248" t="s">
        <v>48</v>
      </c>
      <c r="B61" s="1248" t="s">
        <v>53</v>
      </c>
      <c r="C61" s="1249">
        <v>89</v>
      </c>
      <c r="D61" s="1249">
        <v>3947608.9051000001</v>
      </c>
      <c r="E61" s="1249">
        <v>189</v>
      </c>
      <c r="F61" s="1249">
        <v>5537969.6229999997</v>
      </c>
    </row>
    <row r="62" spans="1:6">
      <c r="A62" s="1248" t="s">
        <v>48</v>
      </c>
      <c r="B62" s="1248" t="s">
        <v>54</v>
      </c>
      <c r="C62" s="1249">
        <v>6</v>
      </c>
      <c r="D62" s="1249">
        <v>773007.14650000003</v>
      </c>
      <c r="E62" s="1249">
        <v>6</v>
      </c>
      <c r="F62" s="1249">
        <v>88641.297672999994</v>
      </c>
    </row>
    <row r="63" spans="1:6">
      <c r="A63" s="1248" t="s">
        <v>48</v>
      </c>
      <c r="B63" s="1248" t="s">
        <v>28</v>
      </c>
      <c r="C63" s="1249">
        <v>69</v>
      </c>
      <c r="D63" s="1249">
        <v>2199490.3615000001</v>
      </c>
      <c r="E63" s="1249">
        <v>88</v>
      </c>
      <c r="F63" s="1249">
        <v>13037419.358999999</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4</v>
      </c>
      <c r="F66" s="1249">
        <v>77707.194145000001</v>
      </c>
    </row>
    <row r="67" spans="1:6">
      <c r="A67" s="1248" t="s">
        <v>55</v>
      </c>
      <c r="B67" s="1248" t="s">
        <v>58</v>
      </c>
      <c r="C67" s="1249">
        <v>0</v>
      </c>
      <c r="D67" s="1249">
        <v>0</v>
      </c>
      <c r="E67" s="1249">
        <v>0</v>
      </c>
      <c r="F67" s="1249">
        <v>0</v>
      </c>
    </row>
    <row r="68" spans="1:6">
      <c r="A68" s="1243" t="s">
        <v>55</v>
      </c>
      <c r="B68" s="1243" t="s">
        <v>59</v>
      </c>
      <c r="C68" s="1251">
        <v>5</v>
      </c>
      <c r="D68" s="1251">
        <v>91578.927635999993</v>
      </c>
      <c r="E68" s="1251">
        <v>23</v>
      </c>
      <c r="F68" s="1251">
        <v>369009.77583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24855377</v>
      </c>
      <c r="E73" s="439"/>
      <c r="F73" s="322"/>
    </row>
    <row r="74" spans="1:6">
      <c r="A74" s="1248" t="s">
        <v>63</v>
      </c>
      <c r="B74" s="1248" t="s">
        <v>626</v>
      </c>
      <c r="C74" s="1261" t="s">
        <v>628</v>
      </c>
      <c r="D74" s="1249">
        <v>5235700.5426732181</v>
      </c>
      <c r="E74" s="439"/>
      <c r="F74" s="322"/>
    </row>
    <row r="75" spans="1:6">
      <c r="A75" s="1248" t="s">
        <v>64</v>
      </c>
      <c r="B75" s="1248" t="s">
        <v>625</v>
      </c>
      <c r="C75" s="1261" t="s">
        <v>629</v>
      </c>
      <c r="D75" s="1249">
        <v>15025473</v>
      </c>
      <c r="E75" s="439"/>
      <c r="F75" s="322"/>
    </row>
    <row r="76" spans="1:6">
      <c r="A76" s="1248" t="s">
        <v>64</v>
      </c>
      <c r="B76" s="1248" t="s">
        <v>626</v>
      </c>
      <c r="C76" s="1261" t="s">
        <v>630</v>
      </c>
      <c r="D76" s="1249">
        <v>2211839.5426732176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106884.9146535644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12170.573935654025</v>
      </c>
      <c r="C90" s="322"/>
      <c r="D90" s="322"/>
      <c r="E90" s="322"/>
      <c r="F90" s="322"/>
    </row>
    <row r="91" spans="1:6">
      <c r="A91" s="1248" t="s">
        <v>67</v>
      </c>
      <c r="B91" s="1249">
        <v>1971.9128222427066</v>
      </c>
      <c r="C91" s="322"/>
      <c r="D91" s="322"/>
      <c r="E91" s="322"/>
      <c r="F91" s="322"/>
    </row>
    <row r="92" spans="1:6">
      <c r="A92" s="1243" t="s">
        <v>68</v>
      </c>
      <c r="B92" s="1244">
        <v>8137.5433852684419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1190</v>
      </c>
      <c r="C97" s="322"/>
      <c r="D97" s="322"/>
      <c r="E97" s="322"/>
      <c r="F97" s="322"/>
    </row>
    <row r="98" spans="1:6">
      <c r="A98" s="1248" t="s">
        <v>71</v>
      </c>
      <c r="B98" s="1249">
        <v>0</v>
      </c>
      <c r="C98" s="322"/>
      <c r="D98" s="322"/>
      <c r="E98" s="322"/>
      <c r="F98" s="322"/>
    </row>
    <row r="99" spans="1:6">
      <c r="A99" s="1248" t="s">
        <v>72</v>
      </c>
      <c r="B99" s="1249">
        <v>52</v>
      </c>
      <c r="C99" s="322"/>
      <c r="D99" s="322"/>
      <c r="E99" s="322"/>
      <c r="F99" s="322"/>
    </row>
    <row r="100" spans="1:6">
      <c r="A100" s="1248" t="s">
        <v>73</v>
      </c>
      <c r="B100" s="1249">
        <v>255</v>
      </c>
      <c r="C100" s="322"/>
      <c r="D100" s="322"/>
      <c r="E100" s="322"/>
      <c r="F100" s="322"/>
    </row>
    <row r="101" spans="1:6">
      <c r="A101" s="1248" t="s">
        <v>74</v>
      </c>
      <c r="B101" s="1249">
        <v>72</v>
      </c>
      <c r="C101" s="322"/>
      <c r="D101" s="322"/>
      <c r="E101" s="322"/>
      <c r="F101" s="322"/>
    </row>
    <row r="102" spans="1:6">
      <c r="A102" s="1248" t="s">
        <v>75</v>
      </c>
      <c r="B102" s="1249">
        <v>71</v>
      </c>
      <c r="C102" s="322"/>
      <c r="D102" s="322"/>
      <c r="E102" s="322"/>
      <c r="F102" s="322"/>
    </row>
    <row r="103" spans="1:6">
      <c r="A103" s="1248" t="s">
        <v>76</v>
      </c>
      <c r="B103" s="1249">
        <v>104</v>
      </c>
      <c r="C103" s="322"/>
      <c r="D103" s="322"/>
      <c r="E103" s="322"/>
      <c r="F103" s="322"/>
    </row>
    <row r="104" spans="1:6">
      <c r="A104" s="1248" t="s">
        <v>77</v>
      </c>
      <c r="B104" s="1249">
        <v>1539</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113</v>
      </c>
      <c r="C129" s="322"/>
      <c r="D129" s="322"/>
      <c r="E129" s="322"/>
      <c r="F129" s="322"/>
    </row>
    <row r="130" spans="1:6">
      <c r="A130" s="1248" t="s">
        <v>284</v>
      </c>
      <c r="B130" s="1249">
        <v>3</v>
      </c>
      <c r="C130" s="322"/>
      <c r="D130" s="322"/>
      <c r="E130" s="322"/>
      <c r="F130" s="322"/>
    </row>
    <row r="131" spans="1:6">
      <c r="A131" s="1248" t="s">
        <v>285</v>
      </c>
      <c r="B131" s="1249">
        <v>7</v>
      </c>
      <c r="C131" s="322"/>
      <c r="D131" s="322"/>
      <c r="E131" s="322"/>
      <c r="F131" s="322"/>
    </row>
    <row r="132" spans="1:6">
      <c r="A132" s="1243" t="s">
        <v>286</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381078.04198996135</v>
      </c>
      <c r="C3" s="43" t="s">
        <v>163</v>
      </c>
      <c r="D3" s="43"/>
      <c r="E3" s="153"/>
      <c r="F3" s="43"/>
      <c r="G3" s="43"/>
      <c r="H3" s="43"/>
      <c r="I3" s="43"/>
      <c r="J3" s="43"/>
      <c r="K3" s="96"/>
    </row>
    <row r="4" spans="1:11">
      <c r="A4" s="348" t="s">
        <v>164</v>
      </c>
      <c r="B4" s="49">
        <f>IF(ISERROR('SEAP template'!B78+'SEAP template'!C78),0,'SEAP template'!B78+'SEAP template'!C78)</f>
        <v>23423.030143165175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271.63058823529417</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0.20812899056636427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388.04369747899159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1632.8571428571429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980.98299999999995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980.98299999999995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0.20812899056636427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204.17100155276373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13786.672990000001</v>
      </c>
      <c r="C5" s="17">
        <f>IF(ISERROR('Eigen informatie GS &amp; warmtenet'!B57),0,'Eigen informatie GS &amp; warmtenet'!B57)</f>
        <v>0</v>
      </c>
      <c r="D5" s="30">
        <f>(SUM(HH_hh_gas_kWh,HH_rest_gas_kWh)/1000)*0.902</f>
        <v>29474.516553240002</v>
      </c>
      <c r="E5" s="17">
        <f>B32*B41</f>
        <v>859.79725122640832</v>
      </c>
      <c r="F5" s="17">
        <f>B36*B45</f>
        <v>23376.185402548428</v>
      </c>
      <c r="G5" s="18"/>
      <c r="H5" s="17"/>
      <c r="I5" s="17"/>
      <c r="J5" s="17">
        <f>B35*B44+C35*C44</f>
        <v>431.09861160572467</v>
      </c>
      <c r="K5" s="17"/>
      <c r="L5" s="17"/>
      <c r="M5" s="17"/>
      <c r="N5" s="17">
        <f>B34*B43+C34*C43</f>
        <v>4965.2969926930627</v>
      </c>
      <c r="O5" s="17">
        <f>B52*B53*B54</f>
        <v>190.72666666666666</v>
      </c>
      <c r="P5" s="17">
        <f>B60*B61*B62/1000-B60*B61*B62/1000/B63</f>
        <v>629.20000000000005</v>
      </c>
    </row>
    <row r="6" spans="1:16">
      <c r="A6" s="16" t="s">
        <v>586</v>
      </c>
      <c r="B6" s="716">
        <f>kWh_PV_kleiner_dan_10kW</f>
        <v>1971.9128222427066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15758.585812242707</v>
      </c>
      <c r="C8" s="21">
        <f>C5</f>
        <v>0</v>
      </c>
      <c r="D8" s="21">
        <f>D5</f>
        <v>29474.516553240002</v>
      </c>
      <c r="E8" s="21">
        <f>E5</f>
        <v>859.79725122640832</v>
      </c>
      <c r="F8" s="21">
        <f>F5</f>
        <v>23376.185402548428</v>
      </c>
      <c r="G8" s="21"/>
      <c r="H8" s="21"/>
      <c r="I8" s="21"/>
      <c r="J8" s="21">
        <f>J5</f>
        <v>431.09861160572467</v>
      </c>
      <c r="K8" s="21"/>
      <c r="L8" s="21">
        <f>L5</f>
        <v>0</v>
      </c>
      <c r="M8" s="21">
        <f>M5</f>
        <v>0</v>
      </c>
      <c r="N8" s="21">
        <f>N5</f>
        <v>4965.2969926930627</v>
      </c>
      <c r="O8" s="21">
        <f>O5</f>
        <v>190.72666666666666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0.20812899056636427</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3279.8185578555044</v>
      </c>
      <c r="C12" s="23">
        <f ca="1">C10*C8</f>
        <v>0</v>
      </c>
      <c r="D12" s="23">
        <f>D8*D10</f>
        <v>5953.8523437544809</v>
      </c>
      <c r="E12" s="23">
        <f>E10*E8</f>
        <v>195.17397602839469</v>
      </c>
      <c r="F12" s="23">
        <f>F10*F8</f>
        <v>6241.4415024804302</v>
      </c>
      <c r="G12" s="23"/>
      <c r="H12" s="23"/>
      <c r="I12" s="23"/>
      <c r="J12" s="23">
        <f>J10*J8</f>
        <v>152.60890850842654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3747</v>
      </c>
      <c r="C26" s="36"/>
      <c r="D26" s="224"/>
    </row>
    <row r="27" spans="1:5" s="15" customFormat="1">
      <c r="A27" s="226" t="s">
        <v>655</v>
      </c>
      <c r="B27" s="37">
        <f>SUM(HH_hh_gas_aantal,HH_rest_gas_aantal)</f>
        <v>2191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2081.4499999999998</v>
      </c>
      <c r="C31" s="34" t="s">
        <v>104</v>
      </c>
      <c r="D31" s="170"/>
    </row>
    <row r="32" spans="1:5">
      <c r="A32" s="167" t="s">
        <v>72</v>
      </c>
      <c r="B32" s="33">
        <f>IF((B21*($B$26-($B$27-0.05*$B$27)-$B$60))&lt;0,0,B21*($B$26-($B$27-0.05*$B$27)-$B$60))</f>
        <v>10.535541973268611</v>
      </c>
      <c r="C32" s="34" t="s">
        <v>104</v>
      </c>
      <c r="D32" s="170"/>
    </row>
    <row r="33" spans="1:6">
      <c r="A33" s="167" t="s">
        <v>73</v>
      </c>
      <c r="B33" s="33">
        <f>IF((B22*($B$26-($B$27-0.05*$B$27)-$B$60))&lt;0,0,B22*($B$26-($B$27-0.05*$B$27)-$B$60))</f>
        <v>366.88584412531259</v>
      </c>
      <c r="C33" s="34" t="s">
        <v>104</v>
      </c>
      <c r="D33" s="170"/>
    </row>
    <row r="34" spans="1:6">
      <c r="A34" s="167" t="s">
        <v>74</v>
      </c>
      <c r="B34" s="33">
        <f>IF((B24*($B$26-($B$27-0.05*$B$27)-$B$60))&lt;0,0,B24*($B$26-($B$27-0.05*$B$27)-$B$60))</f>
        <v>72.856010554619317</v>
      </c>
      <c r="C34" s="33">
        <f>B26*C24</f>
        <v>766.8697894737993</v>
      </c>
      <c r="D34" s="229"/>
    </row>
    <row r="35" spans="1:6">
      <c r="A35" s="167" t="s">
        <v>76</v>
      </c>
      <c r="B35" s="33">
        <f>IF((B19*($B$26-($B$27-0.05*$B$27)-$B$60))&lt;0,0,B19*($B$26-($B$27-0.05*$B$27)-$B$60))</f>
        <v>35.579260035667026</v>
      </c>
      <c r="C35" s="33">
        <f>B35/2</f>
        <v>17.789630017833513</v>
      </c>
      <c r="D35" s="229"/>
    </row>
    <row r="36" spans="1:6">
      <c r="A36" s="167" t="s">
        <v>77</v>
      </c>
      <c r="B36" s="33">
        <f>IF((B18*($B$26-($B$27-0.05*$B$27)-$B$60))&lt;0,0,B18*($B$26-($B$27-0.05*$B$27)-$B$60))</f>
        <v>1146.693343311133</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22982.242686971</v>
      </c>
      <c r="C5" s="17">
        <f>IF(ISERROR('Eigen informatie GS &amp; warmtenet'!B58),0,'Eigen informatie GS &amp; warmtenet'!B58)</f>
        <v>0</v>
      </c>
      <c r="D5" s="30">
        <f>SUM(D6:D12)</f>
        <v>8020.1003875405613</v>
      </c>
      <c r="E5" s="17">
        <f>SUM(E6:E12)</f>
        <v>275.83219070261248</v>
      </c>
      <c r="F5" s="17">
        <f>SUM(F6:F12)</f>
        <v>5482.2165503034794</v>
      </c>
      <c r="G5" s="18"/>
      <c r="H5" s="17"/>
      <c r="I5" s="17"/>
      <c r="J5" s="17">
        <f>SUM(J6:J12)</f>
        <v>5.0267061858010428E-2</v>
      </c>
      <c r="K5" s="17"/>
      <c r="L5" s="17"/>
      <c r="M5" s="17"/>
      <c r="N5" s="17">
        <f>SUM(N6:N12)</f>
        <v>1782.1522723611511</v>
      </c>
      <c r="O5" s="17">
        <f>B38*B39*B40</f>
        <v>4.6900000000000004</v>
      </c>
      <c r="P5" s="17">
        <f>B46*B47*B48/1000-B46*B47*B48/1000/B49</f>
        <v>133.46666666666667</v>
      </c>
      <c r="R5" s="32"/>
    </row>
    <row r="6" spans="1:18">
      <c r="A6" s="32" t="s">
        <v>53</v>
      </c>
      <c r="B6" s="37">
        <f>B26</f>
        <v>5537.969623</v>
      </c>
      <c r="C6" s="33"/>
      <c r="D6" s="37">
        <f>IF(ISERROR(TER_kantoor_gas_kWh/1000),0,TER_kantoor_gas_kWh/1000)*0.902</f>
        <v>3560.7432324002002</v>
      </c>
      <c r="E6" s="33">
        <f>$C$26*'E Balans VL '!I12/100/3.6*1000000</f>
        <v>3.1528579603166246E-18</v>
      </c>
      <c r="F6" s="33">
        <f>$C$26*('E Balans VL '!L12+'E Balans VL '!N12)/100/3.6*1000000</f>
        <v>748.64224290179709</v>
      </c>
      <c r="G6" s="34"/>
      <c r="H6" s="33"/>
      <c r="I6" s="33"/>
      <c r="J6" s="33">
        <f>$C$26*('E Balans VL '!D12+'E Balans VL '!E12)/100/3.6*1000000</f>
        <v>0</v>
      </c>
      <c r="K6" s="33"/>
      <c r="L6" s="33"/>
      <c r="M6" s="33"/>
      <c r="N6" s="33">
        <f>$C$26*'E Balans VL '!Y12/100/3.6*1000000</f>
        <v>6.9601025497504692</v>
      </c>
      <c r="O6" s="33"/>
      <c r="P6" s="33"/>
      <c r="R6" s="32"/>
    </row>
    <row r="7" spans="1:18">
      <c r="A7" s="32" t="s">
        <v>52</v>
      </c>
      <c r="B7" s="37">
        <f t="shared" ref="B7:B12" si="0">B27</f>
        <v>258.67446133999999</v>
      </c>
      <c r="C7" s="33"/>
      <c r="D7" s="37">
        <f>IF(ISERROR(TER_horeca_gas_kWh/1000),0,TER_horeca_gas_kWh/1000)*0.902</f>
        <v>431.55405557660004</v>
      </c>
      <c r="E7" s="33">
        <f>$C$27*'E Balans VL '!I9/100/3.6*1000000</f>
        <v>3.303799224253432</v>
      </c>
      <c r="F7" s="33">
        <f>$C$27*('E Balans VL '!L9+'E Balans VL '!N9)/100/3.6*1000000</f>
        <v>29.216118139880884</v>
      </c>
      <c r="G7" s="34"/>
      <c r="H7" s="33"/>
      <c r="I7" s="33"/>
      <c r="J7" s="33">
        <f>$C$27*('E Balans VL '!D9+'E Balans VL '!E9)/100/3.6*1000000</f>
        <v>0</v>
      </c>
      <c r="K7" s="33"/>
      <c r="L7" s="33"/>
      <c r="M7" s="33"/>
      <c r="N7" s="33">
        <f>$C$27*'E Balans VL '!Y9/100/3.6*1000000</f>
        <v>6.1643222148701202E-2</v>
      </c>
      <c r="O7" s="33"/>
      <c r="P7" s="33"/>
      <c r="R7" s="32"/>
    </row>
    <row r="8" spans="1:18">
      <c r="A8" s="6" t="s">
        <v>51</v>
      </c>
      <c r="B8" s="37">
        <f t="shared" si="0"/>
        <v>2198.9770515999999</v>
      </c>
      <c r="C8" s="33"/>
      <c r="D8" s="37">
        <f>IF(ISERROR(TER_handel_gas_kWh/1000),0,TER_handel_gas_kWh/1000)*0.902</f>
        <v>694.16902698241995</v>
      </c>
      <c r="E8" s="33">
        <f>$C$28*'E Balans VL '!I13/100/3.6*1000000</f>
        <v>71.815021314963445</v>
      </c>
      <c r="F8" s="33">
        <f>$C$28*('E Balans VL '!L13+'E Balans VL '!N13)/100/3.6*1000000</f>
        <v>380.73500944260428</v>
      </c>
      <c r="G8" s="34"/>
      <c r="H8" s="33"/>
      <c r="I8" s="33"/>
      <c r="J8" s="33">
        <f>$C$28*('E Balans VL '!D13+'E Balans VL '!E13)/100/3.6*1000000</f>
        <v>0</v>
      </c>
      <c r="K8" s="33"/>
      <c r="L8" s="33"/>
      <c r="M8" s="33"/>
      <c r="N8" s="33">
        <f>$C$28*'E Balans VL '!Y13/100/3.6*1000000</f>
        <v>2.5881349905170166</v>
      </c>
      <c r="O8" s="33"/>
      <c r="P8" s="33"/>
      <c r="R8" s="32"/>
    </row>
    <row r="9" spans="1:18">
      <c r="A9" s="32" t="s">
        <v>50</v>
      </c>
      <c r="B9" s="37">
        <f t="shared" si="0"/>
        <v>67.277645358000001</v>
      </c>
      <c r="C9" s="33"/>
      <c r="D9" s="37">
        <f>IF(ISERROR(TER_gezond_gas_kWh/1000),0,TER_gezond_gas_kWh/1000)*0.902</f>
        <v>0</v>
      </c>
      <c r="E9" s="33">
        <f>$C$29*'E Balans VL '!I10/100/3.6*1000000</f>
        <v>3.7569527643199424E-3</v>
      </c>
      <c r="F9" s="33">
        <f>$C$29*('E Balans VL '!L10+'E Balans VL '!N10)/100/3.6*1000000</f>
        <v>8.9140377276185898</v>
      </c>
      <c r="G9" s="34"/>
      <c r="H9" s="33"/>
      <c r="I9" s="33"/>
      <c r="J9" s="33">
        <f>$C$29*('E Balans VL '!D10+'E Balans VL '!E10)/100/3.6*1000000</f>
        <v>0</v>
      </c>
      <c r="K9" s="33"/>
      <c r="L9" s="33"/>
      <c r="M9" s="33"/>
      <c r="N9" s="33">
        <f>$C$29*'E Balans VL '!Y10/100/3.6*1000000</f>
        <v>0.71309782138425992</v>
      </c>
      <c r="O9" s="33"/>
      <c r="P9" s="33"/>
      <c r="R9" s="32"/>
    </row>
    <row r="10" spans="1:18">
      <c r="A10" s="32" t="s">
        <v>49</v>
      </c>
      <c r="B10" s="37">
        <f t="shared" si="0"/>
        <v>1793.2832490000001</v>
      </c>
      <c r="C10" s="33"/>
      <c r="D10" s="37">
        <f>IF(ISERROR(TER_ander_gas_kWh/1000),0,TER_ander_gas_kWh/1000)*0.902</f>
        <v>652.44132036534006</v>
      </c>
      <c r="E10" s="33">
        <f>$C$30*'E Balans VL '!I14/100/3.6*1000000</f>
        <v>23.157429091013178</v>
      </c>
      <c r="F10" s="33">
        <f>$C$30*('E Balans VL '!L14+'E Balans VL '!N14)/100/3.6*1000000</f>
        <v>1183.6948540720573</v>
      </c>
      <c r="G10" s="34"/>
      <c r="H10" s="33"/>
      <c r="I10" s="33"/>
      <c r="J10" s="33">
        <f>$C$30*('E Balans VL '!D14+'E Balans VL '!E14)/100/3.6*1000000</f>
        <v>2.1724217669002188E-2</v>
      </c>
      <c r="K10" s="33"/>
      <c r="L10" s="33"/>
      <c r="M10" s="33"/>
      <c r="N10" s="33">
        <f>$C$30*'E Balans VL '!Y14/100/3.6*1000000</f>
        <v>756.22024462774982</v>
      </c>
      <c r="O10" s="33"/>
      <c r="P10" s="33"/>
      <c r="R10" s="32"/>
    </row>
    <row r="11" spans="1:18">
      <c r="A11" s="32" t="s">
        <v>54</v>
      </c>
      <c r="B11" s="37">
        <f t="shared" si="0"/>
        <v>88.641297672999997</v>
      </c>
      <c r="C11" s="33"/>
      <c r="D11" s="37">
        <f>IF(ISERROR(TER_onderwijs_gas_kWh/1000),0,TER_onderwijs_gas_kWh/1000)*0.902</f>
        <v>697.25244614300004</v>
      </c>
      <c r="E11" s="33">
        <f>$C$31*'E Balans VL '!I11/100/3.6*1000000</f>
        <v>1.192891968998802</v>
      </c>
      <c r="F11" s="33">
        <f>$C$31*('E Balans VL '!L11+'E Balans VL '!N11)/100/3.6*1000000</f>
        <v>13.852620394400196</v>
      </c>
      <c r="G11" s="34"/>
      <c r="H11" s="33"/>
      <c r="I11" s="33"/>
      <c r="J11" s="33">
        <f>$C$31*('E Balans VL '!D11+'E Balans VL '!E11)/100/3.6*1000000</f>
        <v>0</v>
      </c>
      <c r="K11" s="33"/>
      <c r="L11" s="33"/>
      <c r="M11" s="33"/>
      <c r="N11" s="33">
        <f>$C$31*'E Balans VL '!Y11/100/3.6*1000000</f>
        <v>0.20467695662549987</v>
      </c>
      <c r="O11" s="33"/>
      <c r="P11" s="33"/>
      <c r="R11" s="32"/>
    </row>
    <row r="12" spans="1:18">
      <c r="A12" s="32" t="s">
        <v>249</v>
      </c>
      <c r="B12" s="37">
        <f t="shared" si="0"/>
        <v>13037.419359</v>
      </c>
      <c r="C12" s="33"/>
      <c r="D12" s="37">
        <f>IF(ISERROR(TER_rest_gas_kWh/1000),0,TER_rest_gas_kWh/1000)*0.902</f>
        <v>1983.9403060730003</v>
      </c>
      <c r="E12" s="33">
        <f>$C$32*'E Balans VL '!I8/100/3.6*1000000</f>
        <v>176.35929215061927</v>
      </c>
      <c r="F12" s="33">
        <f>$C$32*('E Balans VL '!L8+'E Balans VL '!N8)/100/3.6*1000000</f>
        <v>3117.1616676251206</v>
      </c>
      <c r="G12" s="34"/>
      <c r="H12" s="33"/>
      <c r="I12" s="33"/>
      <c r="J12" s="33">
        <f>$C$32*('E Balans VL '!D8+'E Balans VL '!E8)/100/3.6*1000000</f>
        <v>2.8542844189008237E-2</v>
      </c>
      <c r="K12" s="33"/>
      <c r="L12" s="33"/>
      <c r="M12" s="33"/>
      <c r="N12" s="33">
        <f>$C$32*'E Balans VL '!Y8/100/3.6*1000000</f>
        <v>1015.4043721929752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22982.242686971</v>
      </c>
      <c r="C16" s="21">
        <f t="shared" ca="1" si="1"/>
        <v>0</v>
      </c>
      <c r="D16" s="21">
        <f t="shared" ca="1" si="1"/>
        <v>8020.1003875405613</v>
      </c>
      <c r="E16" s="21">
        <f t="shared" si="1"/>
        <v>275.83219070261248</v>
      </c>
      <c r="F16" s="21">
        <f t="shared" ca="1" si="1"/>
        <v>5482.2165503034794</v>
      </c>
      <c r="G16" s="21">
        <f t="shared" si="1"/>
        <v>0</v>
      </c>
      <c r="H16" s="21">
        <f t="shared" si="1"/>
        <v>0</v>
      </c>
      <c r="I16" s="21">
        <f t="shared" si="1"/>
        <v>0</v>
      </c>
      <c r="J16" s="21">
        <f t="shared" si="1"/>
        <v>5.0267061858010428E-2</v>
      </c>
      <c r="K16" s="21">
        <f t="shared" si="1"/>
        <v>0</v>
      </c>
      <c r="L16" s="21">
        <f t="shared" ca="1" si="1"/>
        <v>0</v>
      </c>
      <c r="M16" s="21">
        <f t="shared" si="1"/>
        <v>0</v>
      </c>
      <c r="N16" s="21">
        <f t="shared" ca="1" si="1"/>
        <v>1782.1522723611511</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0.20812899056636427</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4783.2709713904815</v>
      </c>
      <c r="C20" s="23">
        <f t="shared" ref="C20:P20" ca="1" si="2">C16*C18</f>
        <v>0</v>
      </c>
      <c r="D20" s="23">
        <f t="shared" ca="1" si="2"/>
        <v>1620.0602782831934</v>
      </c>
      <c r="E20" s="23">
        <f t="shared" si="2"/>
        <v>62.613907289493035</v>
      </c>
      <c r="F20" s="23">
        <f t="shared" ca="1" si="2"/>
        <v>1463.751818931029</v>
      </c>
      <c r="G20" s="23">
        <f t="shared" si="2"/>
        <v>0</v>
      </c>
      <c r="H20" s="23">
        <f t="shared" si="2"/>
        <v>0</v>
      </c>
      <c r="I20" s="23">
        <f t="shared" si="2"/>
        <v>0</v>
      </c>
      <c r="J20" s="23">
        <f t="shared" si="2"/>
        <v>1.7794539897735689E-2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5537.969623</v>
      </c>
      <c r="C26" s="39">
        <f>IF(ISERROR(B26*3.6/1000000/'E Balans VL '!Z12*100),0,B26*3.6/1000000/'E Balans VL '!Z12*100)</f>
        <v>0.14859043338327912</v>
      </c>
      <c r="D26" s="232" t="s">
        <v>621</v>
      </c>
      <c r="F26" s="6"/>
    </row>
    <row r="27" spans="1:18">
      <c r="A27" s="227" t="s">
        <v>52</v>
      </c>
      <c r="B27" s="33">
        <f>IF(ISERROR(TER_horeca_ele_kWh/1000),0,TER_horeca_ele_kWh/1000)</f>
        <v>258.67446133999999</v>
      </c>
      <c r="C27" s="39">
        <f>IF(ISERROR(B27*3.6/1000000/'E Balans VL '!Z9*100),0,B27*3.6/1000000/'E Balans VL '!Z9*100)</f>
        <v>2.0549879064344044E-2</v>
      </c>
      <c r="D27" s="232" t="s">
        <v>621</v>
      </c>
      <c r="F27" s="6"/>
    </row>
    <row r="28" spans="1:18">
      <c r="A28" s="167" t="s">
        <v>51</v>
      </c>
      <c r="B28" s="33">
        <f>IF(ISERROR(TER_handel_ele_kWh/1000),0,TER_handel_ele_kWh/1000)</f>
        <v>2198.9770515999999</v>
      </c>
      <c r="C28" s="39">
        <f>IF(ISERROR(B28*3.6/1000000/'E Balans VL '!Z13*100),0,B28*3.6/1000000/'E Balans VL '!Z13*100)</f>
        <v>6.4319818710668206E-2</v>
      </c>
      <c r="D28" s="232" t="s">
        <v>621</v>
      </c>
      <c r="F28" s="6"/>
    </row>
    <row r="29" spans="1:18">
      <c r="A29" s="227" t="s">
        <v>50</v>
      </c>
      <c r="B29" s="33">
        <f>IF(ISERROR(TER_gezond_ele_kWh/1000),0,TER_gezond_ele_kWh/1000)</f>
        <v>67.277645358000001</v>
      </c>
      <c r="C29" s="39">
        <f>IF(ISERROR(B29*3.6/1000000/'E Balans VL '!Z10*100),0,B29*3.6/1000000/'E Balans VL '!Z10*100)</f>
        <v>7.1405738756961795E-3</v>
      </c>
      <c r="D29" s="232" t="s">
        <v>621</v>
      </c>
      <c r="F29" s="6"/>
    </row>
    <row r="30" spans="1:18">
      <c r="A30" s="227" t="s">
        <v>49</v>
      </c>
      <c r="B30" s="33">
        <f>IF(ISERROR(TER_ander_ele_kWh/1000),0,TER_ander_ele_kWh/1000)</f>
        <v>1793.2832490000001</v>
      </c>
      <c r="C30" s="39">
        <f>IF(ISERROR(B30*3.6/1000000/'E Balans VL '!Z14*100),0,B30*3.6/1000000/'E Balans VL '!Z14*100)</f>
        <v>8.3412098558455494E-2</v>
      </c>
      <c r="D30" s="232" t="s">
        <v>621</v>
      </c>
      <c r="F30" s="6"/>
    </row>
    <row r="31" spans="1:18">
      <c r="A31" s="227" t="s">
        <v>54</v>
      </c>
      <c r="B31" s="33">
        <f>IF(ISERROR(TER_onderwijs_ele_kWh/1000),0,TER_onderwijs_ele_kWh/1000)</f>
        <v>88.641297672999997</v>
      </c>
      <c r="C31" s="39">
        <f>IF(ISERROR(B31*3.6/1000000/'E Balans VL '!Z11*100),0,B31*3.6/1000000/'E Balans VL '!Z11*100)</f>
        <v>2.2185079653673615E-2</v>
      </c>
      <c r="D31" s="232" t="s">
        <v>621</v>
      </c>
    </row>
    <row r="32" spans="1:18">
      <c r="A32" s="227" t="s">
        <v>249</v>
      </c>
      <c r="B32" s="33">
        <f>IF(ISERROR(TER_rest_ele_kWh/1000),0,TER_rest_ele_kWh/1000)</f>
        <v>13037.419359</v>
      </c>
      <c r="C32" s="39">
        <f>IF(ISERROR(B32*3.6/1000000/'E Balans VL '!Z8*100),0,B32*3.6/1000000/'E Balans VL '!Z8*100)</f>
        <v>0.1095928317837347</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338669.87387190992</v>
      </c>
      <c r="C5" s="17">
        <f>IF(ISERROR('Eigen informatie GS &amp; warmtenet'!B59),0,'Eigen informatie GS &amp; warmtenet'!B59)</f>
        <v>0</v>
      </c>
      <c r="D5" s="30">
        <f>SUM(D6:D15)</f>
        <v>354225.29863689211</v>
      </c>
      <c r="E5" s="17">
        <f>SUM(E6:E15)</f>
        <v>45031.453763239064</v>
      </c>
      <c r="F5" s="17">
        <f>SUM(F6:F15)</f>
        <v>160651.43111181594</v>
      </c>
      <c r="G5" s="18"/>
      <c r="H5" s="17"/>
      <c r="I5" s="17"/>
      <c r="J5" s="17">
        <f>SUM(J6:J15)</f>
        <v>207.96087195846582</v>
      </c>
      <c r="K5" s="17"/>
      <c r="L5" s="17"/>
      <c r="M5" s="17"/>
      <c r="N5" s="17">
        <f>SUM(N6:N15)</f>
        <v>20441.944107169547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298.41817558999998</v>
      </c>
      <c r="C8" s="33"/>
      <c r="D8" s="37">
        <f>IF( ISERROR(IND_metaal_Gas_kWH/1000),0,IND_metaal_Gas_kWH/1000)*0.902</f>
        <v>0</v>
      </c>
      <c r="E8" s="33">
        <f>C30*'E Balans VL '!I18/100/3.6*1000000</f>
        <v>10.737988733906757</v>
      </c>
      <c r="F8" s="33">
        <f>C30*'E Balans VL '!L18/100/3.6*1000000+C30*'E Balans VL '!N18/100/3.6*1000000</f>
        <v>130.30954360368997</v>
      </c>
      <c r="G8" s="34"/>
      <c r="H8" s="33"/>
      <c r="I8" s="33"/>
      <c r="J8" s="40">
        <f>C30*'E Balans VL '!D18/100/3.6*1000000+C30*'E Balans VL '!E18/100/3.6*1000000</f>
        <v>0</v>
      </c>
      <c r="K8" s="33"/>
      <c r="L8" s="33"/>
      <c r="M8" s="33"/>
      <c r="N8" s="33">
        <f>C30*'E Balans VL '!Y18/100/3.6*1000000</f>
        <v>14.956516163932235</v>
      </c>
      <c r="O8" s="33"/>
      <c r="P8" s="33"/>
      <c r="R8" s="32"/>
    </row>
    <row r="9" spans="1:18">
      <c r="A9" s="6" t="s">
        <v>32</v>
      </c>
      <c r="B9" s="37">
        <f t="shared" si="0"/>
        <v>169059.78884999998</v>
      </c>
      <c r="C9" s="33"/>
      <c r="D9" s="37">
        <f>IF( ISERROR(IND_andere_gas_kWh/1000),0,IND_andere_gas_kWh/1000)*0.902</f>
        <v>71072.136415522007</v>
      </c>
      <c r="E9" s="33">
        <f>C31*'E Balans VL '!I19/100/3.6*1000000</f>
        <v>43140.233029660623</v>
      </c>
      <c r="F9" s="33">
        <f>C31*'E Balans VL '!L19/100/3.6*1000000+C31*'E Balans VL '!N19/100/3.6*1000000</f>
        <v>145547.77117211322</v>
      </c>
      <c r="G9" s="34"/>
      <c r="H9" s="33"/>
      <c r="I9" s="33"/>
      <c r="J9" s="40">
        <f>C31*'E Balans VL '!D19/100/3.6*1000000+C31*'E Balans VL '!E19/100/3.6*1000000</f>
        <v>0</v>
      </c>
      <c r="K9" s="33"/>
      <c r="L9" s="33"/>
      <c r="M9" s="33"/>
      <c r="N9" s="33">
        <f>C31*'E Balans VL '!Y19/100/3.6*1000000</f>
        <v>13336.83905057811</v>
      </c>
      <c r="O9" s="33"/>
      <c r="P9" s="33"/>
      <c r="R9" s="32"/>
    </row>
    <row r="10" spans="1:18">
      <c r="A10" s="6" t="s">
        <v>40</v>
      </c>
      <c r="B10" s="37">
        <f t="shared" si="0"/>
        <v>14688.918664000001</v>
      </c>
      <c r="C10" s="33"/>
      <c r="D10" s="37">
        <f>IF( ISERROR(IND_voed_gas_kWh/1000),0,IND_voed_gas_kWh/1000)*0.902</f>
        <v>798.95725865010002</v>
      </c>
      <c r="E10" s="33">
        <f>C32*'E Balans VL '!I20/100/3.6*1000000</f>
        <v>373.41248197706523</v>
      </c>
      <c r="F10" s="33">
        <f>C32*'E Balans VL '!L20/100/3.6*1000000+C32*'E Balans VL '!N20/100/3.6*1000000</f>
        <v>3323.8817939781488</v>
      </c>
      <c r="G10" s="34"/>
      <c r="H10" s="33"/>
      <c r="I10" s="33"/>
      <c r="J10" s="40">
        <f>C32*'E Balans VL '!D20/100/3.6*1000000+C32*'E Balans VL '!E20/100/3.6*1000000</f>
        <v>0</v>
      </c>
      <c r="K10" s="33"/>
      <c r="L10" s="33"/>
      <c r="M10" s="33"/>
      <c r="N10" s="33">
        <f>C32*'E Balans VL '!Y20/100/3.6*1000000</f>
        <v>5508.7426578014311</v>
      </c>
      <c r="O10" s="33"/>
      <c r="P10" s="33"/>
      <c r="R10" s="32"/>
    </row>
    <row r="11" spans="1:18">
      <c r="A11" s="6" t="s">
        <v>39</v>
      </c>
      <c r="B11" s="37">
        <f t="shared" si="0"/>
        <v>132996.28974000001</v>
      </c>
      <c r="C11" s="33"/>
      <c r="D11" s="37">
        <f>IF( ISERROR(IND_textiel_gas_kWh/1000),0,IND_textiel_gas_kWh/1000)*0.902</f>
        <v>107596.91084669999</v>
      </c>
      <c r="E11" s="33">
        <f>C33*'E Balans VL '!I21/100/3.6*1000000</f>
        <v>365.11058107760101</v>
      </c>
      <c r="F11" s="33">
        <f>C33*'E Balans VL '!L21/100/3.6*1000000+C33*'E Balans VL '!N21/100/3.6*1000000</f>
        <v>7050.9090150559678</v>
      </c>
      <c r="G11" s="34"/>
      <c r="H11" s="33"/>
      <c r="I11" s="33"/>
      <c r="J11" s="40">
        <f>C33*'E Balans VL '!D21/100/3.6*1000000+C33*'E Balans VL '!E21/100/3.6*1000000</f>
        <v>0</v>
      </c>
      <c r="K11" s="33"/>
      <c r="L11" s="33"/>
      <c r="M11" s="33"/>
      <c r="N11" s="33">
        <f>C33*'E Balans VL '!Y21/100/3.6*1000000</f>
        <v>267.3005338047513</v>
      </c>
      <c r="O11" s="33"/>
      <c r="P11" s="33"/>
      <c r="R11" s="32"/>
    </row>
    <row r="12" spans="1:18">
      <c r="A12" s="6" t="s">
        <v>36</v>
      </c>
      <c r="B12" s="37">
        <f t="shared" si="0"/>
        <v>104.00718513</v>
      </c>
      <c r="C12" s="33"/>
      <c r="D12" s="37">
        <f>IF( ISERROR(IND_min_gas_kWh/1000),0,IND_min_gas_kWh/1000)*0.902</f>
        <v>0</v>
      </c>
      <c r="E12" s="33">
        <f>C34*'E Balans VL '!I22/100/3.6*1000000</f>
        <v>2.2098920188946103</v>
      </c>
      <c r="F12" s="33">
        <f>C34*'E Balans VL '!L22/100/3.6*1000000+C34*'E Balans VL '!N22/100/3.6*1000000</f>
        <v>16.969658613447905</v>
      </c>
      <c r="G12" s="34"/>
      <c r="H12" s="33"/>
      <c r="I12" s="33"/>
      <c r="J12" s="40">
        <f>C34*'E Balans VL '!D22/100/3.6*1000000+C34*'E Balans VL '!E22/100/3.6*1000000</f>
        <v>0.12117807668021287</v>
      </c>
      <c r="K12" s="33"/>
      <c r="L12" s="33"/>
      <c r="M12" s="33"/>
      <c r="N12" s="33">
        <f>C34*'E Balans VL '!Y22/100/3.6*1000000</f>
        <v>0</v>
      </c>
      <c r="O12" s="33"/>
      <c r="P12" s="33"/>
      <c r="R12" s="32"/>
    </row>
    <row r="13" spans="1:18">
      <c r="A13" s="6" t="s">
        <v>38</v>
      </c>
      <c r="B13" s="37">
        <f t="shared" si="0"/>
        <v>566.89613718999999</v>
      </c>
      <c r="C13" s="33"/>
      <c r="D13" s="37">
        <f>IF( ISERROR(IND_papier_gas_kWh/1000),0,IND_papier_gas_kWh/1000)*0.902</f>
        <v>0</v>
      </c>
      <c r="E13" s="33">
        <f>C35*'E Balans VL '!I23/100/3.6*1000000</f>
        <v>2.4312526122401636</v>
      </c>
      <c r="F13" s="33">
        <f>C35*'E Balans VL '!L23/100/3.6*1000000+C35*'E Balans VL '!N23/100/3.6*1000000</f>
        <v>14.247859461182552</v>
      </c>
      <c r="G13" s="34"/>
      <c r="H13" s="33"/>
      <c r="I13" s="33"/>
      <c r="J13" s="40">
        <f>C35*'E Balans VL '!D23/100/3.6*1000000+C35*'E Balans VL '!E23/100/3.6*1000000</f>
        <v>37.95058708746194</v>
      </c>
      <c r="K13" s="33"/>
      <c r="L13" s="33"/>
      <c r="M13" s="33"/>
      <c r="N13" s="33">
        <f>C35*'E Balans VL '!Y23/100/3.6*1000000</f>
        <v>138.24536166870283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20955.555120000001</v>
      </c>
      <c r="C15" s="33"/>
      <c r="D15" s="37">
        <f>IF( ISERROR(IND_rest_gas_kWh/1000),0,IND_rest_gas_kWh/1000)*0.902</f>
        <v>174757.29411602</v>
      </c>
      <c r="E15" s="33">
        <f>C37*'E Balans VL '!I15/100/3.6*1000000</f>
        <v>1137.3185371587392</v>
      </c>
      <c r="F15" s="33">
        <f>C37*'E Balans VL '!L15/100/3.6*1000000+C37*'E Balans VL '!N15/100/3.6*1000000</f>
        <v>4567.3420689902796</v>
      </c>
      <c r="G15" s="34"/>
      <c r="H15" s="33"/>
      <c r="I15" s="33"/>
      <c r="J15" s="40">
        <f>C37*'E Balans VL '!D15/100/3.6*1000000+C37*'E Balans VL '!E15/100/3.6*1000000</f>
        <v>169.88910679432365</v>
      </c>
      <c r="K15" s="33"/>
      <c r="L15" s="33"/>
      <c r="M15" s="33"/>
      <c r="N15" s="33">
        <f>C37*'E Balans VL '!Y15/100/3.6*1000000</f>
        <v>1175.8599871526203</v>
      </c>
      <c r="O15" s="33"/>
      <c r="P15" s="33"/>
      <c r="R15" s="32"/>
    </row>
    <row r="16" spans="1:18">
      <c r="A16" s="16" t="s">
        <v>477</v>
      </c>
      <c r="B16" s="242">
        <f>'lokale energieproductie'!N37+'lokale energieproductie'!N30</f>
        <v>1143</v>
      </c>
      <c r="C16" s="242">
        <f>'lokale energieproductie'!O37+'lokale energieproductie'!O30</f>
        <v>1632.8571428571429</v>
      </c>
      <c r="D16" s="300">
        <f>('lokale energieproductie'!P30+'lokale energieproductie'!P37)*(-1)</f>
        <v>-3265.7142857142858</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339812.87387190992</v>
      </c>
      <c r="C18" s="21">
        <f>C5+C16</f>
        <v>1632.8571428571429</v>
      </c>
      <c r="D18" s="21">
        <f>MAX((D5+D16),0)</f>
        <v>350959.58435117785</v>
      </c>
      <c r="E18" s="21">
        <f>MAX((E5+E16),0)</f>
        <v>45031.453763239064</v>
      </c>
      <c r="F18" s="21">
        <f>MAX((F5+F16),0)</f>
        <v>160651.43111181594</v>
      </c>
      <c r="G18" s="21"/>
      <c r="H18" s="21"/>
      <c r="I18" s="21"/>
      <c r="J18" s="21">
        <f>MAX((J5+J16),0)</f>
        <v>207.96087195846582</v>
      </c>
      <c r="K18" s="21"/>
      <c r="L18" s="21">
        <f>MAX((L5+L16),0)</f>
        <v>0</v>
      </c>
      <c r="M18" s="21"/>
      <c r="N18" s="21">
        <f>MAX((N5+N16),0)</f>
        <v>20441.944107169547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0.20812899056636427</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70724.910420415879</v>
      </c>
      <c r="C22" s="23">
        <f ca="1">C18*C20</f>
        <v>388.04369747899159</v>
      </c>
      <c r="D22" s="23">
        <f>D18*D20</f>
        <v>70893.836038937938</v>
      </c>
      <c r="E22" s="23">
        <f>E18*E20</f>
        <v>10222.140004255269</v>
      </c>
      <c r="F22" s="23">
        <f>F18*F20</f>
        <v>42893.93210685486</v>
      </c>
      <c r="G22" s="23"/>
      <c r="H22" s="23"/>
      <c r="I22" s="23"/>
      <c r="J22" s="23">
        <f>J18*J20</f>
        <v>73.618148673296901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298.41817558999998</v>
      </c>
      <c r="C30" s="39">
        <f>IF(ISERROR(B30*3.6/1000000/'E Balans VL '!Z18*100),0,B30*3.6/1000000/'E Balans VL '!Z18*100)</f>
        <v>6.3228413490456922E-2</v>
      </c>
      <c r="D30" s="232" t="s">
        <v>621</v>
      </c>
    </row>
    <row r="31" spans="1:18">
      <c r="A31" s="6" t="s">
        <v>32</v>
      </c>
      <c r="B31" s="37">
        <f>IF( ISERROR(IND_ander_ele_kWh/1000),0,IND_ander_ele_kWh/1000)</f>
        <v>169059.78884999998</v>
      </c>
      <c r="C31" s="39">
        <f>IF(ISERROR(B31*3.6/1000000/'E Balans VL '!Z19*100),0,B31*3.6/1000000/'E Balans VL '!Z19*100)</f>
        <v>7.1161103908649741</v>
      </c>
      <c r="D31" s="232" t="s">
        <v>621</v>
      </c>
    </row>
    <row r="32" spans="1:18">
      <c r="A32" s="167" t="s">
        <v>40</v>
      </c>
      <c r="B32" s="37">
        <f>IF( ISERROR(IND_voed_ele_kWh/1000),0,IND_voed_ele_kWh/1000)</f>
        <v>14688.918664000001</v>
      </c>
      <c r="C32" s="39">
        <f>IF(ISERROR(B32*3.6/1000000/'E Balans VL '!Z20*100),0,B32*3.6/1000000/'E Balans VL '!Z20*100)</f>
        <v>2.4539500565056347</v>
      </c>
      <c r="D32" s="232" t="s">
        <v>621</v>
      </c>
    </row>
    <row r="33" spans="1:5">
      <c r="A33" s="167" t="s">
        <v>39</v>
      </c>
      <c r="B33" s="37">
        <f>IF( ISERROR(IND_textiel_ele_kWh/1000),0,IND_textiel_ele_kWh/1000)</f>
        <v>132996.28974000001</v>
      </c>
      <c r="C33" s="39">
        <f>IF(ISERROR(B33*3.6/1000000/'E Balans VL '!Z21*100),0,B33*3.6/1000000/'E Balans VL '!Z21*100)</f>
        <v>7.7647213886638005</v>
      </c>
      <c r="D33" s="232" t="s">
        <v>621</v>
      </c>
    </row>
    <row r="34" spans="1:5">
      <c r="A34" s="167" t="s">
        <v>36</v>
      </c>
      <c r="B34" s="37">
        <f>IF( ISERROR(IND_min_ele_kWh/1000),0,IND_min_ele_kWh/1000)</f>
        <v>104.00718513</v>
      </c>
      <c r="C34" s="39">
        <f>IF(ISERROR(B34*3.6/1000000/'E Balans VL '!Z22*100),0,B34*3.6/1000000/'E Balans VL '!Z22*100)</f>
        <v>1.3183471624320282E-2</v>
      </c>
      <c r="D34" s="232" t="s">
        <v>621</v>
      </c>
    </row>
    <row r="35" spans="1:5">
      <c r="A35" s="167" t="s">
        <v>38</v>
      </c>
      <c r="B35" s="37">
        <f>IF( ISERROR(IND_papier_ele_kWh/1000),0,IND_papier_ele_kWh/1000)</f>
        <v>566.89613718999999</v>
      </c>
      <c r="C35" s="39">
        <f>IF(ISERROR(B35*3.6/1000000/'E Balans VL '!Z22*100),0,B35*3.6/1000000/'E Balans VL '!Z22*100)</f>
        <v>7.1857142650670849E-2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20955.555120000001</v>
      </c>
      <c r="C37" s="39">
        <f>IF(ISERROR(B37*3.6/1000000/'E Balans VL '!Z15*100),0,B37*3.6/1000000/'E Balans VL '!Z15*100)</f>
        <v>0.16918231084661414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1115.0389030900001</v>
      </c>
      <c r="C5" s="17">
        <f>'Eigen informatie GS &amp; warmtenet'!B60</f>
        <v>0</v>
      </c>
      <c r="D5" s="30">
        <f>IF(ISERROR(SUM(LB_lb_gas_kWh,LB_rest_gas_kWh)/1000),0,SUM(LB_lb_gas_kWh,LB_rest_gas_kWh)/1000)*0.902</f>
        <v>238.38375595738</v>
      </c>
      <c r="E5" s="17">
        <f>B17*'E Balans VL '!I25/3.6*1000000/100</f>
        <v>22.089879611857484</v>
      </c>
      <c r="F5" s="17">
        <f>B17*('E Balans VL '!L25/3.6*1000000+'E Balans VL '!N25/3.6*1000000)/100</f>
        <v>4066.2323920766626</v>
      </c>
      <c r="G5" s="18"/>
      <c r="H5" s="17"/>
      <c r="I5" s="17"/>
      <c r="J5" s="17">
        <f>('E Balans VL '!D25+'E Balans VL '!E25)/3.6*1000000*landbouw!B17/100</f>
        <v>264.75515949485691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1115.0389030900001</v>
      </c>
      <c r="C8" s="21">
        <f>C5+C6</f>
        <v>0</v>
      </c>
      <c r="D8" s="21">
        <f>MAX((D5+D6),0)</f>
        <v>238.38375595738</v>
      </c>
      <c r="E8" s="21">
        <f>MAX((E5+E6),0)</f>
        <v>22.089879611857484</v>
      </c>
      <c r="F8" s="21">
        <f>MAX((F5+F6),0)</f>
        <v>4066.2323920766626</v>
      </c>
      <c r="G8" s="21"/>
      <c r="H8" s="21"/>
      <c r="I8" s="21"/>
      <c r="J8" s="21">
        <f>MAX((J5+J6),0)</f>
        <v>264.75515949485691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0.20812899056636427</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232.07192134234779</v>
      </c>
      <c r="C12" s="23">
        <f ca="1">C8*C10</f>
        <v>0</v>
      </c>
      <c r="D12" s="23">
        <f>D8*D10</f>
        <v>48.153518703390766</v>
      </c>
      <c r="E12" s="23">
        <f>E8*E10</f>
        <v>5.0144026718916486</v>
      </c>
      <c r="F12" s="23">
        <f>F8*F10</f>
        <v>1085.684048684469</v>
      </c>
      <c r="G12" s="23"/>
      <c r="H12" s="23"/>
      <c r="I12" s="23"/>
      <c r="J12" s="23">
        <f>J8*J10</f>
        <v>93.72332646117934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0.15722787118777204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197.33482851259791</v>
      </c>
      <c r="C26" s="242">
        <f>B26*'GWP N2O_CH4'!B5</f>
        <v>4144.0313987645559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121.0427682385626</v>
      </c>
      <c r="C27" s="242">
        <f>B27*'GWP N2O_CH4'!B5</f>
        <v>2541.8981330098145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3.6864172196949685</v>
      </c>
      <c r="C28" s="242">
        <f>B28*'GWP N2O_CH4'!B4</f>
        <v>1142.7893381054403</v>
      </c>
      <c r="D28" s="50"/>
    </row>
    <row r="29" spans="1:4">
      <c r="A29" s="41" t="s">
        <v>266</v>
      </c>
      <c r="B29" s="242">
        <f>B34*'ha_N2O bodem landbouw'!B4</f>
        <v>6.7029637597534357</v>
      </c>
      <c r="C29" s="242">
        <f>B29*'GWP N2O_CH4'!B4</f>
        <v>2077.9187655235651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1.5085310955910299E-3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3.829812916268866E-5</v>
      </c>
      <c r="C5" s="427" t="s">
        <v>204</v>
      </c>
      <c r="D5" s="412">
        <f>SUM(D6:D11)</f>
        <v>6.7078998232464446E-5</v>
      </c>
      <c r="E5" s="412">
        <f>SUM(E6:E11)</f>
        <v>2.9905911861611434E-4</v>
      </c>
      <c r="F5" s="425" t="s">
        <v>204</v>
      </c>
      <c r="G5" s="412">
        <f>SUM(G6:G11)</f>
        <v>0.1557546336192594</v>
      </c>
      <c r="H5" s="412">
        <f>SUM(H6:H11)</f>
        <v>2.2994065242300882E-2</v>
      </c>
      <c r="I5" s="427" t="s">
        <v>204</v>
      </c>
      <c r="J5" s="427" t="s">
        <v>204</v>
      </c>
      <c r="K5" s="427" t="s">
        <v>204</v>
      </c>
      <c r="L5" s="427" t="s">
        <v>204</v>
      </c>
      <c r="M5" s="412">
        <f>SUM(M6:M11)</f>
        <v>5.5891477755801505E-3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2.0977597008454702E-5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3.30550172591874E-5</v>
      </c>
      <c r="E6" s="818">
        <f>vkm_GW_PW*SUMIFS(TableVerdeelsleutelVkm[LPG],TableVerdeelsleutelVkm[Voertuigtype],"Lichte voertuigen")*SUMIFS(TableECFTransport[EnergieConsumptieFactor (PJ per km)],TableECFTransport[Index],CONCATENATE($A6,"_LPG_LPG"))</f>
        <v>1.5088837125672134E-4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4.0740153896961749E-2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1.1503818103017966E-2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1.6264601218900366E-3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1.461007882835848E-6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5.0359283141314812E-2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1.0230917232857503E-6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1.5843092984520154E-3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1.5242316510741184E-5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3.4023980973277052E-5</v>
      </c>
      <c r="E8" s="415">
        <f>vkm_NGW_PW*SUMIFS(TableVerdeelsleutelVkm[LPG],TableVerdeelsleutelVkm[Voertuigtype],"Lichte voertuigen")*SUMIFS(TableECFTransport[EnergieConsumptieFactor (PJ per km)],TableECFTransport[Index],CONCATENATE($A8,"_LPG_LPG"))</f>
        <v>1.48170747359393E-4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3.7301285188983783E-2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1.148870236077356E-2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1.5178219275424698E-3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6.1720776065692951E-7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2.7353911391999049E-2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5.2168678606975988E-7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8.60556427695628E-4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10.638369211857961</v>
      </c>
      <c r="C14" s="21"/>
      <c r="D14" s="21">
        <f t="shared" ref="D14:M14" si="0">((D5)*10^9/3600)+D12</f>
        <v>18.633055064573458</v>
      </c>
      <c r="E14" s="21">
        <f t="shared" si="0"/>
        <v>83.071977393365088</v>
      </c>
      <c r="F14" s="21"/>
      <c r="G14" s="21">
        <f t="shared" si="0"/>
        <v>43265.176005349829</v>
      </c>
      <c r="H14" s="21">
        <f t="shared" si="0"/>
        <v>6387.2403450835782</v>
      </c>
      <c r="I14" s="21"/>
      <c r="J14" s="21"/>
      <c r="K14" s="21"/>
      <c r="L14" s="21"/>
      <c r="M14" s="21">
        <f t="shared" si="0"/>
        <v>1552.5410487722638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0.20812899056636427</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2.2141530453362859</v>
      </c>
      <c r="C18" s="23"/>
      <c r="D18" s="23">
        <f t="shared" ref="D18:M18" si="1">D14*D16</f>
        <v>3.763877123043839</v>
      </c>
      <c r="E18" s="23">
        <f t="shared" si="1"/>
        <v>18.857338868293876</v>
      </c>
      <c r="F18" s="23"/>
      <c r="G18" s="23">
        <f t="shared" si="1"/>
        <v>11551.801993428406</v>
      </c>
      <c r="H18" s="23">
        <f t="shared" si="1"/>
        <v>1590.4228459258109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7.6956559051822962E-6</v>
      </c>
      <c r="C50" s="311">
        <f t="shared" ref="C50:P50" si="2">SUM(C51:C52)</f>
        <v>0</v>
      </c>
      <c r="D50" s="311">
        <f t="shared" si="2"/>
        <v>0</v>
      </c>
      <c r="E50" s="311">
        <f t="shared" si="2"/>
        <v>0</v>
      </c>
      <c r="F50" s="311">
        <f t="shared" si="2"/>
        <v>0</v>
      </c>
      <c r="G50" s="311">
        <f t="shared" si="2"/>
        <v>1.3721517406183777E-3</v>
      </c>
      <c r="H50" s="311">
        <f t="shared" si="2"/>
        <v>0</v>
      </c>
      <c r="I50" s="311">
        <f t="shared" si="2"/>
        <v>0</v>
      </c>
      <c r="J50" s="311">
        <f t="shared" si="2"/>
        <v>0</v>
      </c>
      <c r="K50" s="311">
        <f t="shared" si="2"/>
        <v>0</v>
      </c>
      <c r="L50" s="311">
        <f t="shared" si="2"/>
        <v>0</v>
      </c>
      <c r="M50" s="311">
        <f t="shared" si="2"/>
        <v>4.2833260756361857E-5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7.6956559051822962E-6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1.3721517406183777E-3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4.2833260756361857E-5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2.1376821958839711</v>
      </c>
      <c r="C54" s="21">
        <f t="shared" ref="C54:P54" si="3">(C50)*10^9/3600</f>
        <v>0</v>
      </c>
      <c r="D54" s="21">
        <f t="shared" si="3"/>
        <v>0</v>
      </c>
      <c r="E54" s="21">
        <f t="shared" si="3"/>
        <v>0</v>
      </c>
      <c r="F54" s="21">
        <f t="shared" si="3"/>
        <v>0</v>
      </c>
      <c r="G54" s="21">
        <f t="shared" si="3"/>
        <v>381.15326128288268</v>
      </c>
      <c r="H54" s="21">
        <f t="shared" si="3"/>
        <v>0</v>
      </c>
      <c r="I54" s="21">
        <f t="shared" si="3"/>
        <v>0</v>
      </c>
      <c r="J54" s="21">
        <f t="shared" si="3"/>
        <v>0</v>
      </c>
      <c r="K54" s="21">
        <f t="shared" si="3"/>
        <v>0</v>
      </c>
      <c r="L54" s="21">
        <f t="shared" si="3"/>
        <v>0</v>
      </c>
      <c r="M54" s="21">
        <f t="shared" si="3"/>
        <v>11.898127987878294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0.20812899056636427</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0.44491363758101987</v>
      </c>
      <c r="C58" s="23">
        <f t="shared" ref="C58:P58" ca="1" si="4">C54*C56</f>
        <v>0</v>
      </c>
      <c r="D58" s="23">
        <f t="shared" si="4"/>
        <v>0</v>
      </c>
      <c r="E58" s="23">
        <f t="shared" si="4"/>
        <v>0</v>
      </c>
      <c r="F58" s="23">
        <f t="shared" si="4"/>
        <v>0</v>
      </c>
      <c r="G58" s="23">
        <f t="shared" si="4"/>
        <v>101.76792076252968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12170.573935654025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10109.456207511148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1143</v>
      </c>
      <c r="C8" s="534">
        <f>B48</f>
        <v>1344.7058823529412</v>
      </c>
      <c r="D8" s="961"/>
      <c r="E8" s="961">
        <f>E48</f>
        <v>0</v>
      </c>
      <c r="F8" s="962"/>
      <c r="G8" s="535"/>
      <c r="H8" s="961">
        <f>I48</f>
        <v>0</v>
      </c>
      <c r="I8" s="961">
        <f>G48+F48</f>
        <v>0</v>
      </c>
      <c r="J8" s="961">
        <f>H48+D48+C48</f>
        <v>0</v>
      </c>
      <c r="K8" s="961"/>
      <c r="L8" s="961"/>
      <c r="M8" s="961"/>
      <c r="N8" s="536"/>
      <c r="O8" s="537">
        <f>C8*$C$12+D8*$D$12+E8*$E$12+F8*$F$12+G8*$G$12+H8*$H$12+I8*$I$12+J8*$J$12</f>
        <v>271.63058823529417</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23423.030143165175</v>
      </c>
      <c r="C10" s="547">
        <f t="shared" ref="C10:L10" si="0">SUM(C8:C9)</f>
        <v>1344.7058823529412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271.63058823529417</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1632.8571428571429</v>
      </c>
      <c r="C17" s="559">
        <f>B49</f>
        <v>1921.0084033613443</v>
      </c>
      <c r="D17" s="560"/>
      <c r="E17" s="560">
        <f>E49</f>
        <v>0</v>
      </c>
      <c r="F17" s="967"/>
      <c r="G17" s="561"/>
      <c r="H17" s="559">
        <f>I49</f>
        <v>0</v>
      </c>
      <c r="I17" s="560">
        <f>G49+F49</f>
        <v>0</v>
      </c>
      <c r="J17" s="560">
        <f>H49+D49+C49</f>
        <v>0</v>
      </c>
      <c r="K17" s="560"/>
      <c r="L17" s="560"/>
      <c r="M17" s="560"/>
      <c r="N17" s="968"/>
      <c r="O17" s="562">
        <f>C17*$C$22+E17*$E$22+H17*$H$22+I17*$I$22+J17*$J$22+D17*$D$22+F17*$F$22+G17*$G$22+K17*$K$22+L17*$L$22</f>
        <v>388.04369747899159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1632.8571428571429</v>
      </c>
      <c r="C20" s="546">
        <f>SUM(C17:C19)</f>
        <v>1921.0084033613443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388.04369747899159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37017</v>
      </c>
      <c r="C28" s="724">
        <v>8710</v>
      </c>
      <c r="D28" s="617"/>
      <c r="E28" s="616"/>
      <c r="F28" s="616"/>
      <c r="G28" s="616" t="s">
        <v>887</v>
      </c>
      <c r="H28" s="616" t="s">
        <v>888</v>
      </c>
      <c r="I28" s="616"/>
      <c r="J28" s="723"/>
      <c r="K28" s="723"/>
      <c r="L28" s="616" t="s">
        <v>889</v>
      </c>
      <c r="M28" s="616">
        <v>254</v>
      </c>
      <c r="N28" s="616">
        <v>1143</v>
      </c>
      <c r="O28" s="616">
        <v>1632.8571428571429</v>
      </c>
      <c r="P28" s="616">
        <v>3265.7142857142858</v>
      </c>
      <c r="Q28" s="616">
        <v>0</v>
      </c>
      <c r="R28" s="616">
        <v>0</v>
      </c>
      <c r="S28" s="616">
        <v>0</v>
      </c>
      <c r="T28" s="616">
        <v>0</v>
      </c>
      <c r="U28" s="616">
        <v>0</v>
      </c>
      <c r="V28" s="616">
        <v>0</v>
      </c>
      <c r="W28" s="616">
        <v>0</v>
      </c>
      <c r="X28" s="616"/>
      <c r="Y28" s="616">
        <v>400</v>
      </c>
      <c r="Z28" s="616" t="s">
        <v>36</v>
      </c>
      <c r="AA28" s="618" t="s">
        <v>376</v>
      </c>
    </row>
    <row r="29" spans="1:27" s="554" customFormat="1" hidden="1">
      <c r="A29" s="572" t="s">
        <v>269</v>
      </c>
      <c r="B29" s="573"/>
      <c r="C29" s="573"/>
      <c r="D29" s="573"/>
      <c r="E29" s="573"/>
      <c r="F29" s="573"/>
      <c r="G29" s="573"/>
      <c r="H29" s="573"/>
      <c r="I29" s="573"/>
      <c r="J29" s="573"/>
      <c r="K29" s="573"/>
      <c r="L29" s="574"/>
      <c r="M29" s="574">
        <f>SUM(M28:M28)</f>
        <v>254</v>
      </c>
      <c r="N29" s="574">
        <f>SUM(N28:N28)</f>
        <v>1143</v>
      </c>
      <c r="O29" s="574">
        <f>SUM(O28:O28)</f>
        <v>1632.8571428571429</v>
      </c>
      <c r="P29" s="574">
        <f>SUM(P28:P28)</f>
        <v>3265.7142857142858</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254</v>
      </c>
      <c r="N30" s="574">
        <f>SUMIF($AA$28:$AA$28,"industrie",N28:N28)</f>
        <v>1143</v>
      </c>
      <c r="O30" s="574">
        <f>SUMIF($AA$28:$AA$28,"industrie",O28:O28)</f>
        <v>1632.8571428571429</v>
      </c>
      <c r="P30" s="574">
        <f>SUMIF($AA$28:$AA$28,"industrie",P28:P28)</f>
        <v>3265.7142857142858</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0.58823529411764697</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1344.7058823529412</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1921.0084033613443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23963.225686971</v>
      </c>
      <c r="D10" s="930">
        <f ca="1">tertiair!C16</f>
        <v>0</v>
      </c>
      <c r="E10" s="930">
        <f ca="1">tertiair!D16</f>
        <v>8020.1003875405613</v>
      </c>
      <c r="F10" s="930">
        <f>tertiair!E16</f>
        <v>275.83219070261248</v>
      </c>
      <c r="G10" s="930">
        <f ca="1">tertiair!F16</f>
        <v>5482.2165503034794</v>
      </c>
      <c r="H10" s="930">
        <f>tertiair!G16</f>
        <v>0</v>
      </c>
      <c r="I10" s="930">
        <f>tertiair!H16</f>
        <v>0</v>
      </c>
      <c r="J10" s="930">
        <f>tertiair!I16</f>
        <v>0</v>
      </c>
      <c r="K10" s="930">
        <f>tertiair!J16</f>
        <v>5.0267061858010428E-2</v>
      </c>
      <c r="L10" s="930">
        <f>tertiair!K16</f>
        <v>0</v>
      </c>
      <c r="M10" s="930">
        <f ca="1">tertiair!L16</f>
        <v>0</v>
      </c>
      <c r="N10" s="930">
        <f>tertiair!M16</f>
        <v>0</v>
      </c>
      <c r="O10" s="930">
        <f ca="1">tertiair!N16</f>
        <v>1782.1522723611511</v>
      </c>
      <c r="P10" s="930">
        <f>tertiair!O16</f>
        <v>4.6900000000000004</v>
      </c>
      <c r="Q10" s="931">
        <f>tertiair!P16</f>
        <v>133.46666666666667</v>
      </c>
      <c r="R10" s="628">
        <f ca="1">SUM(C10:Q10)</f>
        <v>39661.734021607328</v>
      </c>
      <c r="S10" s="67"/>
    </row>
    <row r="11" spans="1:19" s="437" customFormat="1">
      <c r="A11" s="736" t="s">
        <v>214</v>
      </c>
      <c r="B11" s="741"/>
      <c r="C11" s="930">
        <f>huishoudens!B8</f>
        <v>15758.585812242707</v>
      </c>
      <c r="D11" s="930">
        <f>huishoudens!C8</f>
        <v>0</v>
      </c>
      <c r="E11" s="930">
        <f>huishoudens!D8</f>
        <v>29474.516553240002</v>
      </c>
      <c r="F11" s="930">
        <f>huishoudens!E8</f>
        <v>859.79725122640832</v>
      </c>
      <c r="G11" s="930">
        <f>huishoudens!F8</f>
        <v>23376.185402548428</v>
      </c>
      <c r="H11" s="930">
        <f>huishoudens!G8</f>
        <v>0</v>
      </c>
      <c r="I11" s="930">
        <f>huishoudens!H8</f>
        <v>0</v>
      </c>
      <c r="J11" s="930">
        <f>huishoudens!I8</f>
        <v>0</v>
      </c>
      <c r="K11" s="930">
        <f>huishoudens!J8</f>
        <v>431.09861160572467</v>
      </c>
      <c r="L11" s="930">
        <f>huishoudens!K8</f>
        <v>0</v>
      </c>
      <c r="M11" s="930">
        <f>huishoudens!L8</f>
        <v>0</v>
      </c>
      <c r="N11" s="930">
        <f>huishoudens!M8</f>
        <v>0</v>
      </c>
      <c r="O11" s="930">
        <f>huishoudens!N8</f>
        <v>4965.2969926930627</v>
      </c>
      <c r="P11" s="930">
        <f>huishoudens!O8</f>
        <v>190.72666666666666</v>
      </c>
      <c r="Q11" s="931">
        <f>huishoudens!P8</f>
        <v>629.20000000000005</v>
      </c>
      <c r="R11" s="628">
        <f>SUM(C11:Q11)</f>
        <v>75685.407290222996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339812.87387190992</v>
      </c>
      <c r="D13" s="930">
        <f>industrie!C18</f>
        <v>1632.8571428571429</v>
      </c>
      <c r="E13" s="930">
        <f>industrie!D18</f>
        <v>350959.58435117785</v>
      </c>
      <c r="F13" s="930">
        <f>industrie!E18</f>
        <v>45031.453763239064</v>
      </c>
      <c r="G13" s="930">
        <f>industrie!F18</f>
        <v>160651.43111181594</v>
      </c>
      <c r="H13" s="930">
        <f>industrie!G18</f>
        <v>0</v>
      </c>
      <c r="I13" s="930">
        <f>industrie!H18</f>
        <v>0</v>
      </c>
      <c r="J13" s="930">
        <f>industrie!I18</f>
        <v>0</v>
      </c>
      <c r="K13" s="930">
        <f>industrie!J18</f>
        <v>207.96087195846582</v>
      </c>
      <c r="L13" s="930">
        <f>industrie!K18</f>
        <v>0</v>
      </c>
      <c r="M13" s="930">
        <f>industrie!L18</f>
        <v>0</v>
      </c>
      <c r="N13" s="930">
        <f>industrie!M18</f>
        <v>0</v>
      </c>
      <c r="O13" s="930">
        <f>industrie!N18</f>
        <v>20441.944107169547</v>
      </c>
      <c r="P13" s="930">
        <f>industrie!O18</f>
        <v>0</v>
      </c>
      <c r="Q13" s="931">
        <f>industrie!P18</f>
        <v>0</v>
      </c>
      <c r="R13" s="628">
        <f>SUM(C13:Q13)</f>
        <v>918738.10522012808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379534.6853711236</v>
      </c>
      <c r="D16" s="660">
        <f t="shared" ref="D16:R16" ca="1" si="0">SUM(D9:D15)</f>
        <v>1632.8571428571429</v>
      </c>
      <c r="E16" s="660">
        <f t="shared" ca="1" si="0"/>
        <v>388454.20129195839</v>
      </c>
      <c r="F16" s="660">
        <f t="shared" si="0"/>
        <v>46167.083205168085</v>
      </c>
      <c r="G16" s="660">
        <f t="shared" ca="1" si="0"/>
        <v>189509.83306466785</v>
      </c>
      <c r="H16" s="660">
        <f t="shared" si="0"/>
        <v>0</v>
      </c>
      <c r="I16" s="660">
        <f t="shared" si="0"/>
        <v>0</v>
      </c>
      <c r="J16" s="660">
        <f t="shared" si="0"/>
        <v>0</v>
      </c>
      <c r="K16" s="660">
        <f t="shared" si="0"/>
        <v>639.10975062604848</v>
      </c>
      <c r="L16" s="660">
        <f t="shared" si="0"/>
        <v>0</v>
      </c>
      <c r="M16" s="660">
        <f t="shared" ca="1" si="0"/>
        <v>0</v>
      </c>
      <c r="N16" s="660">
        <f t="shared" si="0"/>
        <v>0</v>
      </c>
      <c r="O16" s="660">
        <f t="shared" ca="1" si="0"/>
        <v>27189.393372223763</v>
      </c>
      <c r="P16" s="660">
        <f t="shared" si="0"/>
        <v>195.41666666666666</v>
      </c>
      <c r="Q16" s="660">
        <f t="shared" si="0"/>
        <v>762.66666666666674</v>
      </c>
      <c r="R16" s="660">
        <f t="shared" ca="1" si="0"/>
        <v>1034085.2465319585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2.1376821958839711</v>
      </c>
      <c r="D19" s="930">
        <f>transport!C54</f>
        <v>0</v>
      </c>
      <c r="E19" s="930">
        <f>transport!D54</f>
        <v>0</v>
      </c>
      <c r="F19" s="930">
        <f>transport!E54</f>
        <v>0</v>
      </c>
      <c r="G19" s="930">
        <f>transport!F54</f>
        <v>0</v>
      </c>
      <c r="H19" s="930">
        <f>transport!G54</f>
        <v>381.15326128288268</v>
      </c>
      <c r="I19" s="930">
        <f>transport!H54</f>
        <v>0</v>
      </c>
      <c r="J19" s="930">
        <f>transport!I54</f>
        <v>0</v>
      </c>
      <c r="K19" s="930">
        <f>transport!J54</f>
        <v>0</v>
      </c>
      <c r="L19" s="930">
        <f>transport!K54</f>
        <v>0</v>
      </c>
      <c r="M19" s="930">
        <f>transport!L54</f>
        <v>0</v>
      </c>
      <c r="N19" s="930">
        <f>transport!M54</f>
        <v>11.898127987878294</v>
      </c>
      <c r="O19" s="930">
        <f>transport!N54</f>
        <v>0</v>
      </c>
      <c r="P19" s="930">
        <f>transport!O54</f>
        <v>0</v>
      </c>
      <c r="Q19" s="931">
        <f>transport!P54</f>
        <v>0</v>
      </c>
      <c r="R19" s="628">
        <f>SUM(C19:Q19)</f>
        <v>395.18907146664498</v>
      </c>
      <c r="S19" s="67"/>
    </row>
    <row r="20" spans="1:19" s="437" customFormat="1">
      <c r="A20" s="736" t="s">
        <v>296</v>
      </c>
      <c r="B20" s="741"/>
      <c r="C20" s="930">
        <f>transport!B14</f>
        <v>10.638369211857961</v>
      </c>
      <c r="D20" s="930">
        <f>transport!C14</f>
        <v>0</v>
      </c>
      <c r="E20" s="930">
        <f>transport!D14</f>
        <v>18.633055064573458</v>
      </c>
      <c r="F20" s="930">
        <f>transport!E14</f>
        <v>83.071977393365088</v>
      </c>
      <c r="G20" s="930">
        <f>transport!F14</f>
        <v>0</v>
      </c>
      <c r="H20" s="930">
        <f>transport!G14</f>
        <v>43265.176005349829</v>
      </c>
      <c r="I20" s="930">
        <f>transport!H14</f>
        <v>6387.2403450835782</v>
      </c>
      <c r="J20" s="930">
        <f>transport!I14</f>
        <v>0</v>
      </c>
      <c r="K20" s="930">
        <f>transport!J14</f>
        <v>0</v>
      </c>
      <c r="L20" s="930">
        <f>transport!K14</f>
        <v>0</v>
      </c>
      <c r="M20" s="930">
        <f>transport!L14</f>
        <v>0</v>
      </c>
      <c r="N20" s="930">
        <f>transport!M14</f>
        <v>1552.5410487722638</v>
      </c>
      <c r="O20" s="930">
        <f>transport!N14</f>
        <v>0</v>
      </c>
      <c r="P20" s="930">
        <f>transport!O14</f>
        <v>0</v>
      </c>
      <c r="Q20" s="931">
        <f>transport!P14</f>
        <v>0</v>
      </c>
      <c r="R20" s="628">
        <f>SUM(C20:Q20)</f>
        <v>51317.300800875462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12.776051407741932</v>
      </c>
      <c r="D22" s="739">
        <f t="shared" ref="D22:R22" si="1">SUM(D18:D21)</f>
        <v>0</v>
      </c>
      <c r="E22" s="739">
        <f t="shared" si="1"/>
        <v>18.633055064573458</v>
      </c>
      <c r="F22" s="739">
        <f t="shared" si="1"/>
        <v>83.071977393365088</v>
      </c>
      <c r="G22" s="739">
        <f t="shared" si="1"/>
        <v>0</v>
      </c>
      <c r="H22" s="739">
        <f t="shared" si="1"/>
        <v>43646.329266632711</v>
      </c>
      <c r="I22" s="739">
        <f t="shared" si="1"/>
        <v>6387.2403450835782</v>
      </c>
      <c r="J22" s="739">
        <f t="shared" si="1"/>
        <v>0</v>
      </c>
      <c r="K22" s="739">
        <f t="shared" si="1"/>
        <v>0</v>
      </c>
      <c r="L22" s="739">
        <f t="shared" si="1"/>
        <v>0</v>
      </c>
      <c r="M22" s="739">
        <f t="shared" si="1"/>
        <v>0</v>
      </c>
      <c r="N22" s="739">
        <f t="shared" si="1"/>
        <v>1564.4391767601421</v>
      </c>
      <c r="O22" s="739">
        <f t="shared" si="1"/>
        <v>0</v>
      </c>
      <c r="P22" s="739">
        <f t="shared" si="1"/>
        <v>0</v>
      </c>
      <c r="Q22" s="739">
        <f t="shared" si="1"/>
        <v>0</v>
      </c>
      <c r="R22" s="739">
        <f t="shared" si="1"/>
        <v>51712.489872342107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1115.0389030900001</v>
      </c>
      <c r="D24" s="930">
        <f>+landbouw!C8</f>
        <v>0</v>
      </c>
      <c r="E24" s="930">
        <f>+landbouw!D8</f>
        <v>238.38375595738</v>
      </c>
      <c r="F24" s="930">
        <f>+landbouw!E8</f>
        <v>22.089879611857484</v>
      </c>
      <c r="G24" s="930">
        <f>+landbouw!F8</f>
        <v>4066.2323920766626</v>
      </c>
      <c r="H24" s="930">
        <f>+landbouw!G8</f>
        <v>0</v>
      </c>
      <c r="I24" s="930">
        <f>+landbouw!H8</f>
        <v>0</v>
      </c>
      <c r="J24" s="930">
        <f>+landbouw!I8</f>
        <v>0</v>
      </c>
      <c r="K24" s="930">
        <f>+landbouw!J8</f>
        <v>264.75515949485691</v>
      </c>
      <c r="L24" s="930">
        <f>+landbouw!K8</f>
        <v>0</v>
      </c>
      <c r="M24" s="930">
        <f>+landbouw!L8</f>
        <v>0</v>
      </c>
      <c r="N24" s="930">
        <f>+landbouw!M8</f>
        <v>0</v>
      </c>
      <c r="O24" s="930">
        <f>+landbouw!N8</f>
        <v>0</v>
      </c>
      <c r="P24" s="930">
        <f>+landbouw!O8</f>
        <v>0</v>
      </c>
      <c r="Q24" s="931">
        <f>+landbouw!P8</f>
        <v>0</v>
      </c>
      <c r="R24" s="628">
        <f>SUM(C24:Q24)</f>
        <v>5706.5000902307575</v>
      </c>
      <c r="S24" s="67"/>
    </row>
    <row r="25" spans="1:19" s="437" customFormat="1" ht="15" thickBot="1">
      <c r="A25" s="758" t="s">
        <v>788</v>
      </c>
      <c r="B25" s="933"/>
      <c r="C25" s="934">
        <f>IF(Onbekend_ele_kWh="---",0,Onbekend_ele_kWh)/1000+IF(REST_rest_ele_kWh="---",0,REST_rest_ele_kWh)/1000</f>
        <v>415.54166434000001</v>
      </c>
      <c r="D25" s="934"/>
      <c r="E25" s="934">
        <f>IF(onbekend_gas_kWh="---",0,onbekend_gas_kWh)/1000+IF(REST_rest_gas_kWh="---",0,REST_rest_gas_kWh)/1000</f>
        <v>902.21541014000002</v>
      </c>
      <c r="F25" s="934"/>
      <c r="G25" s="934"/>
      <c r="H25" s="934"/>
      <c r="I25" s="934"/>
      <c r="J25" s="934"/>
      <c r="K25" s="934"/>
      <c r="L25" s="934"/>
      <c r="M25" s="934"/>
      <c r="N25" s="934"/>
      <c r="O25" s="934"/>
      <c r="P25" s="934"/>
      <c r="Q25" s="935"/>
      <c r="R25" s="628">
        <f>SUM(C25:Q25)</f>
        <v>1317.75707448</v>
      </c>
      <c r="S25" s="67"/>
    </row>
    <row r="26" spans="1:19" s="437" customFormat="1" ht="15.75" thickBot="1">
      <c r="A26" s="633" t="s">
        <v>789</v>
      </c>
      <c r="B26" s="744"/>
      <c r="C26" s="739">
        <f>SUM(C24:C25)</f>
        <v>1530.58056743</v>
      </c>
      <c r="D26" s="739">
        <f t="shared" ref="D26:R26" si="2">SUM(D24:D25)</f>
        <v>0</v>
      </c>
      <c r="E26" s="739">
        <f t="shared" si="2"/>
        <v>1140.59916609738</v>
      </c>
      <c r="F26" s="739">
        <f t="shared" si="2"/>
        <v>22.089879611857484</v>
      </c>
      <c r="G26" s="739">
        <f t="shared" si="2"/>
        <v>4066.2323920766626</v>
      </c>
      <c r="H26" s="739">
        <f t="shared" si="2"/>
        <v>0</v>
      </c>
      <c r="I26" s="739">
        <f t="shared" si="2"/>
        <v>0</v>
      </c>
      <c r="J26" s="739">
        <f t="shared" si="2"/>
        <v>0</v>
      </c>
      <c r="K26" s="739">
        <f t="shared" si="2"/>
        <v>264.75515949485691</v>
      </c>
      <c r="L26" s="739">
        <f t="shared" si="2"/>
        <v>0</v>
      </c>
      <c r="M26" s="739">
        <f t="shared" si="2"/>
        <v>0</v>
      </c>
      <c r="N26" s="739">
        <f t="shared" si="2"/>
        <v>0</v>
      </c>
      <c r="O26" s="739">
        <f t="shared" si="2"/>
        <v>0</v>
      </c>
      <c r="P26" s="739">
        <f t="shared" si="2"/>
        <v>0</v>
      </c>
      <c r="Q26" s="739">
        <f t="shared" si="2"/>
        <v>0</v>
      </c>
      <c r="R26" s="739">
        <f t="shared" si="2"/>
        <v>7024.2571647107579</v>
      </c>
      <c r="S26" s="67"/>
    </row>
    <row r="27" spans="1:19" s="437" customFormat="1" ht="17.25" thickTop="1" thickBot="1">
      <c r="A27" s="634" t="s">
        <v>109</v>
      </c>
      <c r="B27" s="732"/>
      <c r="C27" s="635">
        <f ca="1">C22+C16+C26</f>
        <v>381078.04198996135</v>
      </c>
      <c r="D27" s="635">
        <f t="shared" ref="D27:R27" ca="1" si="3">D22+D16+D26</f>
        <v>1632.8571428571429</v>
      </c>
      <c r="E27" s="635">
        <f t="shared" ca="1" si="3"/>
        <v>389613.43351312034</v>
      </c>
      <c r="F27" s="635">
        <f t="shared" si="3"/>
        <v>46272.245062173308</v>
      </c>
      <c r="G27" s="635">
        <f t="shared" ca="1" si="3"/>
        <v>193576.06545674452</v>
      </c>
      <c r="H27" s="635">
        <f t="shared" si="3"/>
        <v>43646.329266632711</v>
      </c>
      <c r="I27" s="635">
        <f t="shared" si="3"/>
        <v>6387.2403450835782</v>
      </c>
      <c r="J27" s="635">
        <f t="shared" si="3"/>
        <v>0</v>
      </c>
      <c r="K27" s="635">
        <f t="shared" si="3"/>
        <v>903.86491012090539</v>
      </c>
      <c r="L27" s="635">
        <f t="shared" si="3"/>
        <v>0</v>
      </c>
      <c r="M27" s="635">
        <f t="shared" ca="1" si="3"/>
        <v>0</v>
      </c>
      <c r="N27" s="635">
        <f t="shared" si="3"/>
        <v>1564.4391767601421</v>
      </c>
      <c r="O27" s="635">
        <f t="shared" ca="1" si="3"/>
        <v>27189.393372223763</v>
      </c>
      <c r="P27" s="635">
        <f t="shared" si="3"/>
        <v>195.41666666666666</v>
      </c>
      <c r="Q27" s="635">
        <f t="shared" si="3"/>
        <v>762.66666666666674</v>
      </c>
      <c r="R27" s="635">
        <f t="shared" ca="1" si="3"/>
        <v>1092821.9935690113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4987.4419729432448</v>
      </c>
      <c r="D40" s="930">
        <f ca="1">tertiair!C20</f>
        <v>0</v>
      </c>
      <c r="E40" s="930">
        <f ca="1">tertiair!D20</f>
        <v>1620.0602782831934</v>
      </c>
      <c r="F40" s="930">
        <f>tertiair!E20</f>
        <v>62.613907289493035</v>
      </c>
      <c r="G40" s="930">
        <f ca="1">tertiair!F20</f>
        <v>1463.751818931029</v>
      </c>
      <c r="H40" s="930">
        <f>tertiair!G20</f>
        <v>0</v>
      </c>
      <c r="I40" s="930">
        <f>tertiair!H20</f>
        <v>0</v>
      </c>
      <c r="J40" s="930">
        <f>tertiair!I20</f>
        <v>0</v>
      </c>
      <c r="K40" s="930">
        <f>tertiair!J20</f>
        <v>1.7794539897735689E-2</v>
      </c>
      <c r="L40" s="930">
        <f>tertiair!K20</f>
        <v>0</v>
      </c>
      <c r="M40" s="930">
        <f ca="1">tertiair!L20</f>
        <v>0</v>
      </c>
      <c r="N40" s="930">
        <f>tertiair!M20</f>
        <v>0</v>
      </c>
      <c r="O40" s="930">
        <f ca="1">tertiair!N20</f>
        <v>0</v>
      </c>
      <c r="P40" s="930">
        <f>tertiair!O20</f>
        <v>0</v>
      </c>
      <c r="Q40" s="702">
        <f>tertiair!P20</f>
        <v>0</v>
      </c>
      <c r="R40" s="777">
        <f t="shared" ca="1" si="4"/>
        <v>8133.8857719868574</v>
      </c>
    </row>
    <row r="41" spans="1:18">
      <c r="A41" s="749" t="s">
        <v>214</v>
      </c>
      <c r="B41" s="756"/>
      <c r="C41" s="930">
        <f ca="1">huishoudens!B12</f>
        <v>3279.8185578555044</v>
      </c>
      <c r="D41" s="930">
        <f ca="1">huishoudens!C12</f>
        <v>0</v>
      </c>
      <c r="E41" s="930">
        <f>huishoudens!D12</f>
        <v>5953.8523437544809</v>
      </c>
      <c r="F41" s="930">
        <f>huishoudens!E12</f>
        <v>195.17397602839469</v>
      </c>
      <c r="G41" s="930">
        <f>huishoudens!F12</f>
        <v>6241.4415024804302</v>
      </c>
      <c r="H41" s="930">
        <f>huishoudens!G12</f>
        <v>0</v>
      </c>
      <c r="I41" s="930">
        <f>huishoudens!H12</f>
        <v>0</v>
      </c>
      <c r="J41" s="930">
        <f>huishoudens!I12</f>
        <v>0</v>
      </c>
      <c r="K41" s="930">
        <f>huishoudens!J12</f>
        <v>152.60890850842654</v>
      </c>
      <c r="L41" s="930">
        <f>huishoudens!K12</f>
        <v>0</v>
      </c>
      <c r="M41" s="930">
        <f>huishoudens!L12</f>
        <v>0</v>
      </c>
      <c r="N41" s="930">
        <f>huishoudens!M12</f>
        <v>0</v>
      </c>
      <c r="O41" s="930">
        <f>huishoudens!N12</f>
        <v>0</v>
      </c>
      <c r="P41" s="930">
        <f>huishoudens!O12</f>
        <v>0</v>
      </c>
      <c r="Q41" s="702">
        <f>huishoudens!P12</f>
        <v>0</v>
      </c>
      <c r="R41" s="777">
        <f t="shared" ca="1" si="4"/>
        <v>15822.895288627236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70724.910420415879</v>
      </c>
      <c r="D43" s="930">
        <f ca="1">industrie!C22</f>
        <v>388.04369747899159</v>
      </c>
      <c r="E43" s="930">
        <f>industrie!D22</f>
        <v>70893.836038937938</v>
      </c>
      <c r="F43" s="930">
        <f>industrie!E22</f>
        <v>10222.140004255269</v>
      </c>
      <c r="G43" s="930">
        <f>industrie!F22</f>
        <v>42893.93210685486</v>
      </c>
      <c r="H43" s="930">
        <f>industrie!G22</f>
        <v>0</v>
      </c>
      <c r="I43" s="930">
        <f>industrie!H22</f>
        <v>0</v>
      </c>
      <c r="J43" s="930">
        <f>industrie!I22</f>
        <v>0</v>
      </c>
      <c r="K43" s="930">
        <f>industrie!J22</f>
        <v>73.618148673296901</v>
      </c>
      <c r="L43" s="930">
        <f>industrie!K22</f>
        <v>0</v>
      </c>
      <c r="M43" s="930">
        <f>industrie!L22</f>
        <v>0</v>
      </c>
      <c r="N43" s="930">
        <f>industrie!M22</f>
        <v>0</v>
      </c>
      <c r="O43" s="930">
        <f>industrie!N22</f>
        <v>0</v>
      </c>
      <c r="P43" s="930">
        <f>industrie!O22</f>
        <v>0</v>
      </c>
      <c r="Q43" s="702">
        <f>industrie!P22</f>
        <v>0</v>
      </c>
      <c r="R43" s="776">
        <f t="shared" ca="1" si="4"/>
        <v>195196.48041661622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78992.170951214634</v>
      </c>
      <c r="D46" s="660">
        <f t="shared" ref="D46:Q46" ca="1" si="5">SUM(D39:D45)</f>
        <v>388.04369747899159</v>
      </c>
      <c r="E46" s="660">
        <f t="shared" ca="1" si="5"/>
        <v>78467.748660975616</v>
      </c>
      <c r="F46" s="660">
        <f t="shared" si="5"/>
        <v>10479.927887573156</v>
      </c>
      <c r="G46" s="660">
        <f t="shared" ca="1" si="5"/>
        <v>50599.125428266321</v>
      </c>
      <c r="H46" s="660">
        <f t="shared" si="5"/>
        <v>0</v>
      </c>
      <c r="I46" s="660">
        <f t="shared" si="5"/>
        <v>0</v>
      </c>
      <c r="J46" s="660">
        <f t="shared" si="5"/>
        <v>0</v>
      </c>
      <c r="K46" s="660">
        <f t="shared" si="5"/>
        <v>226.24485172162116</v>
      </c>
      <c r="L46" s="660">
        <f t="shared" si="5"/>
        <v>0</v>
      </c>
      <c r="M46" s="660">
        <f t="shared" ca="1" si="5"/>
        <v>0</v>
      </c>
      <c r="N46" s="660">
        <f t="shared" si="5"/>
        <v>0</v>
      </c>
      <c r="O46" s="660">
        <f t="shared" ca="1" si="5"/>
        <v>0</v>
      </c>
      <c r="P46" s="660">
        <f t="shared" si="5"/>
        <v>0</v>
      </c>
      <c r="Q46" s="660">
        <f t="shared" si="5"/>
        <v>0</v>
      </c>
      <c r="R46" s="660">
        <f ca="1">SUM(R39:R45)</f>
        <v>219153.26147723032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0.44491363758101987</v>
      </c>
      <c r="D49" s="930">
        <f ca="1">transport!C58</f>
        <v>0</v>
      </c>
      <c r="E49" s="930">
        <f>transport!D58</f>
        <v>0</v>
      </c>
      <c r="F49" s="930">
        <f>transport!E58</f>
        <v>0</v>
      </c>
      <c r="G49" s="930">
        <f>transport!F58</f>
        <v>0</v>
      </c>
      <c r="H49" s="930">
        <f>transport!G58</f>
        <v>101.76792076252968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102.21283440011071</v>
      </c>
    </row>
    <row r="50" spans="1:18">
      <c r="A50" s="752" t="s">
        <v>296</v>
      </c>
      <c r="B50" s="762"/>
      <c r="C50" s="631">
        <f ca="1">transport!B18</f>
        <v>2.2141530453362859</v>
      </c>
      <c r="D50" s="631">
        <f>transport!C18</f>
        <v>0</v>
      </c>
      <c r="E50" s="631">
        <f>transport!D18</f>
        <v>3.763877123043839</v>
      </c>
      <c r="F50" s="631">
        <f>transport!E18</f>
        <v>18.857338868293876</v>
      </c>
      <c r="G50" s="631">
        <f>transport!F18</f>
        <v>0</v>
      </c>
      <c r="H50" s="631">
        <f>transport!G18</f>
        <v>11551.801993428406</v>
      </c>
      <c r="I50" s="631">
        <f>transport!H18</f>
        <v>1590.4228459258109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13167.060208390891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2.659066682917306</v>
      </c>
      <c r="D52" s="660">
        <f t="shared" ref="D52:Q52" ca="1" si="6">SUM(D48:D51)</f>
        <v>0</v>
      </c>
      <c r="E52" s="660">
        <f t="shared" si="6"/>
        <v>3.763877123043839</v>
      </c>
      <c r="F52" s="660">
        <f t="shared" si="6"/>
        <v>18.857338868293876</v>
      </c>
      <c r="G52" s="660">
        <f t="shared" si="6"/>
        <v>0</v>
      </c>
      <c r="H52" s="660">
        <f t="shared" si="6"/>
        <v>11653.569914190935</v>
      </c>
      <c r="I52" s="660">
        <f t="shared" si="6"/>
        <v>1590.4228459258109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13269.273042791001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232.07192134234779</v>
      </c>
      <c r="D54" s="631">
        <f ca="1">+landbouw!C12</f>
        <v>0</v>
      </c>
      <c r="E54" s="631">
        <f>+landbouw!D12</f>
        <v>48.153518703390766</v>
      </c>
      <c r="F54" s="631">
        <f>+landbouw!E12</f>
        <v>5.0144026718916486</v>
      </c>
      <c r="G54" s="631">
        <f>+landbouw!F12</f>
        <v>1085.684048684469</v>
      </c>
      <c r="H54" s="631">
        <f>+landbouw!G12</f>
        <v>0</v>
      </c>
      <c r="I54" s="631">
        <f>+landbouw!H12</f>
        <v>0</v>
      </c>
      <c r="J54" s="631">
        <f>+landbouw!I12</f>
        <v>0</v>
      </c>
      <c r="K54" s="631">
        <f>+landbouw!J12</f>
        <v>93.72332646117934</v>
      </c>
      <c r="L54" s="631">
        <f>+landbouw!K12</f>
        <v>0</v>
      </c>
      <c r="M54" s="631">
        <f>+landbouw!L12</f>
        <v>0</v>
      </c>
      <c r="N54" s="631">
        <f>+landbouw!M12</f>
        <v>0</v>
      </c>
      <c r="O54" s="631">
        <f>+landbouw!N12</f>
        <v>0</v>
      </c>
      <c r="P54" s="631">
        <f>+landbouw!O12</f>
        <v>0</v>
      </c>
      <c r="Q54" s="632">
        <f>+landbouw!P12</f>
        <v>0</v>
      </c>
      <c r="R54" s="659">
        <f ca="1">SUM(C54:Q54)</f>
        <v>1464.6472178632785</v>
      </c>
    </row>
    <row r="55" spans="1:18" ht="15" thickBot="1">
      <c r="A55" s="752" t="s">
        <v>788</v>
      </c>
      <c r="B55" s="762"/>
      <c r="C55" s="631">
        <f ca="1">C25*'EF ele_warmte'!B12</f>
        <v>86.486267137351177</v>
      </c>
      <c r="D55" s="631"/>
      <c r="E55" s="631">
        <f>E25*EF_CO2_aardgas</f>
        <v>182.24751284828002</v>
      </c>
      <c r="F55" s="631"/>
      <c r="G55" s="631"/>
      <c r="H55" s="631"/>
      <c r="I55" s="631"/>
      <c r="J55" s="631"/>
      <c r="K55" s="631"/>
      <c r="L55" s="631"/>
      <c r="M55" s="631"/>
      <c r="N55" s="631"/>
      <c r="O55" s="631"/>
      <c r="P55" s="631"/>
      <c r="Q55" s="632"/>
      <c r="R55" s="659">
        <f ca="1">SUM(C55:Q55)</f>
        <v>268.7337799856312</v>
      </c>
    </row>
    <row r="56" spans="1:18" ht="15.75" thickBot="1">
      <c r="A56" s="750" t="s">
        <v>789</v>
      </c>
      <c r="B56" s="763"/>
      <c r="C56" s="660">
        <f ca="1">SUM(C54:C55)</f>
        <v>318.55818847969897</v>
      </c>
      <c r="D56" s="660">
        <f t="shared" ref="D56:Q56" ca="1" si="7">SUM(D54:D55)</f>
        <v>0</v>
      </c>
      <c r="E56" s="660">
        <f t="shared" si="7"/>
        <v>230.4010315516708</v>
      </c>
      <c r="F56" s="660">
        <f t="shared" si="7"/>
        <v>5.0144026718916486</v>
      </c>
      <c r="G56" s="660">
        <f t="shared" si="7"/>
        <v>1085.684048684469</v>
      </c>
      <c r="H56" s="660">
        <f t="shared" si="7"/>
        <v>0</v>
      </c>
      <c r="I56" s="660">
        <f t="shared" si="7"/>
        <v>0</v>
      </c>
      <c r="J56" s="660">
        <f t="shared" si="7"/>
        <v>0</v>
      </c>
      <c r="K56" s="660">
        <f t="shared" si="7"/>
        <v>93.72332646117934</v>
      </c>
      <c r="L56" s="660">
        <f t="shared" si="7"/>
        <v>0</v>
      </c>
      <c r="M56" s="660">
        <f t="shared" si="7"/>
        <v>0</v>
      </c>
      <c r="N56" s="660">
        <f t="shared" si="7"/>
        <v>0</v>
      </c>
      <c r="O56" s="660">
        <f t="shared" si="7"/>
        <v>0</v>
      </c>
      <c r="P56" s="660">
        <f t="shared" si="7"/>
        <v>0</v>
      </c>
      <c r="Q56" s="661">
        <f t="shared" si="7"/>
        <v>0</v>
      </c>
      <c r="R56" s="662">
        <f ca="1">SUM(R54:R55)</f>
        <v>1733.3809978489096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79313.388206377247</v>
      </c>
      <c r="D61" s="668">
        <f t="shared" ref="D61:Q61" ca="1" si="8">D46+D52+D56</f>
        <v>388.04369747899159</v>
      </c>
      <c r="E61" s="668">
        <f t="shared" ca="1" si="8"/>
        <v>78701.913569650322</v>
      </c>
      <c r="F61" s="668">
        <f t="shared" si="8"/>
        <v>10503.799629113342</v>
      </c>
      <c r="G61" s="668">
        <f t="shared" ca="1" si="8"/>
        <v>51684.809476950788</v>
      </c>
      <c r="H61" s="668">
        <f t="shared" si="8"/>
        <v>11653.569914190935</v>
      </c>
      <c r="I61" s="668">
        <f t="shared" si="8"/>
        <v>1590.4228459258109</v>
      </c>
      <c r="J61" s="668">
        <f t="shared" si="8"/>
        <v>0</v>
      </c>
      <c r="K61" s="668">
        <f t="shared" si="8"/>
        <v>319.9681781828005</v>
      </c>
      <c r="L61" s="668">
        <f t="shared" si="8"/>
        <v>0</v>
      </c>
      <c r="M61" s="668">
        <f t="shared" ca="1" si="8"/>
        <v>0</v>
      </c>
      <c r="N61" s="668">
        <f t="shared" si="8"/>
        <v>0</v>
      </c>
      <c r="O61" s="668">
        <f t="shared" ca="1" si="8"/>
        <v>0</v>
      </c>
      <c r="P61" s="668">
        <f t="shared" si="8"/>
        <v>0</v>
      </c>
      <c r="Q61" s="668">
        <f t="shared" si="8"/>
        <v>0</v>
      </c>
      <c r="R61" s="668">
        <f ca="1">R46+R52+R56</f>
        <v>234155.91551787022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0.2081289905663643</v>
      </c>
      <c r="D63" s="709">
        <f t="shared" ca="1" si="9"/>
        <v>0.23764705882352941</v>
      </c>
      <c r="E63" s="941">
        <f t="shared" ca="1" si="9"/>
        <v>0.20200000000000004</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12170.573935654025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10109.456207511148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1143</v>
      </c>
      <c r="D76" s="951">
        <f>'lokale energieproductie'!C8</f>
        <v>1344.7058823529412</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271.63058823529417</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22280.030143165175</v>
      </c>
      <c r="C78" s="683">
        <f>SUM(C72:C77)</f>
        <v>1143</v>
      </c>
      <c r="D78" s="684">
        <f t="shared" ref="D78:H78" si="10">SUM(D76:D77)</f>
        <v>1344.7058823529412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271.63058823529417</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1632.8571428571429</v>
      </c>
      <c r="D87" s="705">
        <f>'lokale energieproductie'!C17</f>
        <v>1921.0084033613443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388.04369747899159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1632.8571428571429</v>
      </c>
      <c r="D90" s="683">
        <f t="shared" ref="D90:H90" si="12">SUM(D87:D89)</f>
        <v>1921.0084033613443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388.04369747899159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15758.585812242707</v>
      </c>
      <c r="C4" s="441">
        <f>huishoudens!C8</f>
        <v>0</v>
      </c>
      <c r="D4" s="441">
        <f>huishoudens!D8</f>
        <v>29474.516553240002</v>
      </c>
      <c r="E4" s="441">
        <f>huishoudens!E8</f>
        <v>859.79725122640832</v>
      </c>
      <c r="F4" s="441">
        <f>huishoudens!F8</f>
        <v>23376.185402548428</v>
      </c>
      <c r="G4" s="441">
        <f>huishoudens!G8</f>
        <v>0</v>
      </c>
      <c r="H4" s="441">
        <f>huishoudens!H8</f>
        <v>0</v>
      </c>
      <c r="I4" s="441">
        <f>huishoudens!I8</f>
        <v>0</v>
      </c>
      <c r="J4" s="441">
        <f>huishoudens!J8</f>
        <v>431.09861160572467</v>
      </c>
      <c r="K4" s="441">
        <f>huishoudens!K8</f>
        <v>0</v>
      </c>
      <c r="L4" s="441">
        <f>huishoudens!L8</f>
        <v>0</v>
      </c>
      <c r="M4" s="441">
        <f>huishoudens!M8</f>
        <v>0</v>
      </c>
      <c r="N4" s="441">
        <f>huishoudens!N8</f>
        <v>4965.2969926930627</v>
      </c>
      <c r="O4" s="441">
        <f>huishoudens!O8</f>
        <v>190.72666666666666</v>
      </c>
      <c r="P4" s="442">
        <f>huishoudens!P8</f>
        <v>629.20000000000005</v>
      </c>
      <c r="Q4" s="443">
        <f>SUM(B4:P4)</f>
        <v>75685.407290222996</v>
      </c>
    </row>
    <row r="5" spans="1:17">
      <c r="A5" s="440" t="s">
        <v>149</v>
      </c>
      <c r="B5" s="441">
        <f ca="1">tertiair!B16</f>
        <v>22982.242686971</v>
      </c>
      <c r="C5" s="441">
        <f ca="1">tertiair!C16</f>
        <v>0</v>
      </c>
      <c r="D5" s="441">
        <f ca="1">tertiair!D16</f>
        <v>8020.1003875405613</v>
      </c>
      <c r="E5" s="441">
        <f>tertiair!E16</f>
        <v>275.83219070261248</v>
      </c>
      <c r="F5" s="441">
        <f ca="1">tertiair!F16</f>
        <v>5482.2165503034794</v>
      </c>
      <c r="G5" s="441">
        <f>tertiair!G16</f>
        <v>0</v>
      </c>
      <c r="H5" s="441">
        <f>tertiair!H16</f>
        <v>0</v>
      </c>
      <c r="I5" s="441">
        <f>tertiair!I16</f>
        <v>0</v>
      </c>
      <c r="J5" s="441">
        <f>tertiair!J16</f>
        <v>5.0267061858010428E-2</v>
      </c>
      <c r="K5" s="441">
        <f>tertiair!K16</f>
        <v>0</v>
      </c>
      <c r="L5" s="441">
        <f ca="1">tertiair!L16</f>
        <v>0</v>
      </c>
      <c r="M5" s="441">
        <f>tertiair!M16</f>
        <v>0</v>
      </c>
      <c r="N5" s="441">
        <f ca="1">tertiair!N16</f>
        <v>1782.1522723611511</v>
      </c>
      <c r="O5" s="441">
        <f>tertiair!O16</f>
        <v>4.6900000000000004</v>
      </c>
      <c r="P5" s="442">
        <f>tertiair!P16</f>
        <v>133.46666666666667</v>
      </c>
      <c r="Q5" s="440">
        <f t="shared" ref="Q5:Q14" ca="1" si="0">SUM(B5:P5)</f>
        <v>38680.751021607328</v>
      </c>
    </row>
    <row r="6" spans="1:17">
      <c r="A6" s="440" t="s">
        <v>187</v>
      </c>
      <c r="B6" s="441">
        <f>'openbare verlichting'!B8</f>
        <v>980.98299999999995</v>
      </c>
      <c r="C6" s="441"/>
      <c r="D6" s="441"/>
      <c r="E6" s="441"/>
      <c r="F6" s="441"/>
      <c r="G6" s="441"/>
      <c r="H6" s="441"/>
      <c r="I6" s="441"/>
      <c r="J6" s="441"/>
      <c r="K6" s="441"/>
      <c r="L6" s="441"/>
      <c r="M6" s="441"/>
      <c r="N6" s="441"/>
      <c r="O6" s="441"/>
      <c r="P6" s="442"/>
      <c r="Q6" s="440">
        <f t="shared" si="0"/>
        <v>980.98299999999995</v>
      </c>
    </row>
    <row r="7" spans="1:17">
      <c r="A7" s="440" t="s">
        <v>105</v>
      </c>
      <c r="B7" s="441">
        <f>landbouw!B8</f>
        <v>1115.0389030900001</v>
      </c>
      <c r="C7" s="441">
        <f>landbouw!C8</f>
        <v>0</v>
      </c>
      <c r="D7" s="441">
        <f>landbouw!D8</f>
        <v>238.38375595738</v>
      </c>
      <c r="E7" s="441">
        <f>landbouw!E8</f>
        <v>22.089879611857484</v>
      </c>
      <c r="F7" s="441">
        <f>landbouw!F8</f>
        <v>4066.2323920766626</v>
      </c>
      <c r="G7" s="441">
        <f>landbouw!G8</f>
        <v>0</v>
      </c>
      <c r="H7" s="441">
        <f>landbouw!H8</f>
        <v>0</v>
      </c>
      <c r="I7" s="441">
        <f>landbouw!I8</f>
        <v>0</v>
      </c>
      <c r="J7" s="441">
        <f>landbouw!J8</f>
        <v>264.75515949485691</v>
      </c>
      <c r="K7" s="441">
        <f>landbouw!K8</f>
        <v>0</v>
      </c>
      <c r="L7" s="441">
        <f>landbouw!L8</f>
        <v>0</v>
      </c>
      <c r="M7" s="441">
        <f>landbouw!M8</f>
        <v>0</v>
      </c>
      <c r="N7" s="441">
        <f>landbouw!N8</f>
        <v>0</v>
      </c>
      <c r="O7" s="441">
        <f>landbouw!O8</f>
        <v>0</v>
      </c>
      <c r="P7" s="442">
        <f>landbouw!P8</f>
        <v>0</v>
      </c>
      <c r="Q7" s="440">
        <f t="shared" si="0"/>
        <v>5706.5000902307575</v>
      </c>
    </row>
    <row r="8" spans="1:17">
      <c r="A8" s="440" t="s">
        <v>600</v>
      </c>
      <c r="B8" s="441">
        <f>industrie!B18</f>
        <v>339812.87387190992</v>
      </c>
      <c r="C8" s="441">
        <f>industrie!C18</f>
        <v>1632.8571428571429</v>
      </c>
      <c r="D8" s="441">
        <f>industrie!D18</f>
        <v>350959.58435117785</v>
      </c>
      <c r="E8" s="441">
        <f>industrie!E18</f>
        <v>45031.453763239064</v>
      </c>
      <c r="F8" s="441">
        <f>industrie!F18</f>
        <v>160651.43111181594</v>
      </c>
      <c r="G8" s="441">
        <f>industrie!G18</f>
        <v>0</v>
      </c>
      <c r="H8" s="441">
        <f>industrie!H18</f>
        <v>0</v>
      </c>
      <c r="I8" s="441">
        <f>industrie!I18</f>
        <v>0</v>
      </c>
      <c r="J8" s="441">
        <f>industrie!J18</f>
        <v>207.96087195846582</v>
      </c>
      <c r="K8" s="441">
        <f>industrie!K18</f>
        <v>0</v>
      </c>
      <c r="L8" s="441">
        <f>industrie!L18</f>
        <v>0</v>
      </c>
      <c r="M8" s="441">
        <f>industrie!M18</f>
        <v>0</v>
      </c>
      <c r="N8" s="441">
        <f>industrie!N18</f>
        <v>20441.944107169547</v>
      </c>
      <c r="O8" s="441">
        <f>industrie!O18</f>
        <v>0</v>
      </c>
      <c r="P8" s="442">
        <f>industrie!P18</f>
        <v>0</v>
      </c>
      <c r="Q8" s="440">
        <f t="shared" si="0"/>
        <v>918738.10522012808</v>
      </c>
    </row>
    <row r="9" spans="1:17" s="446" customFormat="1">
      <c r="A9" s="444" t="s">
        <v>549</v>
      </c>
      <c r="B9" s="445">
        <f>transport!B14</f>
        <v>10.638369211857961</v>
      </c>
      <c r="C9" s="445">
        <f>transport!C14</f>
        <v>0</v>
      </c>
      <c r="D9" s="445">
        <f>transport!D14</f>
        <v>18.633055064573458</v>
      </c>
      <c r="E9" s="445">
        <f>transport!E14</f>
        <v>83.071977393365088</v>
      </c>
      <c r="F9" s="445">
        <f>transport!F14</f>
        <v>0</v>
      </c>
      <c r="G9" s="445">
        <f>transport!G14</f>
        <v>43265.176005349829</v>
      </c>
      <c r="H9" s="445">
        <f>transport!H14</f>
        <v>6387.2403450835782</v>
      </c>
      <c r="I9" s="445">
        <f>transport!I14</f>
        <v>0</v>
      </c>
      <c r="J9" s="445">
        <f>transport!J14</f>
        <v>0</v>
      </c>
      <c r="K9" s="445">
        <f>transport!K14</f>
        <v>0</v>
      </c>
      <c r="L9" s="445">
        <f>transport!L14</f>
        <v>0</v>
      </c>
      <c r="M9" s="445">
        <f>transport!M14</f>
        <v>1552.5410487722638</v>
      </c>
      <c r="N9" s="445">
        <f>transport!N14</f>
        <v>0</v>
      </c>
      <c r="O9" s="445">
        <f>transport!O14</f>
        <v>0</v>
      </c>
      <c r="P9" s="445">
        <f>transport!P14</f>
        <v>0</v>
      </c>
      <c r="Q9" s="444">
        <f>SUM(B9:P9)</f>
        <v>51317.300800875462</v>
      </c>
    </row>
    <row r="10" spans="1:17">
      <c r="A10" s="440" t="s">
        <v>539</v>
      </c>
      <c r="B10" s="441">
        <f>transport!B54</f>
        <v>2.1376821958839711</v>
      </c>
      <c r="C10" s="441">
        <f>transport!C54</f>
        <v>0</v>
      </c>
      <c r="D10" s="441">
        <f>transport!D54</f>
        <v>0</v>
      </c>
      <c r="E10" s="441">
        <f>transport!E54</f>
        <v>0</v>
      </c>
      <c r="F10" s="441">
        <f>transport!F54</f>
        <v>0</v>
      </c>
      <c r="G10" s="441">
        <f>transport!G54</f>
        <v>381.15326128288268</v>
      </c>
      <c r="H10" s="441">
        <f>transport!H54</f>
        <v>0</v>
      </c>
      <c r="I10" s="441">
        <f>transport!I54</f>
        <v>0</v>
      </c>
      <c r="J10" s="441">
        <f>transport!J54</f>
        <v>0</v>
      </c>
      <c r="K10" s="441">
        <f>transport!K54</f>
        <v>0</v>
      </c>
      <c r="L10" s="441">
        <f>transport!L54</f>
        <v>0</v>
      </c>
      <c r="M10" s="441">
        <f>transport!M54</f>
        <v>11.898127987878294</v>
      </c>
      <c r="N10" s="441">
        <f>transport!N54</f>
        <v>0</v>
      </c>
      <c r="O10" s="441">
        <f>transport!O54</f>
        <v>0</v>
      </c>
      <c r="P10" s="442">
        <f>transport!P54</f>
        <v>0</v>
      </c>
      <c r="Q10" s="440">
        <f t="shared" si="0"/>
        <v>395.18907146664498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415.54166434000001</v>
      </c>
      <c r="C14" s="448"/>
      <c r="D14" s="448">
        <f>'SEAP template'!E25</f>
        <v>902.21541014000002</v>
      </c>
      <c r="E14" s="448"/>
      <c r="F14" s="448"/>
      <c r="G14" s="448"/>
      <c r="H14" s="448"/>
      <c r="I14" s="448"/>
      <c r="J14" s="448"/>
      <c r="K14" s="448"/>
      <c r="L14" s="448"/>
      <c r="M14" s="448"/>
      <c r="N14" s="448"/>
      <c r="O14" s="448"/>
      <c r="P14" s="449"/>
      <c r="Q14" s="440">
        <f t="shared" si="0"/>
        <v>1317.75707448</v>
      </c>
    </row>
    <row r="15" spans="1:17" s="450" customFormat="1">
      <c r="A15" s="956" t="s">
        <v>543</v>
      </c>
      <c r="B15" s="896">
        <f ca="1">SUM(B4:B14)</f>
        <v>381078.04198996135</v>
      </c>
      <c r="C15" s="896">
        <f t="shared" ref="C15:Q15" ca="1" si="1">SUM(C4:C14)</f>
        <v>1632.8571428571429</v>
      </c>
      <c r="D15" s="896">
        <f t="shared" ca="1" si="1"/>
        <v>389613.4335131204</v>
      </c>
      <c r="E15" s="896">
        <f t="shared" si="1"/>
        <v>46272.245062173308</v>
      </c>
      <c r="F15" s="896">
        <f t="shared" ca="1" si="1"/>
        <v>193576.06545674452</v>
      </c>
      <c r="G15" s="896">
        <f t="shared" si="1"/>
        <v>43646.329266632711</v>
      </c>
      <c r="H15" s="896">
        <f t="shared" si="1"/>
        <v>6387.2403450835782</v>
      </c>
      <c r="I15" s="896">
        <f t="shared" si="1"/>
        <v>0</v>
      </c>
      <c r="J15" s="896">
        <f t="shared" si="1"/>
        <v>903.86491012090528</v>
      </c>
      <c r="K15" s="896">
        <f t="shared" si="1"/>
        <v>0</v>
      </c>
      <c r="L15" s="896">
        <f t="shared" ca="1" si="1"/>
        <v>0</v>
      </c>
      <c r="M15" s="896">
        <f t="shared" si="1"/>
        <v>1564.4391767601421</v>
      </c>
      <c r="N15" s="896">
        <f t="shared" ca="1" si="1"/>
        <v>27189.393372223763</v>
      </c>
      <c r="O15" s="896">
        <f t="shared" si="1"/>
        <v>195.41666666666666</v>
      </c>
      <c r="P15" s="896">
        <f t="shared" si="1"/>
        <v>762.66666666666674</v>
      </c>
      <c r="Q15" s="896">
        <f t="shared" ca="1" si="1"/>
        <v>1092821.9935690113</v>
      </c>
    </row>
    <row r="17" spans="1:17">
      <c r="A17" s="451" t="s">
        <v>544</v>
      </c>
      <c r="B17" s="714">
        <f ca="1">huishoudens!B10</f>
        <v>0.20812899056636427</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3279.8185578555044</v>
      </c>
      <c r="C22" s="441">
        <f t="shared" ref="C22:C32" ca="1" si="3">C4*$C$17</f>
        <v>0</v>
      </c>
      <c r="D22" s="441">
        <f t="shared" ref="D22:D32" si="4">D4*$D$17</f>
        <v>5953.8523437544809</v>
      </c>
      <c r="E22" s="441">
        <f t="shared" ref="E22:E32" si="5">E4*$E$17</f>
        <v>195.17397602839469</v>
      </c>
      <c r="F22" s="441">
        <f t="shared" ref="F22:F32" si="6">F4*$F$17</f>
        <v>6241.4415024804302</v>
      </c>
      <c r="G22" s="441">
        <f t="shared" ref="G22:G32" si="7">G4*$G$17</f>
        <v>0</v>
      </c>
      <c r="H22" s="441">
        <f t="shared" ref="H22:H32" si="8">H4*$H$17</f>
        <v>0</v>
      </c>
      <c r="I22" s="441">
        <f t="shared" ref="I22:I32" si="9">I4*$I$17</f>
        <v>0</v>
      </c>
      <c r="J22" s="441">
        <f t="shared" ref="J22:J32" si="10">J4*$J$17</f>
        <v>152.60890850842654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15822.895288627236</v>
      </c>
    </row>
    <row r="23" spans="1:17">
      <c r="A23" s="440" t="s">
        <v>149</v>
      </c>
      <c r="B23" s="441">
        <f t="shared" ca="1" si="2"/>
        <v>4783.2709713904815</v>
      </c>
      <c r="C23" s="441">
        <f t="shared" ca="1" si="3"/>
        <v>0</v>
      </c>
      <c r="D23" s="441">
        <f t="shared" ca="1" si="4"/>
        <v>1620.0602782831934</v>
      </c>
      <c r="E23" s="441">
        <f t="shared" si="5"/>
        <v>62.613907289493035</v>
      </c>
      <c r="F23" s="441">
        <f t="shared" ca="1" si="6"/>
        <v>1463.751818931029</v>
      </c>
      <c r="G23" s="441">
        <f t="shared" si="7"/>
        <v>0</v>
      </c>
      <c r="H23" s="441">
        <f t="shared" si="8"/>
        <v>0</v>
      </c>
      <c r="I23" s="441">
        <f t="shared" si="9"/>
        <v>0</v>
      </c>
      <c r="J23" s="441">
        <f t="shared" si="10"/>
        <v>1.7794539897735689E-2</v>
      </c>
      <c r="K23" s="441">
        <f t="shared" si="11"/>
        <v>0</v>
      </c>
      <c r="L23" s="441">
        <f t="shared" ca="1" si="12"/>
        <v>0</v>
      </c>
      <c r="M23" s="441">
        <f t="shared" si="13"/>
        <v>0</v>
      </c>
      <c r="N23" s="441">
        <f t="shared" ca="1" si="14"/>
        <v>0</v>
      </c>
      <c r="O23" s="441">
        <f t="shared" si="15"/>
        <v>0</v>
      </c>
      <c r="P23" s="442">
        <f t="shared" si="16"/>
        <v>0</v>
      </c>
      <c r="Q23" s="440">
        <f t="shared" ref="Q23:Q32" ca="1" si="17">SUM(B23:P23)</f>
        <v>7929.7147704340932</v>
      </c>
    </row>
    <row r="24" spans="1:17">
      <c r="A24" s="440" t="s">
        <v>187</v>
      </c>
      <c r="B24" s="441">
        <f t="shared" ca="1" si="2"/>
        <v>204.17100155276373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204.17100155276373</v>
      </c>
    </row>
    <row r="25" spans="1:17">
      <c r="A25" s="440" t="s">
        <v>105</v>
      </c>
      <c r="B25" s="441">
        <f t="shared" ca="1" si="2"/>
        <v>232.07192134234779</v>
      </c>
      <c r="C25" s="441">
        <f t="shared" ca="1" si="3"/>
        <v>0</v>
      </c>
      <c r="D25" s="441">
        <f t="shared" si="4"/>
        <v>48.153518703390766</v>
      </c>
      <c r="E25" s="441">
        <f t="shared" si="5"/>
        <v>5.0144026718916486</v>
      </c>
      <c r="F25" s="441">
        <f t="shared" si="6"/>
        <v>1085.684048684469</v>
      </c>
      <c r="G25" s="441">
        <f t="shared" si="7"/>
        <v>0</v>
      </c>
      <c r="H25" s="441">
        <f t="shared" si="8"/>
        <v>0</v>
      </c>
      <c r="I25" s="441">
        <f t="shared" si="9"/>
        <v>0</v>
      </c>
      <c r="J25" s="441">
        <f t="shared" si="10"/>
        <v>93.72332646117934</v>
      </c>
      <c r="K25" s="441">
        <f t="shared" si="11"/>
        <v>0</v>
      </c>
      <c r="L25" s="441">
        <f t="shared" si="12"/>
        <v>0</v>
      </c>
      <c r="M25" s="441">
        <f t="shared" si="13"/>
        <v>0</v>
      </c>
      <c r="N25" s="441">
        <f t="shared" si="14"/>
        <v>0</v>
      </c>
      <c r="O25" s="441">
        <f t="shared" si="15"/>
        <v>0</v>
      </c>
      <c r="P25" s="442">
        <f t="shared" si="16"/>
        <v>0</v>
      </c>
      <c r="Q25" s="440">
        <f t="shared" ca="1" si="17"/>
        <v>1464.6472178632785</v>
      </c>
    </row>
    <row r="26" spans="1:17">
      <c r="A26" s="440" t="s">
        <v>600</v>
      </c>
      <c r="B26" s="441">
        <f t="shared" ca="1" si="2"/>
        <v>70724.910420415879</v>
      </c>
      <c r="C26" s="441">
        <f t="shared" ca="1" si="3"/>
        <v>388.04369747899159</v>
      </c>
      <c r="D26" s="441">
        <f t="shared" si="4"/>
        <v>70893.836038937938</v>
      </c>
      <c r="E26" s="441">
        <f t="shared" si="5"/>
        <v>10222.140004255269</v>
      </c>
      <c r="F26" s="441">
        <f t="shared" si="6"/>
        <v>42893.93210685486</v>
      </c>
      <c r="G26" s="441">
        <f t="shared" si="7"/>
        <v>0</v>
      </c>
      <c r="H26" s="441">
        <f t="shared" si="8"/>
        <v>0</v>
      </c>
      <c r="I26" s="441">
        <f t="shared" si="9"/>
        <v>0</v>
      </c>
      <c r="J26" s="441">
        <f t="shared" si="10"/>
        <v>73.618148673296901</v>
      </c>
      <c r="K26" s="441">
        <f t="shared" si="11"/>
        <v>0</v>
      </c>
      <c r="L26" s="441">
        <f t="shared" si="12"/>
        <v>0</v>
      </c>
      <c r="M26" s="441">
        <f t="shared" si="13"/>
        <v>0</v>
      </c>
      <c r="N26" s="441">
        <f t="shared" si="14"/>
        <v>0</v>
      </c>
      <c r="O26" s="441">
        <f t="shared" si="15"/>
        <v>0</v>
      </c>
      <c r="P26" s="442">
        <f t="shared" si="16"/>
        <v>0</v>
      </c>
      <c r="Q26" s="440">
        <f t="shared" ca="1" si="17"/>
        <v>195196.48041661622</v>
      </c>
    </row>
    <row r="27" spans="1:17" s="446" customFormat="1">
      <c r="A27" s="444" t="s">
        <v>549</v>
      </c>
      <c r="B27" s="708">
        <f t="shared" ca="1" si="2"/>
        <v>2.2141530453362859</v>
      </c>
      <c r="C27" s="445">
        <f t="shared" ca="1" si="3"/>
        <v>0</v>
      </c>
      <c r="D27" s="445">
        <f t="shared" si="4"/>
        <v>3.763877123043839</v>
      </c>
      <c r="E27" s="445">
        <f t="shared" si="5"/>
        <v>18.857338868293876</v>
      </c>
      <c r="F27" s="445">
        <f t="shared" si="6"/>
        <v>0</v>
      </c>
      <c r="G27" s="445">
        <f t="shared" si="7"/>
        <v>11551.801993428406</v>
      </c>
      <c r="H27" s="445">
        <f t="shared" si="8"/>
        <v>1590.4228459258109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13167.060208390891</v>
      </c>
    </row>
    <row r="28" spans="1:17">
      <c r="A28" s="440" t="s">
        <v>539</v>
      </c>
      <c r="B28" s="441">
        <f t="shared" ca="1" si="2"/>
        <v>0.44491363758101987</v>
      </c>
      <c r="C28" s="441">
        <f t="shared" ca="1" si="3"/>
        <v>0</v>
      </c>
      <c r="D28" s="441">
        <f t="shared" si="4"/>
        <v>0</v>
      </c>
      <c r="E28" s="441">
        <f t="shared" si="5"/>
        <v>0</v>
      </c>
      <c r="F28" s="441">
        <f t="shared" si="6"/>
        <v>0</v>
      </c>
      <c r="G28" s="441">
        <f t="shared" si="7"/>
        <v>101.76792076252968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102.21283440011071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86.486267137351177</v>
      </c>
      <c r="C32" s="441">
        <f t="shared" ca="1" si="3"/>
        <v>0</v>
      </c>
      <c r="D32" s="441">
        <f t="shared" si="4"/>
        <v>182.24751284828002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268.7337799856312</v>
      </c>
    </row>
    <row r="33" spans="1:17" s="450" customFormat="1">
      <c r="A33" s="956" t="s">
        <v>543</v>
      </c>
      <c r="B33" s="896">
        <f ca="1">SUM(B22:B32)</f>
        <v>79313.388206377247</v>
      </c>
      <c r="C33" s="896">
        <f t="shared" ref="C33:Q33" ca="1" si="18">SUM(C22:C32)</f>
        <v>388.04369747899159</v>
      </c>
      <c r="D33" s="896">
        <f t="shared" ca="1" si="18"/>
        <v>78701.913569650322</v>
      </c>
      <c r="E33" s="896">
        <f t="shared" si="18"/>
        <v>10503.799629113342</v>
      </c>
      <c r="F33" s="896">
        <f t="shared" ca="1" si="18"/>
        <v>51684.809476950788</v>
      </c>
      <c r="G33" s="896">
        <f t="shared" si="18"/>
        <v>11653.569914190935</v>
      </c>
      <c r="H33" s="896">
        <f t="shared" si="18"/>
        <v>1590.4228459258109</v>
      </c>
      <c r="I33" s="896">
        <f t="shared" si="18"/>
        <v>0</v>
      </c>
      <c r="J33" s="896">
        <f t="shared" si="18"/>
        <v>319.9681781828005</v>
      </c>
      <c r="K33" s="896">
        <f t="shared" si="18"/>
        <v>0</v>
      </c>
      <c r="L33" s="896">
        <f t="shared" ca="1" si="18"/>
        <v>0</v>
      </c>
      <c r="M33" s="896">
        <f t="shared" si="18"/>
        <v>0</v>
      </c>
      <c r="N33" s="896">
        <f t="shared" ca="1" si="18"/>
        <v>0</v>
      </c>
      <c r="O33" s="896">
        <f t="shared" si="18"/>
        <v>0</v>
      </c>
      <c r="P33" s="896">
        <f t="shared" si="18"/>
        <v>0</v>
      </c>
      <c r="Q33" s="896">
        <f t="shared" ca="1" si="18"/>
        <v>234155.91551787025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12170.573935654025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10109.456207511148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1143</v>
      </c>
      <c r="D8" s="973">
        <f>'SEAP template'!D76</f>
        <v>1344.7058823529412</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271.63058823529417</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22280.030143165175</v>
      </c>
      <c r="C10" s="977">
        <f>SUM(C4:C9)</f>
        <v>1143</v>
      </c>
      <c r="D10" s="977">
        <f t="shared" ref="D10:H10" si="0">SUM(D8:D9)</f>
        <v>1344.7058823529412</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271.63058823529417</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0.20812899056636427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1632.8571428571429</v>
      </c>
      <c r="D17" s="974">
        <f>'SEAP template'!D87</f>
        <v>1921.0084033613443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388.04369747899159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1632.8571428571429</v>
      </c>
      <c r="D20" s="977">
        <f t="shared" ref="D20:H20" si="2">SUM(D17:D19)</f>
        <v>1921.0084033613443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388.04369747899159</v>
      </c>
    </row>
    <row r="22" spans="1:16">
      <c r="A22" s="451" t="s">
        <v>811</v>
      </c>
      <c r="B22" s="714" t="s">
        <v>805</v>
      </c>
      <c r="C22" s="714">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0.20812899056636427</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2022-07-26T11:12:13Z</dcterms:modified>
</cp:coreProperties>
</file>