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D4665943-68E5-4DD6-9892-C4C3497628C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<sst xmlns="http://schemas.openxmlformats.org/spreadsheetml/2006/main" count="2406" uniqueCount="887">
  <si>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</si>
  <si>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</si>
  <si>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</si>
  <si>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</si>
  <si>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</si>
  <si>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</si>
  <si>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</si>
  <si>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</si>
  <si>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</si>
  <si>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</si>
  <si>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</si>
  <si>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</si>
  <si>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</si>
  <si>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</si>
  <si>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</si>
  <si>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</si>
  <si>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</si>
  <si>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</si>
  <si>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</si>
  <si>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</si>
  <si>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</si>
  <si>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</si>
  <si>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</si>
  <si>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</si>
  <si>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</si>
  <si>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</si>
  <si>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</si>
  <si>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</si>
  <si>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</si>
  <si>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</si>
  <si>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</si>
  <si>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</si>
  <si>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</si>
  <si>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</si>
  <si>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</si>
  <si>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</si>
  <si>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</si>
  <si>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</si>
  <si>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</si>
  <si>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</si>
  <si>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</si>
  <si>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</si>
  <si>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</si>
  <si>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</si>
  <si>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</si>
  <si>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</si>
  <si>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</si>
  <si>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</si>
  <si>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</si>
  <si>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</si>
  <si>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</si>
  <si>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</si>
  <si>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</si>
  <si>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</si>
  <si>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</si>
  <si>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</si>
  <si>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</si>
  <si>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</si>
  <si>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</si>
  <si>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</si>
  <si>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</si>
  <si>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</si>
  <si>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</si>
  <si>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</si>
  <si>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</si>
  <si>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</si>
  <si>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</si>
  <si>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</si>
  <si>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</si>
  <si>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</si>
  <si>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</si>
  <si>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</si>
  <si>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</si>
  <si>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</si>
  <si>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</si>
  <si>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</si>
  <si>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</si>
  <si>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</si>
  <si>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</si>
  <si>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</si>
  <si>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</si>
  <si>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</si>
  <si>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</si>
  <si>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</si>
  <si>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</si>
  <si>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</si>
  <si>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</si>
  <si>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</si>
  <si>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</si>
  <si>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</si>
  <si>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</si>
  <si>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</si>
  <si>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</si>
  <si>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</si>
  <si>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</si>
  <si>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</si>
  <si>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</si>
  <si>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</si>
  <si>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</si>
  <si>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</si>
  <si>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</si>
  <si>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</si>
  <si>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</si>
  <si>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</si>
  <si>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</si>
  <si>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</si>
  <si>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</si>
  <si>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</si>
  <si>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</si>
  <si>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</si>
  <si>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</si>
  <si>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</si>
  <si>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</si>
  <si>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</si>
  <si>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</si>
  <si>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</si>
  <si>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</si>
  <si>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</si>
  <si>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</si>
  <si>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</si>
  <si>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</si>
  <si>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</si>
  <si>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</si>
  <si>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</si>
  <si>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</si>
  <si>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</si>
  <si>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</si>
  <si>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</si>
  <si>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</si>
  <si>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</si>
  <si>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</si>
  <si>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</si>
  <si>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</si>
  <si>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</si>
  <si>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</si>
  <si>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</si>
  <si>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</si>
  <si>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</si>
  <si>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</si>
  <si>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</si>
  <si>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</si>
  <si>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</si>
  <si>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</si>
  <si>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</si>
  <si>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</si>
  <si>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</si>
  <si>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</si>
  <si>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</si>
  <si>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</si>
  <si>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</si>
  <si>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</si>
  <si>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</si>
  <si>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</si>
  <si>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</si>
  <si>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</si>
  <si>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</si>
  <si>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</si>
  <si>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</si>
  <si>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</si>
  <si>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</si>
  <si>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</si>
  <si>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</si>
  <si>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</si>
  <si>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</si>
  <si>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</si>
  <si>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</si>
  <si>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</si>
  <si>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</si>
  <si>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</si>
  <si>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</si>
  <si>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</si>
  <si>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</si>
  <si>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</si>
  <si>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</si>
  <si>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</si>
  <si>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</si>
  <si>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</si>
  <si>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</si>
  <si>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</si>
  <si>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</si>
  <si>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</si>
  <si>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</si>
  <si>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</si>
  <si>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</si>
  <si>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</si>
  <si>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</si>
  <si>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</si>
  <si>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</si>
  <si>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</si>
  <si>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</si>
  <si>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</si>
  <si>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</si>
  <si>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</si>
  <si>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</si>
  <si>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</si>
  <si>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</si>
  <si>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</si>
  <si>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</si>
  <si>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</si>
  <si>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</si>
  <si>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</si>
  <si>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</si>
  <si>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</si>
  <si>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</si>
  <si>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</si>
  <si>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</si>
  <si>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</si>
  <si>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</si>
  <si>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</si>
  <si>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</si>
  <si>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</si>
  <si>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</si>
  <si>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</si>
  <si>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</si>
  <si>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</si>
  <si>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</si>
  <si>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</si>
  <si>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</si>
  <si>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</si>
  <si>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</si>
  <si>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</si>
  <si>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</si>
  <si>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</si>
  <si>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</si>
  <si>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</si>
  <si>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</si>
  <si>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</si>
  <si>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</si>
  <si>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</si>
  <si>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</si>
  <si>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</si>
  <si>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</si>
  <si>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</si>
  <si>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</si>
  <si>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</si>
  <si>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</si>
  <si>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</si>
  <si>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</si>
  <si>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</si>
  <si>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</si>
  <si>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</si>
  <si>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</si>
  <si>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</si>
  <si>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</si>
  <si>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</si>
  <si>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</si>
  <si>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</si>
  <si>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</si>
  <si>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</si>
  <si>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</si>
  <si>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</si>
  <si>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</si>
  <si>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</si>
  <si>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</si>
  <si>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</si>
  <si>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</si>
  <si>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</si>
  <si>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</si>
  <si>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</si>
  <si>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</si>
  <si>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</si>
  <si>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</si>
  <si>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</si>
  <si>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</si>
  <si>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</si>
  <si>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</si>
  <si>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</si>
  <si>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</si>
  <si>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</si>
  <si>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</si>
  <si>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</si>
  <si>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</si>
  <si>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</si>
  <si>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</si>
  <si>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</si>
  <si>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</si>
  <si>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</si>
  <si>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</si>
  <si>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</si>
  <si>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</si>
  <si>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</si>
  <si>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</si>
  <si>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</si>
  <si>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</si>
  <si>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</si>
  <si>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</si>
  <si>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</si>
  <si>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</si>
  <si>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</si>
  <si>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</si>
  <si>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</si>
  <si>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</si>
  <si>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</si>
  <si>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</si>
  <si>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</si>
  <si>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</si>
  <si>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</si>
  <si>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</si>
  <si>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</si>
  <si>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</si>
  <si>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</si>
  <si>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</si>
  <si>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</si>
  <si>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</si>
  <si>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</si>
  <si>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</si>
  <si>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</si>
  <si>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</si>
  <si>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</si>
  <si>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</si>
  <si>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</si>
  <si>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</si>
  <si>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</si>
  <si>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</si>
  <si>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</si>
  <si>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</si>
  <si>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</si>
  <si>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</si>
  <si>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</si>
  <si>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</si>
  <si>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</si>
  <si>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</si>
  <si>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</si>
  <si>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</si>
  <si>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</si>
  <si>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</si>
  <si>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</si>
  <si>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</si>
  <si>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</si>
  <si>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</si>
  <si>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</si>
  <si>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</si>
  <si>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</si>
  <si>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</si>
  <si>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</si>
  <si>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</si>
  <si>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</si>
  <si>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</si>
  <si>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</si>
  <si>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</si>
  <si>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</si>
  <si>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</si>
  <si>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</si>
  <si>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</si>
  <si>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</si>
  <si>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</si>
  <si>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</si>
  <si>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</si>
  <si>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</si>
  <si>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</si>
  <si>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</si>
  <si>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</si>
  <si>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</si>
  <si>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</si>
  <si>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</si>
  <si>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</si>
  <si>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</si>
  <si>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</si>
  <si>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</si>
  <si>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</si>
  <si>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</si>
  <si>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</si>
  <si>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</si>
  <si>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</si>
  <si>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</si>
  <si>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</si>
  <si>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</si>
  <si>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</si>
  <si>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</si>
  <si>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</si>
  <si>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</si>
  <si>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</si>
  <si>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</si>
  <si>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</si>
  <si>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</si>
  <si>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</si>
  <si>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</si>
  <si>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</si>
  <si>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</si>
  <si>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</si>
  <si>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</si>
  <si>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</si>
  <si>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</si>
  <si>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</si>
  <si>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</si>
  <si>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</si>
  <si>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</si>
  <si>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</si>
  <si>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</si>
  <si>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</si>
  <si>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</si>
  <si>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</si>
  <si>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</si>
  <si>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</si>
  <si>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</si>
  <si>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</si>
  <si>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</si>
  <si>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</si>
  <si>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</si>
  <si>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</si>
  <si>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</si>
  <si>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</si>
  <si>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</si>
  <si>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</si>
  <si>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</si>
  <si>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</si>
  <si>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</si>
  <si>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</si>
  <si>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</si>
  <si>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</si>
  <si>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</si>
  <si>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</si>
  <si>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</si>
  <si>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</si>
  <si>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</si>
  <si>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</si>
  <si>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</si>
  <si>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</si>
  <si>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</si>
  <si>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</si>
  <si>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</si>
  <si>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</si>
  <si>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</si>
  <si>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</si>
  <si>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</si>
  <si>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</si>
  <si>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</si>
  <si>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</si>
  <si>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</si>
  <si>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</si>
  <si>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</si>
  <si>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</si>
  <si>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</si>
  <si>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</si>
  <si>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</si>
  <si>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</si>
  <si>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</si>
  <si>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</si>
  <si>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</si>
  <si>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</si>
  <si>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</si>
  <si>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</si>
  <si>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</si>
  <si>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</si>
  <si>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</si>
  <si>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</si>
  <si>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</si>
  <si>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</si>
  <si>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</si>
  <si>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</si>
  <si>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</si>
  <si>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</si>
  <si>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</si>
  <si>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</si>
  <si>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</si>
  <si>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</si>
  <si>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</si>
  <si>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</si>
  <si>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</si>
  <si>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</si>
  <si>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</si>
  <si>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</si>
  <si>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</si>
  <si>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</si>
  <si>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</si>
  <si>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</si>
  <si>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</si>
  <si>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</si>
  <si>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</si>
  <si>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</si>
  <si>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</si>
  <si>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</si>
  <si>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</si>
  <si>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</si>
  <si>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</si>
  <si>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</si>
  <si>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</si>
  <si>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</si>
  <si>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</si>
  <si>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</si>
  <si>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</si>
  <si>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</si>
  <si>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</si>
  <si>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</si>
  <si>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</si>
  <si>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</si>
  <si>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</si>
  <si>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</si>
  <si>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</si>
  <si>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</si>
  <si>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</si>
  <si>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</si>
  <si>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</si>
  <si>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</si>
  <si>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</si>
  <si>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</si>
  <si>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</si>
  <si>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</si>
  <si>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</si>
  <si>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</si>
  <si>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</si>
  <si>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</si>
  <si>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</si>
  <si>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</si>
  <si>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</si>
  <si>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</si>
  <si>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</si>
  <si>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</si>
  <si>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</si>
  <si>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</si>
  <si>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</si>
  <si>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</si>
  <si>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</si>
  <si>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</si>
  <si>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</si>
  <si>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</si>
  <si>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</si>
  <si>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</si>
  <si>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</si>
  <si>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</si>
  <si>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</si>
  <si>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</si>
  <si>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</si>
  <si>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</si>
  <si>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</si>
  <si>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</si>
  <si>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</si>
  <si>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</si>
  <si>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</si>
  <si>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</si>
  <si>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</si>
  <si>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</si>
  <si>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</si>
  <si>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</si>
  <si>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</si>
  <si>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</si>
  <si>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</si>
  <si>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</si>
  <si>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</si>
  <si>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</si>
  <si>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</si>
  <si>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</si>
  <si>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</si>
  <si>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</si>
  <si>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</si>
  <si>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</si>
  <si>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</si>
  <si>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</si>
  <si>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</si>
  <si>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</si>
  <si>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</si>
  <si>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</si>
  <si>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</si>
  <si>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</si>
  <si>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</si>
  <si>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</si>
  <si>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</si>
  <si>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</si>
  <si>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</si>
  <si>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</si>
  <si>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</si>
  <si>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</si>
  <si>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</si>
  <si>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</si>
  <si>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</si>
  <si>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</si>
  <si>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</si>
  <si>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</si>
  <si>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</si>
  <si>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</si>
  <si>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</si>
  <si>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</si>
  <si>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</si>
  <si>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</si>
  <si>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</si>
  <si>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</si>
  <si>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</si>
  <si>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</si>
  <si>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</si>
  <si>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</si>
  <si>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</si>
  <si>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</si>
  <si>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</si>
  <si>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</si>
  <si>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</si>
  <si>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</si>
  <si>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</si>
  <si>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</si>
  <si>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</si>
  <si>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</si>
  <si>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</si>
  <si>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</si>
  <si>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</si>
  <si>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</si>
  <si>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</si>
  <si>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</si>
  <si>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</si>
  <si>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</si>
  <si>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</si>
  <si>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</si>
  <si>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</si>
  <si>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</si>
  <si>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</si>
  <si>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</si>
  <si>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</si>
  <si>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</si>
  <si>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</si>
  <si>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</si>
  <si>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</si>
  <si>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</si>
  <si>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</si>
  <si>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</si>
  <si>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</si>
  <si>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</si>
  <si>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</si>
  <si>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</si>
  <si>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</si>
  <si>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</si>
  <si>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</si>
  <si>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</si>
  <si>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</si>
  <si>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</si>
  <si>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</si>
  <si>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</si>
  <si>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</si>
  <si>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</si>
  <si>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</si>
  <si>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</si>
  <si>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</si>
  <si>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</si>
  <si>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</si>
  <si>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</si>
  <si>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</si>
  <si>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</si>
  <si>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</si>
  <si>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</si>
  <si>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</si>
  <si>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</si>
  <si>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</si>
  <si>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</si>
  <si>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</si>
  <si>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</si>
  <si>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</si>
  <si>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</si>
  <si>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</si>
  <si>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</si>
  <si>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</si>
  <si>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</si>
  <si>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</si>
  <si>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</si>
  <si>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</si>
  <si>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</si>
  <si>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</si>
  <si>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</si>
  <si>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</si>
  <si>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</si>
  <si>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</si>
  <si>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</si>
  <si>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</si>
  <si>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</si>
  <si>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</si>
  <si>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</si>
  <si>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</si>
  <si>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</si>
  <si>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</si>
  <si>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</si>
  <si>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</si>
  <si>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</si>
  <si>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</si>
  <si>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</si>
  <si>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</si>
  <si>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</si>
  <si>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</si>
  <si>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</si>
  <si>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</si>
  <si>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</si>
  <si>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</si>
  <si>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</si>
  <si>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</si>
  <si>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</si>
  <si>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</si>
  <si>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</si>
  <si>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</si>
  <si>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</si>
  <si>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</si>
  <si>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</si>
  <si>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</si>
  <si>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</si>
  <si>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</si>
  <si>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</si>
  <si>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</si>
  <si>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</si>
  <si>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</si>
  <si>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</si>
  <si>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</si>
  <si>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</si>
  <si>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</si>
  <si>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</si>
  <si>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</si>
  <si>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</si>
  <si>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</si>
  <si>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</si>
  <si>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</si>
  <si>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</si>
  <si>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</si>
  <si>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</si>
  <si>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</si>
  <si>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</si>
  <si>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</si>
  <si>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</si>
  <si>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</si>
  <si>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</si>
  <si>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</si>
  <si>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</si>
  <si>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</si>
  <si>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</si>
  <si>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</si>
  <si>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</si>
  <si>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</si>
  <si>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</si>
  <si>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</si>
  <si>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</si>
  <si>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</si>
  <si>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</si>
  <si>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</si>
  <si>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</si>
  <si>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</si>
  <si>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</si>
  <si>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</si>
  <si>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</si>
  <si>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</si>
  <si>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</si>
  <si>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</si>
  <si>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</si>
  <si>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</si>
  <si>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</si>
  <si>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</si>
  <si>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</si>
  <si>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</si>
  <si>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</si>
  <si>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</si>
  <si>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</si>
  <si>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</si>
  <si>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</si>
  <si>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</si>
  <si>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</si>
  <si>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</si>
  <si>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</si>
  <si>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</si>
  <si>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</si>
  <si>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</si>
  <si>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</si>
  <si>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</si>
  <si>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</si>
  <si>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</si>
  <si>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</si>
  <si>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</si>
  <si>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</si>
  <si>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</si>
  <si>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</si>
  <si>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</si>
  <si>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</si>
  <si>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</si>
  <si>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</si>
  <si>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</si>
  <si>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</si>
  <si>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</si>
  <si>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</si>
  <si>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</si>
  <si>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</si>
  <si>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</si>
  <si>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</si>
  <si>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</si>
  <si>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</si>
  <si>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</si>
  <si>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</si>
  <si>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</si>
  <si>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</si>
  <si>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</si>
  <si>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</si>
  <si>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</si>
  <si>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</si>
  <si>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</si>
  <si>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</si>
  <si>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</si>
  <si>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</si>
  <si>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</si>
  <si>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</si>
  <si>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</si>
  <si>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</si>
  <si>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</si>
  <si>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</si>
  <si>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</si>
  <si>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</si>
  <si>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</si>
  <si>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</si>
  <si>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</si>
  <si>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</si>
  <si>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</si>
  <si>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</si>
  <si>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</si>
  <si>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</si>
  <si>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</si>
  <si>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</si>
  <si>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</si>
  <si>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</si>
  <si>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</si>
  <si>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</si>
  <si>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</si>
  <si>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</si>
  <si>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</si>
  <si>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</si>
  <si>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</si>
  <si>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</si>
  <si>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</si>
  <si>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</si>
  <si>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</si>
  <si>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</si>
  <si>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</si>
  <si>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</si>
  <si>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</si>
  <si>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</si>
  <si>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</si>
  <si>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</si>
  <si>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</si>
  <si>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</si>
  <si>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</si>
  <si>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</si>
  <si>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</si>
  <si>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</si>
  <si>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</si>
  <si>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</si>
  <si>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</si>
  <si>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</si>
  <si>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</si>
  <si>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</si>
  <si>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</si>
  <si>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</si>
  <si>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</si>
  <si>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</si>
  <si>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</si>
  <si>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</si>
  <si>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</si>
  <si>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</si>
  <si>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</si>
  <si>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</si>
  <si>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</si>
  <si>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</si>
  <si>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</si>
  <si>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</si>
  <si>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</si>
  <si>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</si>
  <si>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</si>
  <si>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</si>
  <si>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</si>
  <si>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</si>
  <si>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</si>
  <si>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</si>
  <si>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</si>
  <si>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</si>
  <si>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</si>
  <si>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</si>
  <si>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</si>
  <si>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</si>
  <si>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</si>
  <si>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</si>
  <si>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</si>
  <si>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</si>
  <si>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</si>
  <si>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</si>
  <si>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</si>
  <si>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</si>
  <si>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</si>
  <si>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</si>
  <si>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</si>
  <si>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</si>
  <si>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</si>
  <si>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</si>
  <si>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</si>
  <si>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</si>
  <si>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</si>
  <si>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</si>
  <si>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34002</t>
  </si>
  <si>
    <t>ANZEGEM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</si>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</sst>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A1872B96-D630-4FF1-BB9E-9E0FEE32757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123559.75667125171</c:v>
                </c:pt>
                <c:pt idx="1">
                  <c:v>24695.131260698268</c:v>
                </c:pt>
                <c:pt idx="2">
                  <c:v>1302.076</c:v>
                </c:pt>
                <c:pt idx="3">
                  <c:v>9201.1260523824167</c:v>
                </c:pt>
                <c:pt idx="4">
                  <c:v>59205.639140113424</c:v>
                </c:pt>
                <c:pt idx="5">
                  <c:v>53005.648121702397</c:v>
                </c:pt>
                <c:pt idx="6">
                  <c:v>865.82196328234488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123559.75667125171</c:v>
                </c:pt>
                <c:pt idx="1">
                  <c:v>24695.131260698268</c:v>
                </c:pt>
                <c:pt idx="2">
                  <c:v>1302.076</c:v>
                </c:pt>
                <c:pt idx="3">
                  <c:v>9201.1260523824167</c:v>
                </c:pt>
                <c:pt idx="4">
                  <c:v>59205.639140113424</c:v>
                </c:pt>
                <c:pt idx="5">
                  <c:v>53005.648121702397</c:v>
                </c:pt>
                <c:pt idx="6">
                  <c:v>865.82196328234488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26408.636966293809</c:v>
                </c:pt>
                <c:pt idx="2">
                  <c:v>4937.6126943166173</c:v>
                </c:pt>
                <c:pt idx="3">
                  <c:v>250.01768795935789</c:v>
                </c:pt>
                <c:pt idx="4">
                  <c:v>2349.4832117609094</c:v>
                </c:pt>
                <c:pt idx="5">
                  <c:v>11755.492417211643</c:v>
                </c:pt>
                <c:pt idx="6">
                  <c:v>13576.867821894002</c:v>
                </c:pt>
                <c:pt idx="7">
                  <c:v>223.86320398794123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26408.636966293809</c:v>
                </c:pt>
                <c:pt idx="2">
                  <c:v>4937.6126943166173</c:v>
                </c:pt>
                <c:pt idx="3">
                  <c:v>250.01768795935789</c:v>
                </c:pt>
                <c:pt idx="4">
                  <c:v>2349.4832117609094</c:v>
                </c:pt>
                <c:pt idx="5">
                  <c:v>11755.492417211643</c:v>
                </c:pt>
                <c:pt idx="6">
                  <c:v>13576.867821894002</c:v>
                </c:pt>
                <c:pt idx="7">
                  <c:v>223.86320398794123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34002</v>
      </c>
      <c r="B6" s="380"/>
      <c r="C6" s="381"/>
    </row>
    <row r="7" spans="1:7" s="378" customFormat="1" ht="15.75" customHeight="1">
      <c r="A7" s="382" t="str">
        <f>txtMunicipality</f>
        <v>ANZEGEM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0.19201466577938453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0.19201466577938453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5842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2706.34</v>
      </c>
      <c r="C14" s="322"/>
      <c r="D14" s="322"/>
      <c r="E14" s="322"/>
      <c r="F14" s="322"/>
    </row>
    <row r="15" spans="1:6">
      <c r="A15" s="1248" t="s">
        <v>177</v>
      </c>
      <c r="B15" s="1249">
        <v>34</v>
      </c>
      <c r="C15" s="322"/>
      <c r="D15" s="322"/>
      <c r="E15" s="322"/>
      <c r="F15" s="322"/>
    </row>
    <row r="16" spans="1:6">
      <c r="A16" s="1248" t="s">
        <v>6</v>
      </c>
      <c r="B16" s="1249">
        <v>991</v>
      </c>
      <c r="C16" s="322"/>
      <c r="D16" s="322"/>
      <c r="E16" s="322"/>
      <c r="F16" s="322"/>
    </row>
    <row r="17" spans="1:6">
      <c r="A17" s="1248" t="s">
        <v>7</v>
      </c>
      <c r="B17" s="1249">
        <v>779</v>
      </c>
      <c r="C17" s="322"/>
      <c r="D17" s="322"/>
      <c r="E17" s="322"/>
      <c r="F17" s="322"/>
    </row>
    <row r="18" spans="1:6">
      <c r="A18" s="1248" t="s">
        <v>8</v>
      </c>
      <c r="B18" s="1249">
        <v>1094</v>
      </c>
      <c r="C18" s="322"/>
      <c r="D18" s="322"/>
      <c r="E18" s="322"/>
      <c r="F18" s="322"/>
    </row>
    <row r="19" spans="1:6">
      <c r="A19" s="1248" t="s">
        <v>9</v>
      </c>
      <c r="B19" s="1249">
        <v>1131</v>
      </c>
      <c r="C19" s="322"/>
      <c r="D19" s="322"/>
      <c r="E19" s="322"/>
      <c r="F19" s="322"/>
    </row>
    <row r="20" spans="1:6">
      <c r="A20" s="1248" t="s">
        <v>10</v>
      </c>
      <c r="B20" s="1249">
        <v>674</v>
      </c>
      <c r="C20" s="322"/>
      <c r="D20" s="322"/>
      <c r="E20" s="322"/>
      <c r="F20" s="322"/>
    </row>
    <row r="21" spans="1:6">
      <c r="A21" s="1248" t="s">
        <v>11</v>
      </c>
      <c r="B21" s="1249">
        <v>2968</v>
      </c>
      <c r="C21" s="322"/>
      <c r="D21" s="322"/>
      <c r="E21" s="322"/>
      <c r="F21" s="322"/>
    </row>
    <row r="22" spans="1:6">
      <c r="A22" s="1248" t="s">
        <v>12</v>
      </c>
      <c r="B22" s="1249">
        <v>11523</v>
      </c>
      <c r="C22" s="322"/>
      <c r="D22" s="322"/>
      <c r="E22" s="322"/>
      <c r="F22" s="322"/>
    </row>
    <row r="23" spans="1:6">
      <c r="A23" s="1248" t="s">
        <v>13</v>
      </c>
      <c r="B23" s="1249">
        <v>96</v>
      </c>
      <c r="C23" s="322"/>
      <c r="D23" s="322"/>
      <c r="E23" s="322"/>
      <c r="F23" s="322"/>
    </row>
    <row r="24" spans="1:6">
      <c r="A24" s="1248" t="s">
        <v>14</v>
      </c>
      <c r="B24" s="1249">
        <v>6</v>
      </c>
      <c r="C24" s="322"/>
      <c r="D24" s="322"/>
      <c r="E24" s="322"/>
      <c r="F24" s="322"/>
    </row>
    <row r="25" spans="1:6">
      <c r="A25" s="1248" t="s">
        <v>15</v>
      </c>
      <c r="B25" s="1249">
        <v>883</v>
      </c>
      <c r="C25" s="322"/>
      <c r="D25" s="322"/>
      <c r="E25" s="322"/>
      <c r="F25" s="322"/>
    </row>
    <row r="26" spans="1:6">
      <c r="A26" s="1248" t="s">
        <v>16</v>
      </c>
      <c r="B26" s="1249">
        <v>346</v>
      </c>
      <c r="C26" s="322"/>
      <c r="D26" s="322"/>
      <c r="E26" s="322"/>
      <c r="F26" s="322"/>
    </row>
    <row r="27" spans="1:6">
      <c r="A27" s="1248" t="s">
        <v>17</v>
      </c>
      <c r="B27" s="1249">
        <v>1</v>
      </c>
      <c r="C27" s="322"/>
      <c r="D27" s="322"/>
      <c r="E27" s="322"/>
      <c r="F27" s="322"/>
    </row>
    <row r="28" spans="1:6">
      <c r="A28" s="1248" t="s">
        <v>18</v>
      </c>
      <c r="B28" s="1250">
        <v>192989</v>
      </c>
      <c r="C28" s="322"/>
      <c r="D28" s="322"/>
      <c r="E28" s="322"/>
      <c r="F28" s="322"/>
    </row>
    <row r="29" spans="1:6">
      <c r="A29" s="1248" t="s">
        <v>884</v>
      </c>
      <c r="B29" s="1250">
        <v>53</v>
      </c>
      <c r="C29" s="322"/>
      <c r="D29" s="322"/>
      <c r="E29" s="322"/>
      <c r="F29" s="322"/>
    </row>
    <row r="30" spans="1:6">
      <c r="A30" s="1243" t="s">
        <v>885</v>
      </c>
      <c r="B30" s="1251">
        <v>13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26</v>
      </c>
      <c r="D36" s="1249">
        <v>1993245.2224000001</v>
      </c>
      <c r="E36" s="1249">
        <v>73</v>
      </c>
      <c r="F36" s="1249">
        <v>661233.07524999999</v>
      </c>
    </row>
    <row r="37" spans="1:6">
      <c r="A37" s="1248" t="s">
        <v>24</v>
      </c>
      <c r="B37" s="1248" t="s">
        <v>27</v>
      </c>
      <c r="C37" s="1249">
        <v>0</v>
      </c>
      <c r="D37" s="1249">
        <v>0</v>
      </c>
      <c r="E37" s="1249">
        <v>0</v>
      </c>
      <c r="F37" s="1249">
        <v>0</v>
      </c>
    </row>
    <row r="38" spans="1:6">
      <c r="A38" s="1248" t="s">
        <v>24</v>
      </c>
      <c r="B38" s="1248" t="s">
        <v>28</v>
      </c>
      <c r="C38" s="1249">
        <v>2</v>
      </c>
      <c r="D38" s="1249">
        <v>78051.233160000003</v>
      </c>
      <c r="E38" s="1249">
        <v>0</v>
      </c>
      <c r="F38" s="1249">
        <v>0</v>
      </c>
    </row>
    <row r="39" spans="1:6">
      <c r="A39" s="1248" t="s">
        <v>29</v>
      </c>
      <c r="B39" s="1248" t="s">
        <v>30</v>
      </c>
      <c r="C39" s="1249">
        <v>2252</v>
      </c>
      <c r="D39" s="1249">
        <v>33306495.522999998</v>
      </c>
      <c r="E39" s="1249">
        <v>5556</v>
      </c>
      <c r="F39" s="1249">
        <v>25654401.895</v>
      </c>
    </row>
    <row r="40" spans="1:6">
      <c r="A40" s="1248" t="s">
        <v>29</v>
      </c>
      <c r="B40" s="1248" t="s">
        <v>28</v>
      </c>
      <c r="C40" s="1249">
        <v>0</v>
      </c>
      <c r="D40" s="1249">
        <v>0</v>
      </c>
      <c r="E40" s="1249">
        <v>0</v>
      </c>
      <c r="F40" s="1249">
        <v>0</v>
      </c>
    </row>
    <row r="41" spans="1:6">
      <c r="A41" s="1248" t="s">
        <v>31</v>
      </c>
      <c r="B41" s="1248" t="s">
        <v>32</v>
      </c>
      <c r="C41" s="1249">
        <v>41</v>
      </c>
      <c r="D41" s="1249">
        <v>975383.85988</v>
      </c>
      <c r="E41" s="1249">
        <v>182</v>
      </c>
      <c r="F41" s="1249">
        <v>2891198.0811999999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68949.800799999997</v>
      </c>
      <c r="E44" s="1249">
        <v>19</v>
      </c>
      <c r="F44" s="1249">
        <v>504925.06557999999</v>
      </c>
    </row>
    <row r="45" spans="1:6">
      <c r="A45" s="1248" t="s">
        <v>31</v>
      </c>
      <c r="B45" s="1248" t="s">
        <v>36</v>
      </c>
      <c r="C45" s="1249">
        <v>0</v>
      </c>
      <c r="D45" s="1249">
        <v>0</v>
      </c>
      <c r="E45" s="1249">
        <v>3</v>
      </c>
      <c r="F45" s="1249">
        <v>431904.91934000002</v>
      </c>
    </row>
    <row r="46" spans="1:6">
      <c r="A46" s="1248" t="s">
        <v>31</v>
      </c>
      <c r="B46" s="1248" t="s">
        <v>37</v>
      </c>
      <c r="C46" s="1249">
        <v>0</v>
      </c>
      <c r="D46" s="1249">
        <v>0</v>
      </c>
      <c r="E46" s="1249">
        <v>0</v>
      </c>
      <c r="F46" s="1249">
        <v>0</v>
      </c>
    </row>
    <row r="47" spans="1:6">
      <c r="A47" s="1248" t="s">
        <v>31</v>
      </c>
      <c r="B47" s="1248" t="s">
        <v>38</v>
      </c>
      <c r="C47" s="1249">
        <v>3</v>
      </c>
      <c r="D47" s="1249">
        <v>148938.94253999999</v>
      </c>
      <c r="E47" s="1249">
        <v>6</v>
      </c>
      <c r="F47" s="1249">
        <v>71277.849199999997</v>
      </c>
    </row>
    <row r="48" spans="1:6">
      <c r="A48" s="1248" t="s">
        <v>31</v>
      </c>
      <c r="B48" s="1248" t="s">
        <v>28</v>
      </c>
      <c r="C48" s="1249">
        <v>45</v>
      </c>
      <c r="D48" s="1249">
        <v>10193542.926999999</v>
      </c>
      <c r="E48" s="1249">
        <v>53</v>
      </c>
      <c r="F48" s="1249">
        <v>24927332.302999999</v>
      </c>
    </row>
    <row r="49" spans="1:6">
      <c r="A49" s="1248" t="s">
        <v>31</v>
      </c>
      <c r="B49" s="1248" t="s">
        <v>39</v>
      </c>
      <c r="C49" s="1249">
        <v>0</v>
      </c>
      <c r="D49" s="1249">
        <v>0</v>
      </c>
      <c r="E49" s="1249">
        <v>27</v>
      </c>
      <c r="F49" s="1249">
        <v>3711768.4855999998</v>
      </c>
    </row>
    <row r="50" spans="1:6">
      <c r="A50" s="1248" t="s">
        <v>31</v>
      </c>
      <c r="B50" s="1248" t="s">
        <v>40</v>
      </c>
      <c r="C50" s="1249">
        <v>0</v>
      </c>
      <c r="D50" s="1249">
        <v>0</v>
      </c>
      <c r="E50" s="1249">
        <v>10</v>
      </c>
      <c r="F50" s="1249">
        <v>2441629.8327000001</v>
      </c>
    </row>
    <row r="51" spans="1:6">
      <c r="A51" s="1248" t="s">
        <v>41</v>
      </c>
      <c r="B51" s="1248" t="s">
        <v>42</v>
      </c>
      <c r="C51" s="1249">
        <v>0</v>
      </c>
      <c r="D51" s="1249">
        <v>0</v>
      </c>
      <c r="E51" s="1249">
        <v>104</v>
      </c>
      <c r="F51" s="1249">
        <v>1621327.7435000001</v>
      </c>
    </row>
    <row r="52" spans="1:6">
      <c r="A52" s="1248" t="s">
        <v>41</v>
      </c>
      <c r="B52" s="1248" t="s">
        <v>28</v>
      </c>
      <c r="C52" s="1249">
        <v>5</v>
      </c>
      <c r="D52" s="1249">
        <v>78303.698579000004</v>
      </c>
      <c r="E52" s="1249">
        <v>11</v>
      </c>
      <c r="F52" s="1249">
        <v>240530.66472999999</v>
      </c>
    </row>
    <row r="53" spans="1:6">
      <c r="A53" s="1248" t="s">
        <v>43</v>
      </c>
      <c r="B53" s="1248" t="s">
        <v>44</v>
      </c>
      <c r="C53" s="1249">
        <v>55</v>
      </c>
      <c r="D53" s="1249">
        <v>768296.09690999996</v>
      </c>
      <c r="E53" s="1249">
        <v>183</v>
      </c>
      <c r="F53" s="1249">
        <v>765944.33274999994</v>
      </c>
    </row>
    <row r="54" spans="1:6">
      <c r="A54" s="1248" t="s">
        <v>45</v>
      </c>
      <c r="B54" s="1248" t="s">
        <v>46</v>
      </c>
      <c r="C54" s="1249">
        <v>0</v>
      </c>
      <c r="D54" s="1249">
        <v>0</v>
      </c>
      <c r="E54" s="1249">
        <v>1</v>
      </c>
      <c r="F54" s="1249">
        <v>1302076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14</v>
      </c>
      <c r="D57" s="1249">
        <v>225801.34598000001</v>
      </c>
      <c r="E57" s="1249">
        <v>53</v>
      </c>
      <c r="F57" s="1249">
        <v>351913.62049</v>
      </c>
    </row>
    <row r="58" spans="1:6">
      <c r="A58" s="1248" t="s">
        <v>48</v>
      </c>
      <c r="B58" s="1248" t="s">
        <v>50</v>
      </c>
      <c r="C58" s="1249">
        <v>9</v>
      </c>
      <c r="D58" s="1249">
        <v>162174.49306000001</v>
      </c>
      <c r="E58" s="1249">
        <v>26</v>
      </c>
      <c r="F58" s="1249">
        <v>133735.45170000001</v>
      </c>
    </row>
    <row r="59" spans="1:6">
      <c r="A59" s="1248" t="s">
        <v>48</v>
      </c>
      <c r="B59" s="1248" t="s">
        <v>51</v>
      </c>
      <c r="C59" s="1249">
        <v>30</v>
      </c>
      <c r="D59" s="1249">
        <v>650379.87277000002</v>
      </c>
      <c r="E59" s="1249">
        <v>136</v>
      </c>
      <c r="F59" s="1249">
        <v>5299806.0937000001</v>
      </c>
    </row>
    <row r="60" spans="1:6">
      <c r="A60" s="1248" t="s">
        <v>48</v>
      </c>
      <c r="B60" s="1248" t="s">
        <v>52</v>
      </c>
      <c r="C60" s="1249">
        <v>22</v>
      </c>
      <c r="D60" s="1249">
        <v>708006.26044999994</v>
      </c>
      <c r="E60" s="1249">
        <v>53</v>
      </c>
      <c r="F60" s="1249">
        <v>1013475.3468000001</v>
      </c>
    </row>
    <row r="61" spans="1:6">
      <c r="A61" s="1248" t="s">
        <v>48</v>
      </c>
      <c r="B61" s="1248" t="s">
        <v>53</v>
      </c>
      <c r="C61" s="1249">
        <v>61</v>
      </c>
      <c r="D61" s="1249">
        <v>3603070.4980000001</v>
      </c>
      <c r="E61" s="1249">
        <v>215</v>
      </c>
      <c r="F61" s="1249">
        <v>2844642.8258000002</v>
      </c>
    </row>
    <row r="62" spans="1:6">
      <c r="A62" s="1248" t="s">
        <v>48</v>
      </c>
      <c r="B62" s="1248" t="s">
        <v>54</v>
      </c>
      <c r="C62" s="1249">
        <v>0</v>
      </c>
      <c r="D62" s="1249">
        <v>0</v>
      </c>
      <c r="E62" s="1249">
        <v>13</v>
      </c>
      <c r="F62" s="1249">
        <v>185113.64538</v>
      </c>
    </row>
    <row r="63" spans="1:6">
      <c r="A63" s="1248" t="s">
        <v>48</v>
      </c>
      <c r="B63" s="1248" t="s">
        <v>28</v>
      </c>
      <c r="C63" s="1249">
        <v>112</v>
      </c>
      <c r="D63" s="1249">
        <v>4723331.5240000002</v>
      </c>
      <c r="E63" s="1249">
        <v>158</v>
      </c>
      <c r="F63" s="1249">
        <v>2775009.6593999998</v>
      </c>
    </row>
    <row r="64" spans="1:6">
      <c r="A64" s="1248" t="s">
        <v>55</v>
      </c>
      <c r="B64" s="1248" t="s">
        <v>56</v>
      </c>
      <c r="C64" s="1249">
        <v>0</v>
      </c>
      <c r="D64" s="1249">
        <v>0</v>
      </c>
      <c r="E64" s="1249">
        <v>0</v>
      </c>
      <c r="F64" s="1249">
        <v>0</v>
      </c>
    </row>
    <row r="65" spans="1:6">
      <c r="A65" s="1248" t="s">
        <v>55</v>
      </c>
      <c r="B65" s="1248" t="s">
        <v>28</v>
      </c>
      <c r="C65" s="1249">
        <v>1</v>
      </c>
      <c r="D65" s="1249">
        <v>160278.93866000001</v>
      </c>
      <c r="E65" s="1249">
        <v>5</v>
      </c>
      <c r="F65" s="1249">
        <v>12844.135039000001</v>
      </c>
    </row>
    <row r="66" spans="1:6">
      <c r="A66" s="1248" t="s">
        <v>55</v>
      </c>
      <c r="B66" s="1248" t="s">
        <v>57</v>
      </c>
      <c r="C66" s="1249">
        <v>0</v>
      </c>
      <c r="D66" s="1249">
        <v>0</v>
      </c>
      <c r="E66" s="1249">
        <v>8</v>
      </c>
      <c r="F66" s="1249">
        <v>19259</v>
      </c>
    </row>
    <row r="67" spans="1:6">
      <c r="A67" s="1248" t="s">
        <v>55</v>
      </c>
      <c r="B67" s="1248" t="s">
        <v>58</v>
      </c>
      <c r="C67" s="1249">
        <v>0</v>
      </c>
      <c r="D67" s="1249">
        <v>0</v>
      </c>
      <c r="E67" s="1249">
        <v>0</v>
      </c>
      <c r="F67" s="1249">
        <v>0</v>
      </c>
    </row>
    <row r="68" spans="1:6">
      <c r="A68" s="1243" t="s">
        <v>55</v>
      </c>
      <c r="B68" s="1243" t="s">
        <v>59</v>
      </c>
      <c r="C68" s="1251">
        <v>0</v>
      </c>
      <c r="D68" s="1251">
        <v>0</v>
      </c>
      <c r="E68" s="1251">
        <v>7</v>
      </c>
      <c r="F68" s="1251">
        <v>124493.75195000001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43804855</v>
      </c>
      <c r="E73" s="439"/>
      <c r="F73" s="322"/>
    </row>
    <row r="74" spans="1:6">
      <c r="A74" s="1248" t="s">
        <v>63</v>
      </c>
      <c r="B74" s="1248" t="s">
        <v>626</v>
      </c>
      <c r="C74" s="1261" t="s">
        <v>628</v>
      </c>
      <c r="D74" s="1249">
        <v>5191853.6191329584</v>
      </c>
      <c r="E74" s="439"/>
      <c r="F74" s="322"/>
    </row>
    <row r="75" spans="1:6">
      <c r="A75" s="1248" t="s">
        <v>64</v>
      </c>
      <c r="B75" s="1248" t="s">
        <v>625</v>
      </c>
      <c r="C75" s="1261" t="s">
        <v>629</v>
      </c>
      <c r="D75" s="1249">
        <v>10504338</v>
      </c>
      <c r="E75" s="439"/>
      <c r="F75" s="322"/>
    </row>
    <row r="76" spans="1:6">
      <c r="A76" s="1248" t="s">
        <v>64</v>
      </c>
      <c r="B76" s="1248" t="s">
        <v>626</v>
      </c>
      <c r="C76" s="1261" t="s">
        <v>630</v>
      </c>
      <c r="D76" s="1249">
        <v>681930.61913295859</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234174.7617340828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3287.345645492609</v>
      </c>
      <c r="C91" s="322"/>
      <c r="D91" s="322"/>
      <c r="E91" s="322"/>
      <c r="F91" s="322"/>
    </row>
    <row r="92" spans="1:6">
      <c r="A92" s="1243" t="s">
        <v>68</v>
      </c>
      <c r="B92" s="1244">
        <v>7267.2149758214618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611</v>
      </c>
      <c r="C97" s="322"/>
      <c r="D97" s="322"/>
      <c r="E97" s="322"/>
      <c r="F97" s="322"/>
    </row>
    <row r="98" spans="1:6">
      <c r="A98" s="1248" t="s">
        <v>71</v>
      </c>
      <c r="B98" s="1249">
        <v>0</v>
      </c>
      <c r="C98" s="322"/>
      <c r="D98" s="322"/>
      <c r="E98" s="322"/>
      <c r="F98" s="322"/>
    </row>
    <row r="99" spans="1:6">
      <c r="A99" s="1248" t="s">
        <v>72</v>
      </c>
      <c r="B99" s="1249">
        <v>66</v>
      </c>
      <c r="C99" s="322"/>
      <c r="D99" s="322"/>
      <c r="E99" s="322"/>
      <c r="F99" s="322"/>
    </row>
    <row r="100" spans="1:6">
      <c r="A100" s="1248" t="s">
        <v>73</v>
      </c>
      <c r="B100" s="1249">
        <v>660</v>
      </c>
      <c r="C100" s="322"/>
      <c r="D100" s="322"/>
      <c r="E100" s="322"/>
      <c r="F100" s="322"/>
    </row>
    <row r="101" spans="1:6">
      <c r="A101" s="1248" t="s">
        <v>74</v>
      </c>
      <c r="B101" s="1249">
        <v>91</v>
      </c>
      <c r="C101" s="322"/>
      <c r="D101" s="322"/>
      <c r="E101" s="322"/>
      <c r="F101" s="322"/>
    </row>
    <row r="102" spans="1:6">
      <c r="A102" s="1248" t="s">
        <v>75</v>
      </c>
      <c r="B102" s="1249">
        <v>103</v>
      </c>
      <c r="C102" s="322"/>
      <c r="D102" s="322"/>
      <c r="E102" s="322"/>
      <c r="F102" s="322"/>
    </row>
    <row r="103" spans="1:6">
      <c r="A103" s="1248" t="s">
        <v>76</v>
      </c>
      <c r="B103" s="1249">
        <v>169</v>
      </c>
      <c r="C103" s="322"/>
      <c r="D103" s="322"/>
      <c r="E103" s="322"/>
      <c r="F103" s="322"/>
    </row>
    <row r="104" spans="1:6">
      <c r="A104" s="1248" t="s">
        <v>77</v>
      </c>
      <c r="B104" s="1249">
        <v>3410</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19</v>
      </c>
      <c r="C123" s="1249">
        <v>21</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147</v>
      </c>
      <c r="C129" s="322"/>
      <c r="D129" s="322"/>
      <c r="E129" s="322"/>
      <c r="F129" s="322"/>
    </row>
    <row r="130" spans="1:6">
      <c r="A130" s="1248" t="s">
        <v>284</v>
      </c>
      <c r="B130" s="1249">
        <v>1</v>
      </c>
      <c r="C130" s="322"/>
      <c r="D130" s="322"/>
      <c r="E130" s="322"/>
      <c r="F130" s="322"/>
    </row>
    <row r="131" spans="1:6">
      <c r="A131" s="1248" t="s">
        <v>285</v>
      </c>
      <c r="B131" s="1249">
        <v>2</v>
      </c>
      <c r="C131" s="322"/>
      <c r="D131" s="322"/>
      <c r="E131" s="322"/>
      <c r="F131" s="322"/>
    </row>
    <row r="132" spans="1:6">
      <c r="A132" s="1243" t="s">
        <v>286</v>
      </c>
      <c r="B132" s="1244">
        <v>21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80473.727836176069</v>
      </c>
      <c r="C3" s="43" t="s">
        <v>163</v>
      </c>
      <c r="D3" s="43"/>
      <c r="E3" s="153"/>
      <c r="F3" s="43"/>
      <c r="G3" s="43"/>
      <c r="H3" s="43"/>
      <c r="I3" s="43"/>
      <c r="J3" s="43"/>
      <c r="K3" s="96"/>
    </row>
    <row r="4" spans="1:11">
      <c r="A4" s="348" t="s">
        <v>164</v>
      </c>
      <c r="B4" s="49">
        <f>IF(ISERROR('SEAP template'!B78+'SEAP template'!C78),0,'SEAP template'!B78+'SEAP template'!C78)</f>
        <v>10554.560621314071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0.19201466577938453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1302.076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1302.076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0.19201466577938453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250.01768795935789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25654.401894999999</v>
      </c>
      <c r="C5" s="17">
        <f>IF(ISERROR('Eigen informatie GS &amp; warmtenet'!B57),0,'Eigen informatie GS &amp; warmtenet'!B57)</f>
        <v>0</v>
      </c>
      <c r="D5" s="30">
        <f>(SUM(HH_hh_gas_kWh,HH_rest_gas_kWh)/1000)*0.902</f>
        <v>30042.458961746001</v>
      </c>
      <c r="E5" s="17">
        <f>B32*B41</f>
        <v>1928.9414794902714</v>
      </c>
      <c r="F5" s="17">
        <f>B36*B45</f>
        <v>52444.100735275402</v>
      </c>
      <c r="G5" s="18"/>
      <c r="H5" s="17"/>
      <c r="I5" s="17"/>
      <c r="J5" s="17">
        <f>B35*B44+C35*C44</f>
        <v>967.16288926350001</v>
      </c>
      <c r="K5" s="17"/>
      <c r="L5" s="17"/>
      <c r="M5" s="17"/>
      <c r="N5" s="17">
        <f>B34*B43+C34*C43</f>
        <v>8210.0383983172505</v>
      </c>
      <c r="O5" s="17">
        <f>B52*B53*B54</f>
        <v>262.64000000000004</v>
      </c>
      <c r="P5" s="17">
        <f>B60*B61*B62/1000-B60*B61*B62/1000/B63</f>
        <v>762.66666666666674</v>
      </c>
    </row>
    <row r="6" spans="1:16">
      <c r="A6" s="16" t="s">
        <v>586</v>
      </c>
      <c r="B6" s="716">
        <f>kWh_PV_kleiner_dan_10kW</f>
        <v>3287.345645492609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28941.747540492608</v>
      </c>
      <c r="C8" s="21">
        <f>C5</f>
        <v>0</v>
      </c>
      <c r="D8" s="21">
        <f>D5</f>
        <v>30042.458961746001</v>
      </c>
      <c r="E8" s="21">
        <f>E5</f>
        <v>1928.9414794902714</v>
      </c>
      <c r="F8" s="21">
        <f>F5</f>
        <v>52444.100735275402</v>
      </c>
      <c r="G8" s="21"/>
      <c r="H8" s="21"/>
      <c r="I8" s="21"/>
      <c r="J8" s="21">
        <f>J5</f>
        <v>967.16288926350001</v>
      </c>
      <c r="K8" s="21"/>
      <c r="L8" s="21">
        <f>L5</f>
        <v>0</v>
      </c>
      <c r="M8" s="21">
        <f>M5</f>
        <v>0</v>
      </c>
      <c r="N8" s="21">
        <f>N5</f>
        <v>8210.0383983172505</v>
      </c>
      <c r="O8" s="21">
        <f>O5</f>
        <v>262.64000000000004</v>
      </c>
      <c r="P8" s="21">
        <f>P5</f>
        <v>762.66666666666674</v>
      </c>
    </row>
    <row r="9" spans="1:16">
      <c r="B9" s="19"/>
      <c r="C9" s="19"/>
      <c r="D9" s="253"/>
      <c r="E9" s="19"/>
      <c r="F9" s="19"/>
      <c r="G9" s="19"/>
      <c r="H9" s="19"/>
      <c r="I9" s="19"/>
      <c r="J9" s="19"/>
      <c r="K9" s="19"/>
      <c r="L9" s="19"/>
      <c r="M9" s="19"/>
      <c r="N9" s="19"/>
      <c r="O9" s="19"/>
      <c r="P9" s="19"/>
    </row>
    <row r="10" spans="1:16">
      <c r="A10" s="24" t="s">
        <v>207</v>
      </c>
      <c r="B10" s="25">
        <f ca="1">'EF ele_warmte'!B12</f>
        <v>0.19201466577938453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5557.2399810590123</v>
      </c>
      <c r="C12" s="23">
        <f ca="1">C10*C8</f>
        <v>0</v>
      </c>
      <c r="D12" s="23">
        <f>D8*D10</f>
        <v>6068.5767102726923</v>
      </c>
      <c r="E12" s="23">
        <f>E10*E8</f>
        <v>437.86971584429159</v>
      </c>
      <c r="F12" s="23">
        <f>F10*F8</f>
        <v>14002.574896318532</v>
      </c>
      <c r="G12" s="23"/>
      <c r="H12" s="23"/>
      <c r="I12" s="23"/>
      <c r="J12" s="23">
        <f>J10*J8</f>
        <v>342.37566279927898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5842</v>
      </c>
      <c r="C26" s="36"/>
      <c r="D26" s="224"/>
    </row>
    <row r="27" spans="1:5" s="15" customFormat="1">
      <c r="A27" s="226" t="s">
        <v>655</v>
      </c>
      <c r="B27" s="37">
        <f>SUM(HH_hh_gas_aantal,HH_rest_gas_aantal)</f>
        <v>2252</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2139.4</v>
      </c>
      <c r="C31" s="34" t="s">
        <v>104</v>
      </c>
      <c r="D31" s="170"/>
    </row>
    <row r="32" spans="1:5">
      <c r="A32" s="167" t="s">
        <v>72</v>
      </c>
      <c r="B32" s="33">
        <f>IF((B21*($B$26-($B$27-0.05*$B$27)-$B$60))&lt;0,0,B21*($B$26-($B$27-0.05*$B$27)-$B$60))</f>
        <v>23.636321111937526</v>
      </c>
      <c r="C32" s="34" t="s">
        <v>104</v>
      </c>
      <c r="D32" s="170"/>
    </row>
    <row r="33" spans="1:6">
      <c r="A33" s="167" t="s">
        <v>73</v>
      </c>
      <c r="B33" s="33">
        <f>IF((B22*($B$26-($B$27-0.05*$B$27)-$B$60))&lt;0,0,B22*($B$26-($B$27-0.05*$B$27)-$B$60))</f>
        <v>823.1025651241124</v>
      </c>
      <c r="C33" s="34" t="s">
        <v>104</v>
      </c>
      <c r="D33" s="170"/>
    </row>
    <row r="34" spans="1:6">
      <c r="A34" s="167" t="s">
        <v>74</v>
      </c>
      <c r="B34" s="33">
        <f>IF((B24*($B$26-($B$27-0.05*$B$27)-$B$60))&lt;0,0,B24*($B$26-($B$27-0.05*$B$27)-$B$60))</f>
        <v>163.45130272111035</v>
      </c>
      <c r="C34" s="33">
        <f>B26*C24</f>
        <v>1195.6373926090032</v>
      </c>
      <c r="D34" s="229"/>
    </row>
    <row r="35" spans="1:6">
      <c r="A35" s="167" t="s">
        <v>76</v>
      </c>
      <c r="B35" s="33">
        <f>IF((B19*($B$26-($B$27-0.05*$B$27)-$B$60))&lt;0,0,B19*($B$26-($B$27-0.05*$B$27)-$B$60))</f>
        <v>79.821504889059469</v>
      </c>
      <c r="C35" s="33">
        <f>B35/2</f>
        <v>39.910752444529734</v>
      </c>
      <c r="D35" s="229"/>
    </row>
    <row r="36" spans="1:6">
      <c r="A36" s="167" t="s">
        <v>77</v>
      </c>
      <c r="B36" s="33">
        <f>IF((B18*($B$26-($B$27-0.05*$B$27)-$B$60))&lt;0,0,B18*($B$26-($B$27-0.05*$B$27)-$B$60))</f>
        <v>2572.5883061537811</v>
      </c>
      <c r="C36" s="34" t="s">
        <v>104</v>
      </c>
      <c r="D36" s="170"/>
    </row>
    <row r="37" spans="1:6">
      <c r="A37" s="167" t="s">
        <v>78</v>
      </c>
      <c r="B37" s="33">
        <f>B60</f>
        <v>40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168</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12603.696643270003</v>
      </c>
      <c r="C5" s="17">
        <f>IF(ISERROR('Eigen informatie GS &amp; warmtenet'!B58),0,'Eigen informatie GS &amp; warmtenet'!B58)</f>
        <v>0</v>
      </c>
      <c r="D5" s="30">
        <f>SUM(D6:D12)</f>
        <v>9085.6331228225208</v>
      </c>
      <c r="E5" s="17">
        <f>SUM(E6:E12)</f>
        <v>230.60826302594612</v>
      </c>
      <c r="F5" s="17">
        <f>SUM(F6:F12)</f>
        <v>2359.0579379466317</v>
      </c>
      <c r="G5" s="18"/>
      <c r="H5" s="17"/>
      <c r="I5" s="17"/>
      <c r="J5" s="17">
        <f>SUM(J6:J12)</f>
        <v>1.0338490358479845E-2</v>
      </c>
      <c r="K5" s="17"/>
      <c r="L5" s="17"/>
      <c r="M5" s="17"/>
      <c r="N5" s="17">
        <f>SUM(N6:N12)</f>
        <v>376.42828847614226</v>
      </c>
      <c r="O5" s="17">
        <f>B38*B39*B40</f>
        <v>1.5633333333333335</v>
      </c>
      <c r="P5" s="17">
        <f>B46*B47*B48/1000-B46*B47*B48/1000/B49</f>
        <v>38.133333333333333</v>
      </c>
      <c r="R5" s="32"/>
    </row>
    <row r="6" spans="1:18">
      <c r="A6" s="32" t="s">
        <v>53</v>
      </c>
      <c r="B6" s="37">
        <f>B26</f>
        <v>2844.6428258000001</v>
      </c>
      <c r="C6" s="33"/>
      <c r="D6" s="37">
        <f>IF(ISERROR(TER_kantoor_gas_kWh/1000),0,TER_kantoor_gas_kWh/1000)*0.902</f>
        <v>3249.969589196</v>
      </c>
      <c r="E6" s="33">
        <f>$C$26*'E Balans VL '!I12/100/3.6*1000000</f>
        <v>1.6195023425792286E-18</v>
      </c>
      <c r="F6" s="33">
        <f>$C$26*('E Balans VL '!L12+'E Balans VL '!N12)/100/3.6*1000000</f>
        <v>384.54883835346345</v>
      </c>
      <c r="G6" s="34"/>
      <c r="H6" s="33"/>
      <c r="I6" s="33"/>
      <c r="J6" s="33">
        <f>$C$26*('E Balans VL '!D12+'E Balans VL '!E12)/100/3.6*1000000</f>
        <v>0</v>
      </c>
      <c r="K6" s="33"/>
      <c r="L6" s="33"/>
      <c r="M6" s="33"/>
      <c r="N6" s="33">
        <f>$C$26*'E Balans VL '!Y12/100/3.6*1000000</f>
        <v>3.5751380258121643</v>
      </c>
      <c r="O6" s="33"/>
      <c r="P6" s="33"/>
      <c r="R6" s="32"/>
    </row>
    <row r="7" spans="1:18">
      <c r="A7" s="32" t="s">
        <v>52</v>
      </c>
      <c r="B7" s="37">
        <f t="shared" ref="B7:B12" si="0">B27</f>
        <v>1013.4753468</v>
      </c>
      <c r="C7" s="33"/>
      <c r="D7" s="37">
        <f>IF(ISERROR(TER_horeca_gas_kWh/1000),0,TER_horeca_gas_kWh/1000)*0.902</f>
        <v>638.62164692589988</v>
      </c>
      <c r="E7" s="33">
        <f>$C$27*'E Balans VL '!I9/100/3.6*1000000</f>
        <v>12.944142406686252</v>
      </c>
      <c r="F7" s="33">
        <f>$C$27*('E Balans VL '!L9+'E Balans VL '!N9)/100/3.6*1000000</f>
        <v>114.46748670347708</v>
      </c>
      <c r="G7" s="34"/>
      <c r="H7" s="33"/>
      <c r="I7" s="33"/>
      <c r="J7" s="33">
        <f>$C$27*('E Balans VL '!D9+'E Balans VL '!E9)/100/3.6*1000000</f>
        <v>0</v>
      </c>
      <c r="K7" s="33"/>
      <c r="L7" s="33"/>
      <c r="M7" s="33"/>
      <c r="N7" s="33">
        <f>$C$27*'E Balans VL '!Y9/100/3.6*1000000</f>
        <v>0.24151547710351326</v>
      </c>
      <c r="O7" s="33"/>
      <c r="P7" s="33"/>
      <c r="R7" s="32"/>
    </row>
    <row r="8" spans="1:18">
      <c r="A8" s="6" t="s">
        <v>51</v>
      </c>
      <c r="B8" s="37">
        <f t="shared" si="0"/>
        <v>5299.8060937</v>
      </c>
      <c r="C8" s="33"/>
      <c r="D8" s="37">
        <f>IF(ISERROR(TER_handel_gas_kWh/1000),0,TER_handel_gas_kWh/1000)*0.902</f>
        <v>586.64264523854001</v>
      </c>
      <c r="E8" s="33">
        <f>$C$28*'E Balans VL '!I13/100/3.6*1000000</f>
        <v>173.08306483112491</v>
      </c>
      <c r="F8" s="33">
        <f>$C$28*('E Balans VL '!L13+'E Balans VL '!N13)/100/3.6*1000000</f>
        <v>917.61836334792667</v>
      </c>
      <c r="G8" s="34"/>
      <c r="H8" s="33"/>
      <c r="I8" s="33"/>
      <c r="J8" s="33">
        <f>$C$28*('E Balans VL '!D13+'E Balans VL '!E13)/100/3.6*1000000</f>
        <v>0</v>
      </c>
      <c r="K8" s="33"/>
      <c r="L8" s="33"/>
      <c r="M8" s="33"/>
      <c r="N8" s="33">
        <f>$C$28*'E Balans VL '!Y13/100/3.6*1000000</f>
        <v>6.2377247566453295</v>
      </c>
      <c r="O8" s="33"/>
      <c r="P8" s="33"/>
      <c r="R8" s="32"/>
    </row>
    <row r="9" spans="1:18">
      <c r="A9" s="32" t="s">
        <v>50</v>
      </c>
      <c r="B9" s="37">
        <f t="shared" si="0"/>
        <v>133.7354517</v>
      </c>
      <c r="C9" s="33"/>
      <c r="D9" s="37">
        <f>IF(ISERROR(TER_gezond_gas_kWh/1000),0,TER_gezond_gas_kWh/1000)*0.902</f>
        <v>146.28139274012</v>
      </c>
      <c r="E9" s="33">
        <f>$C$29*'E Balans VL '!I10/100/3.6*1000000</f>
        <v>7.4681236579892596E-3</v>
      </c>
      <c r="F9" s="33">
        <f>$C$29*('E Balans VL '!L10+'E Balans VL '!N10)/100/3.6*1000000</f>
        <v>17.719449835533798</v>
      </c>
      <c r="G9" s="34"/>
      <c r="H9" s="33"/>
      <c r="I9" s="33"/>
      <c r="J9" s="33">
        <f>$C$29*('E Balans VL '!D10+'E Balans VL '!E10)/100/3.6*1000000</f>
        <v>0</v>
      </c>
      <c r="K9" s="33"/>
      <c r="L9" s="33"/>
      <c r="M9" s="33"/>
      <c r="N9" s="33">
        <f>$C$29*'E Balans VL '!Y10/100/3.6*1000000</f>
        <v>1.4175059002383754</v>
      </c>
      <c r="O9" s="33"/>
      <c r="P9" s="33"/>
      <c r="R9" s="32"/>
    </row>
    <row r="10" spans="1:18">
      <c r="A10" s="32" t="s">
        <v>49</v>
      </c>
      <c r="B10" s="37">
        <f t="shared" si="0"/>
        <v>351.91362049000003</v>
      </c>
      <c r="C10" s="33"/>
      <c r="D10" s="37">
        <f>IF(ISERROR(TER_ander_gas_kWh/1000),0,TER_ander_gas_kWh/1000)*0.902</f>
        <v>203.67281407396001</v>
      </c>
      <c r="E10" s="33">
        <f>$C$30*'E Balans VL '!I14/100/3.6*1000000</f>
        <v>4.5444102136142224</v>
      </c>
      <c r="F10" s="33">
        <f>$C$30*('E Balans VL '!L14+'E Balans VL '!N14)/100/3.6*1000000</f>
        <v>232.28809050894108</v>
      </c>
      <c r="G10" s="34"/>
      <c r="H10" s="33"/>
      <c r="I10" s="33"/>
      <c r="J10" s="33">
        <f>$C$30*('E Balans VL '!D14+'E Balans VL '!E14)/100/3.6*1000000</f>
        <v>4.2631570313694427E-3</v>
      </c>
      <c r="K10" s="33"/>
      <c r="L10" s="33"/>
      <c r="M10" s="33"/>
      <c r="N10" s="33">
        <f>$C$30*'E Balans VL '!Y14/100/3.6*1000000</f>
        <v>148.40054092022859</v>
      </c>
      <c r="O10" s="33"/>
      <c r="P10" s="33"/>
      <c r="R10" s="32"/>
    </row>
    <row r="11" spans="1:18">
      <c r="A11" s="32" t="s">
        <v>54</v>
      </c>
      <c r="B11" s="37">
        <f t="shared" si="0"/>
        <v>185.11364538000001</v>
      </c>
      <c r="C11" s="33"/>
      <c r="D11" s="37">
        <f>IF(ISERROR(TER_onderwijs_gas_kWh/1000),0,TER_onderwijs_gas_kWh/1000)*0.902</f>
        <v>0</v>
      </c>
      <c r="E11" s="33">
        <f>$C$31*'E Balans VL '!I11/100/3.6*1000000</f>
        <v>2.4911704445089122</v>
      </c>
      <c r="F11" s="33">
        <f>$C$31*('E Balans VL '!L11+'E Balans VL '!N11)/100/3.6*1000000</f>
        <v>28.929055943343197</v>
      </c>
      <c r="G11" s="34"/>
      <c r="H11" s="33"/>
      <c r="I11" s="33"/>
      <c r="J11" s="33">
        <f>$C$31*('E Balans VL '!D11+'E Balans VL '!E11)/100/3.6*1000000</f>
        <v>0</v>
      </c>
      <c r="K11" s="33"/>
      <c r="L11" s="33"/>
      <c r="M11" s="33"/>
      <c r="N11" s="33">
        <f>$C$31*'E Balans VL '!Y11/100/3.6*1000000</f>
        <v>0.42743617885651963</v>
      </c>
      <c r="O11" s="33"/>
      <c r="P11" s="33"/>
      <c r="R11" s="32"/>
    </row>
    <row r="12" spans="1:18">
      <c r="A12" s="32" t="s">
        <v>249</v>
      </c>
      <c r="B12" s="37">
        <f t="shared" si="0"/>
        <v>2775.0096593999997</v>
      </c>
      <c r="C12" s="33"/>
      <c r="D12" s="37">
        <f>IF(ISERROR(TER_rest_gas_kWh/1000),0,TER_rest_gas_kWh/1000)*0.902</f>
        <v>4260.4450346479998</v>
      </c>
      <c r="E12" s="33">
        <f>$C$32*'E Balans VL '!I8/100/3.6*1000000</f>
        <v>37.538007006353837</v>
      </c>
      <c r="F12" s="33">
        <f>$C$32*('E Balans VL '!L8+'E Balans VL '!N8)/100/3.6*1000000</f>
        <v>663.48665325394643</v>
      </c>
      <c r="G12" s="34"/>
      <c r="H12" s="33"/>
      <c r="I12" s="33"/>
      <c r="J12" s="33">
        <f>$C$32*('E Balans VL '!D8+'E Balans VL '!E8)/100/3.6*1000000</f>
        <v>6.0753333271104017E-3</v>
      </c>
      <c r="K12" s="33"/>
      <c r="L12" s="33"/>
      <c r="M12" s="33"/>
      <c r="N12" s="33">
        <f>$C$32*'E Balans VL '!Y8/100/3.6*1000000</f>
        <v>216.12842721725778</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12603.696643270003</v>
      </c>
      <c r="C16" s="21">
        <f t="shared" ca="1" si="1"/>
        <v>0</v>
      </c>
      <c r="D16" s="21">
        <f t="shared" ca="1" si="1"/>
        <v>9085.6331228225208</v>
      </c>
      <c r="E16" s="21">
        <f t="shared" si="1"/>
        <v>230.60826302594612</v>
      </c>
      <c r="F16" s="21">
        <f t="shared" ca="1" si="1"/>
        <v>2359.0579379466317</v>
      </c>
      <c r="G16" s="21">
        <f t="shared" si="1"/>
        <v>0</v>
      </c>
      <c r="H16" s="21">
        <f t="shared" si="1"/>
        <v>0</v>
      </c>
      <c r="I16" s="21">
        <f t="shared" si="1"/>
        <v>0</v>
      </c>
      <c r="J16" s="21">
        <f t="shared" si="1"/>
        <v>1.0338490358479845E-2</v>
      </c>
      <c r="K16" s="21">
        <f t="shared" si="1"/>
        <v>0</v>
      </c>
      <c r="L16" s="21">
        <f t="shared" ca="1" si="1"/>
        <v>0</v>
      </c>
      <c r="M16" s="21">
        <f t="shared" si="1"/>
        <v>0</v>
      </c>
      <c r="N16" s="21">
        <f t="shared" ca="1" si="1"/>
        <v>376.42828847614226</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0.19201466577938453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2420.0945985422404</v>
      </c>
      <c r="C20" s="23">
        <f t="shared" ref="C20:P20" ca="1" si="2">C16*C18</f>
        <v>0</v>
      </c>
      <c r="D20" s="23">
        <f t="shared" ca="1" si="2"/>
        <v>1835.2978908101493</v>
      </c>
      <c r="E20" s="23">
        <f t="shared" si="2"/>
        <v>52.348075706889773</v>
      </c>
      <c r="F20" s="23">
        <f t="shared" ca="1" si="2"/>
        <v>629.86846943175067</v>
      </c>
      <c r="G20" s="23">
        <f t="shared" si="2"/>
        <v>0</v>
      </c>
      <c r="H20" s="23">
        <f t="shared" si="2"/>
        <v>0</v>
      </c>
      <c r="I20" s="23">
        <f t="shared" si="2"/>
        <v>0</v>
      </c>
      <c r="J20" s="23">
        <f t="shared" si="2"/>
        <v>3.659825586901865E-3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2844.6428258000001</v>
      </c>
      <c r="C26" s="39">
        <f>IF(ISERROR(B26*3.6/1000000/'E Balans VL '!Z12*100),0,B26*3.6/1000000/'E Balans VL '!Z12*100)</f>
        <v>7.6325212863353004E-2</v>
      </c>
      <c r="D26" s="232" t="s">
        <v>621</v>
      </c>
      <c r="F26" s="6"/>
    </row>
    <row r="27" spans="1:18">
      <c r="A27" s="227" t="s">
        <v>52</v>
      </c>
      <c r="B27" s="33">
        <f>IF(ISERROR(TER_horeca_ele_kWh/1000),0,TER_horeca_ele_kWh/1000)</f>
        <v>1013.4753468</v>
      </c>
      <c r="C27" s="39">
        <f>IF(ISERROR(B27*3.6/1000000/'E Balans VL '!Z9*100),0,B27*3.6/1000000/'E Balans VL '!Z9*100)</f>
        <v>8.051353698987522E-2</v>
      </c>
      <c r="D27" s="232" t="s">
        <v>621</v>
      </c>
      <c r="F27" s="6"/>
    </row>
    <row r="28" spans="1:18">
      <c r="A28" s="167" t="s">
        <v>51</v>
      </c>
      <c r="B28" s="33">
        <f>IF(ISERROR(TER_handel_ele_kWh/1000),0,TER_handel_ele_kWh/1000)</f>
        <v>5299.8060937</v>
      </c>
      <c r="C28" s="39">
        <f>IF(ISERROR(B28*3.6/1000000/'E Balans VL '!Z13*100),0,B28*3.6/1000000/'E Balans VL '!Z13*100)</f>
        <v>0.15501870149142699</v>
      </c>
      <c r="D28" s="232" t="s">
        <v>621</v>
      </c>
      <c r="F28" s="6"/>
    </row>
    <row r="29" spans="1:18">
      <c r="A29" s="227" t="s">
        <v>50</v>
      </c>
      <c r="B29" s="33">
        <f>IF(ISERROR(TER_gezond_ele_kWh/1000),0,TER_gezond_ele_kWh/1000)</f>
        <v>133.7354517</v>
      </c>
      <c r="C29" s="39">
        <f>IF(ISERROR(B29*3.6/1000000/'E Balans VL '!Z10*100),0,B29*3.6/1000000/'E Balans VL '!Z10*100)</f>
        <v>1.419413339426415E-2</v>
      </c>
      <c r="D29" s="232" t="s">
        <v>621</v>
      </c>
      <c r="F29" s="6"/>
    </row>
    <row r="30" spans="1:18">
      <c r="A30" s="227" t="s">
        <v>49</v>
      </c>
      <c r="B30" s="33">
        <f>IF(ISERROR(TER_ander_ele_kWh/1000),0,TER_ander_ele_kWh/1000)</f>
        <v>351.91362049000003</v>
      </c>
      <c r="C30" s="39">
        <f>IF(ISERROR(B30*3.6/1000000/'E Balans VL '!Z14*100),0,B30*3.6/1000000/'E Balans VL '!Z14*100)</f>
        <v>1.6368776997578917E-2</v>
      </c>
      <c r="D30" s="232" t="s">
        <v>621</v>
      </c>
      <c r="F30" s="6"/>
    </row>
    <row r="31" spans="1:18">
      <c r="A31" s="227" t="s">
        <v>54</v>
      </c>
      <c r="B31" s="33">
        <f>IF(ISERROR(TER_onderwijs_ele_kWh/1000),0,TER_onderwijs_ele_kWh/1000)</f>
        <v>185.11364538000001</v>
      </c>
      <c r="C31" s="39">
        <f>IF(ISERROR(B31*3.6/1000000/'E Balans VL '!Z11*100),0,B31*3.6/1000000/'E Balans VL '!Z11*100)</f>
        <v>4.6330108826781131E-2</v>
      </c>
      <c r="D31" s="232" t="s">
        <v>621</v>
      </c>
    </row>
    <row r="32" spans="1:18">
      <c r="A32" s="227" t="s">
        <v>249</v>
      </c>
      <c r="B32" s="33">
        <f>IF(ISERROR(TER_rest_ele_kWh/1000),0,TER_rest_ele_kWh/1000)</f>
        <v>2775.0096593999997</v>
      </c>
      <c r="C32" s="39">
        <f>IF(ISERROR(B32*3.6/1000000/'E Balans VL '!Z8*100),0,B32*3.6/1000000/'E Balans VL '!Z8*100)</f>
        <v>2.3326791784980209E-2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34980.036536619999</v>
      </c>
      <c r="C5" s="17">
        <f>IF(ISERROR('Eigen informatie GS &amp; warmtenet'!B59),0,'Eigen informatie GS &amp; warmtenet'!B59)</f>
        <v>0</v>
      </c>
      <c r="D5" s="30">
        <f>SUM(D6:D15)</f>
        <v>10270.907608258438</v>
      </c>
      <c r="E5" s="17">
        <f>SUM(E6:E15)</f>
        <v>2190.5574023649938</v>
      </c>
      <c r="F5" s="17">
        <f>SUM(F6:F15)</f>
        <v>8964.1415694975767</v>
      </c>
      <c r="G5" s="18"/>
      <c r="H5" s="17"/>
      <c r="I5" s="17"/>
      <c r="J5" s="17">
        <f>SUM(J6:J15)</f>
        <v>207.363633957583</v>
      </c>
      <c r="K5" s="17"/>
      <c r="L5" s="17"/>
      <c r="M5" s="17"/>
      <c r="N5" s="17">
        <f>SUM(N6:N15)</f>
        <v>2592.6323894148354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504.92506558000002</v>
      </c>
      <c r="C8" s="33"/>
      <c r="D8" s="37">
        <f>IF( ISERROR(IND_metaal_Gas_kWH/1000),0,IND_metaal_Gas_kWH/1000)*0.902</f>
        <v>62.192720321599992</v>
      </c>
      <c r="E8" s="33">
        <f>C30*'E Balans VL '!I18/100/3.6*1000000</f>
        <v>18.168731361438084</v>
      </c>
      <c r="F8" s="33">
        <f>C30*'E Balans VL '!L18/100/3.6*1000000+C30*'E Balans VL '!N18/100/3.6*1000000</f>
        <v>220.48440822918113</v>
      </c>
      <c r="G8" s="34"/>
      <c r="H8" s="33"/>
      <c r="I8" s="33"/>
      <c r="J8" s="40">
        <f>C30*'E Balans VL '!D18/100/3.6*1000000+C30*'E Balans VL '!E18/100/3.6*1000000</f>
        <v>0</v>
      </c>
      <c r="K8" s="33"/>
      <c r="L8" s="33"/>
      <c r="M8" s="33"/>
      <c r="N8" s="33">
        <f>C30*'E Balans VL '!Y18/100/3.6*1000000</f>
        <v>25.306501153929311</v>
      </c>
      <c r="O8" s="33"/>
      <c r="P8" s="33"/>
      <c r="R8" s="32"/>
    </row>
    <row r="9" spans="1:18">
      <c r="A9" s="6" t="s">
        <v>32</v>
      </c>
      <c r="B9" s="37">
        <f t="shared" si="0"/>
        <v>2891.1980811999997</v>
      </c>
      <c r="C9" s="33"/>
      <c r="D9" s="37">
        <f>IF( ISERROR(IND_andere_gas_kWh/1000),0,IND_andere_gas_kWh/1000)*0.902</f>
        <v>879.79624161176002</v>
      </c>
      <c r="E9" s="33">
        <f>C31*'E Balans VL '!I19/100/3.6*1000000</f>
        <v>737.76833513344161</v>
      </c>
      <c r="F9" s="33">
        <f>C31*'E Balans VL '!L19/100/3.6*1000000+C31*'E Balans VL '!N19/100/3.6*1000000</f>
        <v>2489.1042370170953</v>
      </c>
      <c r="G9" s="34"/>
      <c r="H9" s="33"/>
      <c r="I9" s="33"/>
      <c r="J9" s="40">
        <f>C31*'E Balans VL '!D19/100/3.6*1000000+C31*'E Balans VL '!E19/100/3.6*1000000</f>
        <v>0</v>
      </c>
      <c r="K9" s="33"/>
      <c r="L9" s="33"/>
      <c r="M9" s="33"/>
      <c r="N9" s="33">
        <f>C31*'E Balans VL '!Y19/100/3.6*1000000</f>
        <v>228.08169662696622</v>
      </c>
      <c r="O9" s="33"/>
      <c r="P9" s="33"/>
      <c r="R9" s="32"/>
    </row>
    <row r="10" spans="1:18">
      <c r="A10" s="6" t="s">
        <v>40</v>
      </c>
      <c r="B10" s="37">
        <f t="shared" si="0"/>
        <v>2441.6298327</v>
      </c>
      <c r="C10" s="33"/>
      <c r="D10" s="37">
        <f>IF( ISERROR(IND_voed_gas_kWh/1000),0,IND_voed_gas_kWh/1000)*0.902</f>
        <v>0</v>
      </c>
      <c r="E10" s="33">
        <f>C32*'E Balans VL '!I20/100/3.6*1000000</f>
        <v>62.069582979736865</v>
      </c>
      <c r="F10" s="33">
        <f>C32*'E Balans VL '!L20/100/3.6*1000000+C32*'E Balans VL '!N20/100/3.6*1000000</f>
        <v>552.50417911534851</v>
      </c>
      <c r="G10" s="34"/>
      <c r="H10" s="33"/>
      <c r="I10" s="33"/>
      <c r="J10" s="40">
        <f>C32*'E Balans VL '!D20/100/3.6*1000000+C32*'E Balans VL '!E20/100/3.6*1000000</f>
        <v>0</v>
      </c>
      <c r="K10" s="33"/>
      <c r="L10" s="33"/>
      <c r="M10" s="33"/>
      <c r="N10" s="33">
        <f>C32*'E Balans VL '!Y20/100/3.6*1000000</f>
        <v>915.67737024233418</v>
      </c>
      <c r="O10" s="33"/>
      <c r="P10" s="33"/>
      <c r="R10" s="32"/>
    </row>
    <row r="11" spans="1:18">
      <c r="A11" s="6" t="s">
        <v>39</v>
      </c>
      <c r="B11" s="37">
        <f t="shared" si="0"/>
        <v>3711.7684855999996</v>
      </c>
      <c r="C11" s="33"/>
      <c r="D11" s="37">
        <f>IF( ISERROR(IND_textiel_gas_kWh/1000),0,IND_textiel_gas_kWh/1000)*0.902</f>
        <v>0</v>
      </c>
      <c r="E11" s="33">
        <f>C33*'E Balans VL '!I21/100/3.6*1000000</f>
        <v>10.189802672332373</v>
      </c>
      <c r="F11" s="33">
        <f>C33*'E Balans VL '!L21/100/3.6*1000000+C33*'E Balans VL '!N21/100/3.6*1000000</f>
        <v>196.78249617399945</v>
      </c>
      <c r="G11" s="34"/>
      <c r="H11" s="33"/>
      <c r="I11" s="33"/>
      <c r="J11" s="40">
        <f>C33*'E Balans VL '!D21/100/3.6*1000000+C33*'E Balans VL '!E21/100/3.6*1000000</f>
        <v>0</v>
      </c>
      <c r="K11" s="33"/>
      <c r="L11" s="33"/>
      <c r="M11" s="33"/>
      <c r="N11" s="33">
        <f>C33*'E Balans VL '!Y21/100/3.6*1000000</f>
        <v>7.4600404229331785</v>
      </c>
      <c r="O11" s="33"/>
      <c r="P11" s="33"/>
      <c r="R11" s="32"/>
    </row>
    <row r="12" spans="1:18">
      <c r="A12" s="6" t="s">
        <v>36</v>
      </c>
      <c r="B12" s="37">
        <f t="shared" si="0"/>
        <v>431.90491934000005</v>
      </c>
      <c r="C12" s="33"/>
      <c r="D12" s="37">
        <f>IF( ISERROR(IND_min_gas_kWh/1000),0,IND_min_gas_kWh/1000)*0.902</f>
        <v>0</v>
      </c>
      <c r="E12" s="33">
        <f>C34*'E Balans VL '!I22/100/3.6*1000000</f>
        <v>9.1768970862713957</v>
      </c>
      <c r="F12" s="33">
        <f>C34*'E Balans VL '!L22/100/3.6*1000000+C34*'E Balans VL '!N22/100/3.6*1000000</f>
        <v>70.468968326636173</v>
      </c>
      <c r="G12" s="34"/>
      <c r="H12" s="33"/>
      <c r="I12" s="33"/>
      <c r="J12" s="40">
        <f>C34*'E Balans VL '!D22/100/3.6*1000000+C34*'E Balans VL '!E22/100/3.6*1000000</f>
        <v>0.50320953661928669</v>
      </c>
      <c r="K12" s="33"/>
      <c r="L12" s="33"/>
      <c r="M12" s="33"/>
      <c r="N12" s="33">
        <f>C34*'E Balans VL '!Y22/100/3.6*1000000</f>
        <v>0</v>
      </c>
      <c r="O12" s="33"/>
      <c r="P12" s="33"/>
      <c r="R12" s="32"/>
    </row>
    <row r="13" spans="1:18">
      <c r="A13" s="6" t="s">
        <v>38</v>
      </c>
      <c r="B13" s="37">
        <f t="shared" si="0"/>
        <v>71.277849199999991</v>
      </c>
      <c r="C13" s="33"/>
      <c r="D13" s="37">
        <f>IF( ISERROR(IND_papier_gas_kWh/1000),0,IND_papier_gas_kWh/1000)*0.902</f>
        <v>134.34292617107999</v>
      </c>
      <c r="E13" s="33">
        <f>C35*'E Balans VL '!I23/100/3.6*1000000</f>
        <v>0.305689959224893</v>
      </c>
      <c r="F13" s="33">
        <f>C35*'E Balans VL '!L23/100/3.6*1000000+C35*'E Balans VL '!N23/100/3.6*1000000</f>
        <v>1.7914335827562551</v>
      </c>
      <c r="G13" s="34"/>
      <c r="H13" s="33"/>
      <c r="I13" s="33"/>
      <c r="J13" s="40">
        <f>C35*'E Balans VL '!D23/100/3.6*1000000+C35*'E Balans VL '!E23/100/3.6*1000000</f>
        <v>4.7716610610189498</v>
      </c>
      <c r="K13" s="33"/>
      <c r="L13" s="33"/>
      <c r="M13" s="33"/>
      <c r="N13" s="33">
        <f>C35*'E Balans VL '!Y23/100/3.6*1000000</f>
        <v>17.382076530746705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24927.332302999999</v>
      </c>
      <c r="C15" s="33"/>
      <c r="D15" s="37">
        <f>IF( ISERROR(IND_rest_gas_kWh/1000),0,IND_rest_gas_kWh/1000)*0.902</f>
        <v>9194.5757201539982</v>
      </c>
      <c r="E15" s="33">
        <f>C37*'E Balans VL '!I15/100/3.6*1000000</f>
        <v>1352.8783631725487</v>
      </c>
      <c r="F15" s="33">
        <f>C37*'E Balans VL '!L15/100/3.6*1000000+C37*'E Balans VL '!N15/100/3.6*1000000</f>
        <v>5433.0058470525601</v>
      </c>
      <c r="G15" s="34"/>
      <c r="H15" s="33"/>
      <c r="I15" s="33"/>
      <c r="J15" s="40">
        <f>C37*'E Balans VL '!D15/100/3.6*1000000+C37*'E Balans VL '!E15/100/3.6*1000000</f>
        <v>202.08876335994478</v>
      </c>
      <c r="K15" s="33"/>
      <c r="L15" s="33"/>
      <c r="M15" s="33"/>
      <c r="N15" s="33">
        <f>C37*'E Balans VL '!Y15/100/3.6*1000000</f>
        <v>1398.7247044379258</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34980.036536619999</v>
      </c>
      <c r="C18" s="21">
        <f>C5+C16</f>
        <v>0</v>
      </c>
      <c r="D18" s="21">
        <f>MAX((D5+D16),0)</f>
        <v>10270.907608258438</v>
      </c>
      <c r="E18" s="21">
        <f>MAX((E5+E16),0)</f>
        <v>2190.5574023649938</v>
      </c>
      <c r="F18" s="21">
        <f>MAX((F5+F16),0)</f>
        <v>8964.1415694975767</v>
      </c>
      <c r="G18" s="21"/>
      <c r="H18" s="21"/>
      <c r="I18" s="21"/>
      <c r="J18" s="21">
        <f>MAX((J5+J16),0)</f>
        <v>207.363633957583</v>
      </c>
      <c r="K18" s="21"/>
      <c r="L18" s="21">
        <f>MAX((L5+L16),0)</f>
        <v>0</v>
      </c>
      <c r="M18" s="21"/>
      <c r="N18" s="21">
        <f>MAX((N5+N16),0)</f>
        <v>2592.6323894148354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0.19201466577938453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6716.6800245297482</v>
      </c>
      <c r="C22" s="23">
        <f ca="1">C18*C20</f>
        <v>0</v>
      </c>
      <c r="D22" s="23">
        <f>D18*D20</f>
        <v>2074.7233368682046</v>
      </c>
      <c r="E22" s="23">
        <f>E18*E20</f>
        <v>497.25653033685359</v>
      </c>
      <c r="F22" s="23">
        <f>F18*F20</f>
        <v>2393.4257990558531</v>
      </c>
      <c r="G22" s="23"/>
      <c r="H22" s="23"/>
      <c r="I22" s="23"/>
      <c r="J22" s="23">
        <f>J18*J20</f>
        <v>73.406726420984384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504.92506558000002</v>
      </c>
      <c r="C30" s="39">
        <f>IF(ISERROR(B30*3.6/1000000/'E Balans VL '!Z18*100),0,B30*3.6/1000000/'E Balans VL '!Z18*100)</f>
        <v>0.10698279608830283</v>
      </c>
      <c r="D30" s="232" t="s">
        <v>621</v>
      </c>
    </row>
    <row r="31" spans="1:18">
      <c r="A31" s="6" t="s">
        <v>32</v>
      </c>
      <c r="B31" s="37">
        <f>IF( ISERROR(IND_ander_ele_kWh/1000),0,IND_ander_ele_kWh/1000)</f>
        <v>2891.1980811999997</v>
      </c>
      <c r="C31" s="39">
        <f>IF(ISERROR(B31*3.6/1000000/'E Balans VL '!Z19*100),0,B31*3.6/1000000/'E Balans VL '!Z19*100)</f>
        <v>0.12169709218039283</v>
      </c>
      <c r="D31" s="232" t="s">
        <v>621</v>
      </c>
    </row>
    <row r="32" spans="1:18">
      <c r="A32" s="167" t="s">
        <v>40</v>
      </c>
      <c r="B32" s="37">
        <f>IF( ISERROR(IND_voed_ele_kWh/1000),0,IND_voed_ele_kWh/1000)</f>
        <v>2441.6298327</v>
      </c>
      <c r="C32" s="39">
        <f>IF(ISERROR(B32*3.6/1000000/'E Balans VL '!Z20*100),0,B32*3.6/1000000/'E Balans VL '!Z20*100)</f>
        <v>0.40790188869412664</v>
      </c>
      <c r="D32" s="232" t="s">
        <v>621</v>
      </c>
    </row>
    <row r="33" spans="1:5">
      <c r="A33" s="167" t="s">
        <v>39</v>
      </c>
      <c r="B33" s="37">
        <f>IF( ISERROR(IND_textiel_ele_kWh/1000),0,IND_textiel_ele_kWh/1000)</f>
        <v>3711.7684855999996</v>
      </c>
      <c r="C33" s="39">
        <f>IF(ISERROR(B33*3.6/1000000/'E Balans VL '!Z21*100),0,B33*3.6/1000000/'E Balans VL '!Z21*100)</f>
        <v>0.21670415171919183</v>
      </c>
      <c r="D33" s="232" t="s">
        <v>621</v>
      </c>
    </row>
    <row r="34" spans="1:5">
      <c r="A34" s="167" t="s">
        <v>36</v>
      </c>
      <c r="B34" s="37">
        <f>IF( ISERROR(IND_min_ele_kWh/1000),0,IND_min_ele_kWh/1000)</f>
        <v>431.90491934000005</v>
      </c>
      <c r="C34" s="39">
        <f>IF(ISERROR(B34*3.6/1000000/'E Balans VL '!Z22*100),0,B34*3.6/1000000/'E Balans VL '!Z22*100)</f>
        <v>5.4746277782695633E-2</v>
      </c>
      <c r="D34" s="232" t="s">
        <v>621</v>
      </c>
    </row>
    <row r="35" spans="1:5">
      <c r="A35" s="167" t="s">
        <v>38</v>
      </c>
      <c r="B35" s="37">
        <f>IF( ISERROR(IND_papier_ele_kWh/1000),0,IND_papier_ele_kWh/1000)</f>
        <v>71.277849199999991</v>
      </c>
      <c r="C35" s="39">
        <f>IF(ISERROR(B35*3.6/1000000/'E Balans VL '!Z22*100),0,B35*3.6/1000000/'E Balans VL '!Z22*100)</f>
        <v>9.0348517864054234E-3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24927.332302999999</v>
      </c>
      <c r="C37" s="39">
        <f>IF(ISERROR(B37*3.6/1000000/'E Balans VL '!Z15*100),0,B37*3.6/1000000/'E Balans VL '!Z15*100)</f>
        <v>0.20124800598758799</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1861.8584082300001</v>
      </c>
      <c r="C5" s="17">
        <f>'Eigen informatie GS &amp; warmtenet'!B60</f>
        <v>0</v>
      </c>
      <c r="D5" s="30">
        <f>IF(ISERROR(SUM(LB_lb_gas_kWh,LB_rest_gas_kWh)/1000),0,SUM(LB_lb_gas_kWh,LB_rest_gas_kWh)/1000)*0.902</f>
        <v>70.629936118258001</v>
      </c>
      <c r="E5" s="17">
        <f>B17*'E Balans VL '!I25/3.6*1000000/100</f>
        <v>36.885016278939332</v>
      </c>
      <c r="F5" s="17">
        <f>B17*('E Balans VL '!L25/3.6*1000000+'E Balans VL '!N25/3.6*1000000)/100</f>
        <v>6789.672493062827</v>
      </c>
      <c r="G5" s="18"/>
      <c r="H5" s="17"/>
      <c r="I5" s="17"/>
      <c r="J5" s="17">
        <f>('E Balans VL '!D25+'E Balans VL '!E25)/3.6*1000000*landbouw!B17/100</f>
        <v>442.08019869239217</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1861.8584082300001</v>
      </c>
      <c r="C8" s="21">
        <f>C5+C6</f>
        <v>0</v>
      </c>
      <c r="D8" s="21">
        <f>MAX((D5+D6),0)</f>
        <v>70.629936118258001</v>
      </c>
      <c r="E8" s="21">
        <f>MAX((E5+E6),0)</f>
        <v>36.885016278939332</v>
      </c>
      <c r="F8" s="21">
        <f>MAX((F5+F6),0)</f>
        <v>6789.672493062827</v>
      </c>
      <c r="G8" s="21"/>
      <c r="H8" s="21"/>
      <c r="I8" s="21"/>
      <c r="J8" s="21">
        <f>MAX((J5+J6),0)</f>
        <v>442.08019869239217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0.19201466577938453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357.50411998482036</v>
      </c>
      <c r="C12" s="23">
        <f ca="1">C8*C10</f>
        <v>0</v>
      </c>
      <c r="D12" s="23">
        <f>D8*D10</f>
        <v>14.267247095888116</v>
      </c>
      <c r="E12" s="23">
        <f>E8*E10</f>
        <v>8.372898695319229</v>
      </c>
      <c r="F12" s="23">
        <f>F8*F10</f>
        <v>1812.8425556477748</v>
      </c>
      <c r="G12" s="23"/>
      <c r="H12" s="23"/>
      <c r="I12" s="23"/>
      <c r="J12" s="23">
        <f>J8*J10</f>
        <v>156.49639033710682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0.26253436823399218</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321.19831871633562</v>
      </c>
      <c r="C26" s="242">
        <f>B26*'GWP N2O_CH4'!B5</f>
        <v>6745.1646930430479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118.16731243210198</v>
      </c>
      <c r="C27" s="242">
        <f>B27*'GWP N2O_CH4'!B5</f>
        <v>2481.5135610741418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4.9109588295685498</v>
      </c>
      <c r="C28" s="242">
        <f>B28*'GWP N2O_CH4'!B4</f>
        <v>1522.3972371662505</v>
      </c>
      <c r="D28" s="50"/>
    </row>
    <row r="29" spans="1:4">
      <c r="A29" s="41" t="s">
        <v>266</v>
      </c>
      <c r="B29" s="242">
        <f>B34*'ha_N2O bodem landbouw'!B4</f>
        <v>17.853943153950215</v>
      </c>
      <c r="C29" s="242">
        <f>B29*'GWP N2O_CH4'!B4</f>
        <v>5534.7223777245672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4.0181074211326495E-3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4.9265693446347128E-5</v>
      </c>
      <c r="C5" s="427" t="s">
        <v>204</v>
      </c>
      <c r="D5" s="412">
        <f>SUM(D6:D11)</f>
        <v>8.204204738664185E-5</v>
      </c>
      <c r="E5" s="412">
        <f>SUM(E6:E11)</f>
        <v>3.6951054208280229E-4</v>
      </c>
      <c r="F5" s="425" t="s">
        <v>204</v>
      </c>
      <c r="G5" s="412">
        <f>SUM(G6:G11)</f>
        <v>0.15624842954918725</v>
      </c>
      <c r="H5" s="412">
        <f>SUM(H6:H11)</f>
        <v>2.8307158019674809E-2</v>
      </c>
      <c r="I5" s="427" t="s">
        <v>204</v>
      </c>
      <c r="J5" s="427" t="s">
        <v>204</v>
      </c>
      <c r="K5" s="427" t="s">
        <v>204</v>
      </c>
      <c r="L5" s="427" t="s">
        <v>204</v>
      </c>
      <c r="M5" s="412">
        <f>SUM(M6:M11)</f>
        <v>5.7639273863507538E-3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3.6970696328757838E-5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5.825581475031345E-5</v>
      </c>
      <c r="E6" s="818">
        <f>vkm_GW_PW*SUMIFS(TableVerdeelsleutelVkm[LPG],TableVerdeelsleutelVkm[Voertuigtype],"Lichte voertuigen")*SUMIFS(TableECFTransport[EnergieConsumptieFactor (PJ per km)],TableECFTransport[Index],CONCATENATE($A6,"_LPG_LPG"))</f>
        <v>2.6592407848357506E-4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7.1800018729713658E-2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2.0274208029476968E-2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2.866456211976804E-3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1.4487725190276437E-6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4.9937544040798545E-2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1.0145237343031951E-6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1.5710413340015734E-3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1.0655933728795494E-5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2.3786232636328396E-5</v>
      </c>
      <c r="E8" s="415">
        <f>vkm_NGW_PW*SUMIFS(TableVerdeelsleutelVkm[LPG],TableVerdeelsleutelVkm[Voertuigtype],"Lichte voertuigen")*SUMIFS(TableECFTransport[EnergieConsumptieFactor (PJ per km)],TableECFTransport[Index],CONCATENATE($A8,"_LPG_LPG"))</f>
        <v>1.0358646359922721E-4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2.6077402519007517E-2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8.031774625595043E-3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1.0611123224352145E-3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1.9029086976614857E-7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8.4334642596675512E-3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1.6084086849630697E-7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2.653175179371625E-4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13.684914846207535</v>
      </c>
      <c r="C14" s="21"/>
      <c r="D14" s="21">
        <f t="shared" ref="D14:M14" si="0">((D5)*10^9/3600)+D12</f>
        <v>22.789457607400514</v>
      </c>
      <c r="E14" s="21">
        <f t="shared" si="0"/>
        <v>102.64181724522285</v>
      </c>
      <c r="F14" s="21"/>
      <c r="G14" s="21">
        <f t="shared" si="0"/>
        <v>43402.341541440903</v>
      </c>
      <c r="H14" s="21">
        <f t="shared" si="0"/>
        <v>7863.0994499096687</v>
      </c>
      <c r="I14" s="21"/>
      <c r="J14" s="21"/>
      <c r="K14" s="21"/>
      <c r="L14" s="21"/>
      <c r="M14" s="21">
        <f t="shared" si="0"/>
        <v>1601.0909406529872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0.19201466577938453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2.6277043504138775</v>
      </c>
      <c r="C18" s="23"/>
      <c r="D18" s="23">
        <f t="shared" ref="D18:M18" si="1">D14*D16</f>
        <v>4.603470436694904</v>
      </c>
      <c r="E18" s="23">
        <f t="shared" si="1"/>
        <v>23.299692514665587</v>
      </c>
      <c r="F18" s="23"/>
      <c r="G18" s="23">
        <f t="shared" si="1"/>
        <v>11588.425191564722</v>
      </c>
      <c r="H18" s="23">
        <f t="shared" si="1"/>
        <v>1957.9117630275075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1.6860455882147764E-5</v>
      </c>
      <c r="C50" s="311">
        <f t="shared" ref="C50:P50" si="2">SUM(C51:C52)</f>
        <v>0</v>
      </c>
      <c r="D50" s="311">
        <f t="shared" si="2"/>
        <v>0</v>
      </c>
      <c r="E50" s="311">
        <f t="shared" si="2"/>
        <v>0</v>
      </c>
      <c r="F50" s="311">
        <f t="shared" si="2"/>
        <v>0</v>
      </c>
      <c r="G50" s="311">
        <f t="shared" si="2"/>
        <v>3.0062549796085756E-3</v>
      </c>
      <c r="H50" s="311">
        <f t="shared" si="2"/>
        <v>0</v>
      </c>
      <c r="I50" s="311">
        <f t="shared" si="2"/>
        <v>0</v>
      </c>
      <c r="J50" s="311">
        <f t="shared" si="2"/>
        <v>0</v>
      </c>
      <c r="K50" s="311">
        <f t="shared" si="2"/>
        <v>0</v>
      </c>
      <c r="L50" s="311">
        <f t="shared" si="2"/>
        <v>0</v>
      </c>
      <c r="M50" s="311">
        <f t="shared" si="2"/>
        <v>9.3843632325718305E-5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1.6860455882147764E-5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3.0062549796085756E-3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9.3843632325718305E-5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4.6834599672632686</v>
      </c>
      <c r="C54" s="21">
        <f t="shared" ref="C54:P54" si="3">(C50)*10^9/3600</f>
        <v>0</v>
      </c>
      <c r="D54" s="21">
        <f t="shared" si="3"/>
        <v>0</v>
      </c>
      <c r="E54" s="21">
        <f t="shared" si="3"/>
        <v>0</v>
      </c>
      <c r="F54" s="21">
        <f t="shared" si="3"/>
        <v>0</v>
      </c>
      <c r="G54" s="21">
        <f t="shared" si="3"/>
        <v>835.07082766904875</v>
      </c>
      <c r="H54" s="21">
        <f t="shared" si="3"/>
        <v>0</v>
      </c>
      <c r="I54" s="21">
        <f t="shared" si="3"/>
        <v>0</v>
      </c>
      <c r="J54" s="21">
        <f t="shared" si="3"/>
        <v>0</v>
      </c>
      <c r="K54" s="21">
        <f t="shared" si="3"/>
        <v>0</v>
      </c>
      <c r="L54" s="21">
        <f t="shared" si="3"/>
        <v>0</v>
      </c>
      <c r="M54" s="21">
        <f t="shared" si="3"/>
        <v>26.067675646032864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0.19201466577938453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0.89929300030518378</v>
      </c>
      <c r="C58" s="23">
        <f t="shared" ref="C58:P58" ca="1" si="4">C54*C56</f>
        <v>0</v>
      </c>
      <c r="D58" s="23">
        <f t="shared" si="4"/>
        <v>0</v>
      </c>
      <c r="E58" s="23">
        <f t="shared" si="4"/>
        <v>0</v>
      </c>
      <c r="F58" s="23">
        <f t="shared" si="4"/>
        <v>0</v>
      </c>
      <c r="G58" s="23">
        <f t="shared" si="4"/>
        <v>222.96391098763604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10554.560621314071</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10554.560621314071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13905.772643270004</v>
      </c>
      <c r="D10" s="930">
        <f ca="1">tertiair!C16</f>
        <v>0</v>
      </c>
      <c r="E10" s="930">
        <f ca="1">tertiair!D16</f>
        <v>9085.6331228225208</v>
      </c>
      <c r="F10" s="930">
        <f>tertiair!E16</f>
        <v>230.60826302594612</v>
      </c>
      <c r="G10" s="930">
        <f ca="1">tertiair!F16</f>
        <v>2359.0579379466317</v>
      </c>
      <c r="H10" s="930">
        <f>tertiair!G16</f>
        <v>0</v>
      </c>
      <c r="I10" s="930">
        <f>tertiair!H16</f>
        <v>0</v>
      </c>
      <c r="J10" s="930">
        <f>tertiair!I16</f>
        <v>0</v>
      </c>
      <c r="K10" s="930">
        <f>tertiair!J16</f>
        <v>1.0338490358479845E-2</v>
      </c>
      <c r="L10" s="930">
        <f>tertiair!K16</f>
        <v>0</v>
      </c>
      <c r="M10" s="930">
        <f ca="1">tertiair!L16</f>
        <v>0</v>
      </c>
      <c r="N10" s="930">
        <f>tertiair!M16</f>
        <v>0</v>
      </c>
      <c r="O10" s="930">
        <f ca="1">tertiair!N16</f>
        <v>376.42828847614226</v>
      </c>
      <c r="P10" s="930">
        <f>tertiair!O16</f>
        <v>1.5633333333333335</v>
      </c>
      <c r="Q10" s="931">
        <f>tertiair!P16</f>
        <v>38.133333333333333</v>
      </c>
      <c r="R10" s="628">
        <f ca="1">SUM(C10:Q10)</f>
        <v>25997.207260698269</v>
      </c>
      <c r="S10" s="67"/>
    </row>
    <row r="11" spans="1:19" s="437" customFormat="1">
      <c r="A11" s="736" t="s">
        <v>214</v>
      </c>
      <c r="B11" s="741"/>
      <c r="C11" s="930">
        <f>huishoudens!B8</f>
        <v>28941.747540492608</v>
      </c>
      <c r="D11" s="930">
        <f>huishoudens!C8</f>
        <v>0</v>
      </c>
      <c r="E11" s="930">
        <f>huishoudens!D8</f>
        <v>30042.458961746001</v>
      </c>
      <c r="F11" s="930">
        <f>huishoudens!E8</f>
        <v>1928.9414794902714</v>
      </c>
      <c r="G11" s="930">
        <f>huishoudens!F8</f>
        <v>52444.100735275402</v>
      </c>
      <c r="H11" s="930">
        <f>huishoudens!G8</f>
        <v>0</v>
      </c>
      <c r="I11" s="930">
        <f>huishoudens!H8</f>
        <v>0</v>
      </c>
      <c r="J11" s="930">
        <f>huishoudens!I8</f>
        <v>0</v>
      </c>
      <c r="K11" s="930">
        <f>huishoudens!J8</f>
        <v>967.16288926350001</v>
      </c>
      <c r="L11" s="930">
        <f>huishoudens!K8</f>
        <v>0</v>
      </c>
      <c r="M11" s="930">
        <f>huishoudens!L8</f>
        <v>0</v>
      </c>
      <c r="N11" s="930">
        <f>huishoudens!M8</f>
        <v>0</v>
      </c>
      <c r="O11" s="930">
        <f>huishoudens!N8</f>
        <v>8210.0383983172505</v>
      </c>
      <c r="P11" s="930">
        <f>huishoudens!O8</f>
        <v>262.64000000000004</v>
      </c>
      <c r="Q11" s="931">
        <f>huishoudens!P8</f>
        <v>762.66666666666674</v>
      </c>
      <c r="R11" s="628">
        <f>SUM(C11:Q11)</f>
        <v>123559.75667125171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34980.036536619999</v>
      </c>
      <c r="D13" s="930">
        <f>industrie!C18</f>
        <v>0</v>
      </c>
      <c r="E13" s="930">
        <f>industrie!D18</f>
        <v>10270.907608258438</v>
      </c>
      <c r="F13" s="930">
        <f>industrie!E18</f>
        <v>2190.5574023649938</v>
      </c>
      <c r="G13" s="930">
        <f>industrie!F18</f>
        <v>8964.1415694975767</v>
      </c>
      <c r="H13" s="930">
        <f>industrie!G18</f>
        <v>0</v>
      </c>
      <c r="I13" s="930">
        <f>industrie!H18</f>
        <v>0</v>
      </c>
      <c r="J13" s="930">
        <f>industrie!I18</f>
        <v>0</v>
      </c>
      <c r="K13" s="930">
        <f>industrie!J18</f>
        <v>207.363633957583</v>
      </c>
      <c r="L13" s="930">
        <f>industrie!K18</f>
        <v>0</v>
      </c>
      <c r="M13" s="930">
        <f>industrie!L18</f>
        <v>0</v>
      </c>
      <c r="N13" s="930">
        <f>industrie!M18</f>
        <v>0</v>
      </c>
      <c r="O13" s="930">
        <f>industrie!N18</f>
        <v>2592.6323894148354</v>
      </c>
      <c r="P13" s="930">
        <f>industrie!O18</f>
        <v>0</v>
      </c>
      <c r="Q13" s="931">
        <f>industrie!P18</f>
        <v>0</v>
      </c>
      <c r="R13" s="628">
        <f>SUM(C13:Q13)</f>
        <v>59205.639140113424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77827.556720382607</v>
      </c>
      <c r="D16" s="660">
        <f t="shared" ref="D16:R16" ca="1" si="0">SUM(D9:D15)</f>
        <v>0</v>
      </c>
      <c r="E16" s="660">
        <f t="shared" ca="1" si="0"/>
        <v>49398.999692826954</v>
      </c>
      <c r="F16" s="660">
        <f t="shared" si="0"/>
        <v>4350.1071448812108</v>
      </c>
      <c r="G16" s="660">
        <f t="shared" ca="1" si="0"/>
        <v>63767.300242719604</v>
      </c>
      <c r="H16" s="660">
        <f t="shared" si="0"/>
        <v>0</v>
      </c>
      <c r="I16" s="660">
        <f t="shared" si="0"/>
        <v>0</v>
      </c>
      <c r="J16" s="660">
        <f t="shared" si="0"/>
        <v>0</v>
      </c>
      <c r="K16" s="660">
        <f t="shared" si="0"/>
        <v>1174.5368617114414</v>
      </c>
      <c r="L16" s="660">
        <f t="shared" si="0"/>
        <v>0</v>
      </c>
      <c r="M16" s="660">
        <f t="shared" ca="1" si="0"/>
        <v>0</v>
      </c>
      <c r="N16" s="660">
        <f t="shared" si="0"/>
        <v>0</v>
      </c>
      <c r="O16" s="660">
        <f t="shared" ca="1" si="0"/>
        <v>11179.099076208227</v>
      </c>
      <c r="P16" s="660">
        <f t="shared" si="0"/>
        <v>264.20333333333338</v>
      </c>
      <c r="Q16" s="660">
        <f t="shared" si="0"/>
        <v>800.80000000000007</v>
      </c>
      <c r="R16" s="660">
        <f t="shared" ca="1" si="0"/>
        <v>208762.60307206342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4.6834599672632686</v>
      </c>
      <c r="D19" s="930">
        <f>transport!C54</f>
        <v>0</v>
      </c>
      <c r="E19" s="930">
        <f>transport!D54</f>
        <v>0</v>
      </c>
      <c r="F19" s="930">
        <f>transport!E54</f>
        <v>0</v>
      </c>
      <c r="G19" s="930">
        <f>transport!F54</f>
        <v>0</v>
      </c>
      <c r="H19" s="930">
        <f>transport!G54</f>
        <v>835.07082766904875</v>
      </c>
      <c r="I19" s="930">
        <f>transport!H54</f>
        <v>0</v>
      </c>
      <c r="J19" s="930">
        <f>transport!I54</f>
        <v>0</v>
      </c>
      <c r="K19" s="930">
        <f>transport!J54</f>
        <v>0</v>
      </c>
      <c r="L19" s="930">
        <f>transport!K54</f>
        <v>0</v>
      </c>
      <c r="M19" s="930">
        <f>transport!L54</f>
        <v>0</v>
      </c>
      <c r="N19" s="930">
        <f>transport!M54</f>
        <v>26.067675646032864</v>
      </c>
      <c r="O19" s="930">
        <f>transport!N54</f>
        <v>0</v>
      </c>
      <c r="P19" s="930">
        <f>transport!O54</f>
        <v>0</v>
      </c>
      <c r="Q19" s="931">
        <f>transport!P54</f>
        <v>0</v>
      </c>
      <c r="R19" s="628">
        <f>SUM(C19:Q19)</f>
        <v>865.82196328234488</v>
      </c>
      <c r="S19" s="67"/>
    </row>
    <row r="20" spans="1:19" s="437" customFormat="1">
      <c r="A20" s="736" t="s">
        <v>296</v>
      </c>
      <c r="B20" s="741"/>
      <c r="C20" s="930">
        <f>transport!B14</f>
        <v>13.684914846207535</v>
      </c>
      <c r="D20" s="930">
        <f>transport!C14</f>
        <v>0</v>
      </c>
      <c r="E20" s="930">
        <f>transport!D14</f>
        <v>22.789457607400514</v>
      </c>
      <c r="F20" s="930">
        <f>transport!E14</f>
        <v>102.64181724522285</v>
      </c>
      <c r="G20" s="930">
        <f>transport!F14</f>
        <v>0</v>
      </c>
      <c r="H20" s="930">
        <f>transport!G14</f>
        <v>43402.341541440903</v>
      </c>
      <c r="I20" s="930">
        <f>transport!H14</f>
        <v>7863.0994499096687</v>
      </c>
      <c r="J20" s="930">
        <f>transport!I14</f>
        <v>0</v>
      </c>
      <c r="K20" s="930">
        <f>transport!J14</f>
        <v>0</v>
      </c>
      <c r="L20" s="930">
        <f>transport!K14</f>
        <v>0</v>
      </c>
      <c r="M20" s="930">
        <f>transport!L14</f>
        <v>0</v>
      </c>
      <c r="N20" s="930">
        <f>transport!M14</f>
        <v>1601.0909406529872</v>
      </c>
      <c r="O20" s="930">
        <f>transport!N14</f>
        <v>0</v>
      </c>
      <c r="P20" s="930">
        <f>transport!O14</f>
        <v>0</v>
      </c>
      <c r="Q20" s="931">
        <f>transport!P14</f>
        <v>0</v>
      </c>
      <c r="R20" s="628">
        <f>SUM(C20:Q20)</f>
        <v>53005.648121702397</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18.368374813470805</v>
      </c>
      <c r="D22" s="739">
        <f t="shared" ref="D22:R22" si="1">SUM(D18:D21)</f>
        <v>0</v>
      </c>
      <c r="E22" s="739">
        <f t="shared" si="1"/>
        <v>22.789457607400514</v>
      </c>
      <c r="F22" s="739">
        <f t="shared" si="1"/>
        <v>102.64181724522285</v>
      </c>
      <c r="G22" s="739">
        <f t="shared" si="1"/>
        <v>0</v>
      </c>
      <c r="H22" s="739">
        <f t="shared" si="1"/>
        <v>44237.412369109952</v>
      </c>
      <c r="I22" s="739">
        <f t="shared" si="1"/>
        <v>7863.0994499096687</v>
      </c>
      <c r="J22" s="739">
        <f t="shared" si="1"/>
        <v>0</v>
      </c>
      <c r="K22" s="739">
        <f t="shared" si="1"/>
        <v>0</v>
      </c>
      <c r="L22" s="739">
        <f t="shared" si="1"/>
        <v>0</v>
      </c>
      <c r="M22" s="739">
        <f t="shared" si="1"/>
        <v>0</v>
      </c>
      <c r="N22" s="739">
        <f t="shared" si="1"/>
        <v>1627.1586162990202</v>
      </c>
      <c r="O22" s="739">
        <f t="shared" si="1"/>
        <v>0</v>
      </c>
      <c r="P22" s="739">
        <f t="shared" si="1"/>
        <v>0</v>
      </c>
      <c r="Q22" s="739">
        <f t="shared" si="1"/>
        <v>0</v>
      </c>
      <c r="R22" s="739">
        <f t="shared" si="1"/>
        <v>53871.470084984743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1861.8584082300001</v>
      </c>
      <c r="D24" s="930">
        <f>+landbouw!C8</f>
        <v>0</v>
      </c>
      <c r="E24" s="930">
        <f>+landbouw!D8</f>
        <v>70.629936118258001</v>
      </c>
      <c r="F24" s="930">
        <f>+landbouw!E8</f>
        <v>36.885016278939332</v>
      </c>
      <c r="G24" s="930">
        <f>+landbouw!F8</f>
        <v>6789.672493062827</v>
      </c>
      <c r="H24" s="930">
        <f>+landbouw!G8</f>
        <v>0</v>
      </c>
      <c r="I24" s="930">
        <f>+landbouw!H8</f>
        <v>0</v>
      </c>
      <c r="J24" s="930">
        <f>+landbouw!I8</f>
        <v>0</v>
      </c>
      <c r="K24" s="930">
        <f>+landbouw!J8</f>
        <v>442.08019869239217</v>
      </c>
      <c r="L24" s="930">
        <f>+landbouw!K8</f>
        <v>0</v>
      </c>
      <c r="M24" s="930">
        <f>+landbouw!L8</f>
        <v>0</v>
      </c>
      <c r="N24" s="930">
        <f>+landbouw!M8</f>
        <v>0</v>
      </c>
      <c r="O24" s="930">
        <f>+landbouw!N8</f>
        <v>0</v>
      </c>
      <c r="P24" s="930">
        <f>+landbouw!O8</f>
        <v>0</v>
      </c>
      <c r="Q24" s="931">
        <f>+landbouw!P8</f>
        <v>0</v>
      </c>
      <c r="R24" s="628">
        <f>SUM(C24:Q24)</f>
        <v>9201.1260523824167</v>
      </c>
      <c r="S24" s="67"/>
    </row>
    <row r="25" spans="1:19" s="437" customFormat="1" ht="15" thickBot="1">
      <c r="A25" s="758" t="s">
        <v>788</v>
      </c>
      <c r="B25" s="933"/>
      <c r="C25" s="934">
        <f>IF(Onbekend_ele_kWh="---",0,Onbekend_ele_kWh)/1000+IF(REST_rest_ele_kWh="---",0,REST_rest_ele_kWh)/1000</f>
        <v>765.94433274999994</v>
      </c>
      <c r="D25" s="934"/>
      <c r="E25" s="934">
        <f>IF(onbekend_gas_kWh="---",0,onbekend_gas_kWh)/1000+IF(REST_rest_gas_kWh="---",0,REST_rest_gas_kWh)/1000</f>
        <v>768.29609690999996</v>
      </c>
      <c r="F25" s="934"/>
      <c r="G25" s="934"/>
      <c r="H25" s="934"/>
      <c r="I25" s="934"/>
      <c r="J25" s="934"/>
      <c r="K25" s="934"/>
      <c r="L25" s="934"/>
      <c r="M25" s="934"/>
      <c r="N25" s="934"/>
      <c r="O25" s="934"/>
      <c r="P25" s="934"/>
      <c r="Q25" s="935"/>
      <c r="R25" s="628">
        <f>SUM(C25:Q25)</f>
        <v>1534.2404296599998</v>
      </c>
      <c r="S25" s="67"/>
    </row>
    <row r="26" spans="1:19" s="437" customFormat="1" ht="15.75" thickBot="1">
      <c r="A26" s="633" t="s">
        <v>789</v>
      </c>
      <c r="B26" s="744"/>
      <c r="C26" s="739">
        <f>SUM(C24:C25)</f>
        <v>2627.8027409800002</v>
      </c>
      <c r="D26" s="739">
        <f t="shared" ref="D26:R26" si="2">SUM(D24:D25)</f>
        <v>0</v>
      </c>
      <c r="E26" s="739">
        <f t="shared" si="2"/>
        <v>838.92603302825796</v>
      </c>
      <c r="F26" s="739">
        <f t="shared" si="2"/>
        <v>36.885016278939332</v>
      </c>
      <c r="G26" s="739">
        <f t="shared" si="2"/>
        <v>6789.672493062827</v>
      </c>
      <c r="H26" s="739">
        <f t="shared" si="2"/>
        <v>0</v>
      </c>
      <c r="I26" s="739">
        <f t="shared" si="2"/>
        <v>0</v>
      </c>
      <c r="J26" s="739">
        <f t="shared" si="2"/>
        <v>0</v>
      </c>
      <c r="K26" s="739">
        <f t="shared" si="2"/>
        <v>442.08019869239217</v>
      </c>
      <c r="L26" s="739">
        <f t="shared" si="2"/>
        <v>0</v>
      </c>
      <c r="M26" s="739">
        <f t="shared" si="2"/>
        <v>0</v>
      </c>
      <c r="N26" s="739">
        <f t="shared" si="2"/>
        <v>0</v>
      </c>
      <c r="O26" s="739">
        <f t="shared" si="2"/>
        <v>0</v>
      </c>
      <c r="P26" s="739">
        <f t="shared" si="2"/>
        <v>0</v>
      </c>
      <c r="Q26" s="739">
        <f t="shared" si="2"/>
        <v>0</v>
      </c>
      <c r="R26" s="739">
        <f t="shared" si="2"/>
        <v>10735.366482042416</v>
      </c>
      <c r="S26" s="67"/>
    </row>
    <row r="27" spans="1:19" s="437" customFormat="1" ht="17.25" thickTop="1" thickBot="1">
      <c r="A27" s="634" t="s">
        <v>109</v>
      </c>
      <c r="B27" s="732"/>
      <c r="C27" s="635">
        <f ca="1">C22+C16+C26</f>
        <v>80473.727836176069</v>
      </c>
      <c r="D27" s="635">
        <f t="shared" ref="D27:R27" ca="1" si="3">D22+D16+D26</f>
        <v>0</v>
      </c>
      <c r="E27" s="635">
        <f t="shared" ca="1" si="3"/>
        <v>50260.715183462613</v>
      </c>
      <c r="F27" s="635">
        <f t="shared" si="3"/>
        <v>4489.6339784053735</v>
      </c>
      <c r="G27" s="635">
        <f t="shared" ca="1" si="3"/>
        <v>70556.97273578243</v>
      </c>
      <c r="H27" s="635">
        <f t="shared" si="3"/>
        <v>44237.412369109952</v>
      </c>
      <c r="I27" s="635">
        <f t="shared" si="3"/>
        <v>7863.0994499096687</v>
      </c>
      <c r="J27" s="635">
        <f t="shared" si="3"/>
        <v>0</v>
      </c>
      <c r="K27" s="635">
        <f t="shared" si="3"/>
        <v>1616.6170604038334</v>
      </c>
      <c r="L27" s="635">
        <f t="shared" si="3"/>
        <v>0</v>
      </c>
      <c r="M27" s="635">
        <f t="shared" ca="1" si="3"/>
        <v>0</v>
      </c>
      <c r="N27" s="635">
        <f t="shared" si="3"/>
        <v>1627.1586162990202</v>
      </c>
      <c r="O27" s="635">
        <f t="shared" ca="1" si="3"/>
        <v>11179.099076208227</v>
      </c>
      <c r="P27" s="635">
        <f t="shared" si="3"/>
        <v>264.20333333333338</v>
      </c>
      <c r="Q27" s="635">
        <f t="shared" si="3"/>
        <v>800.80000000000007</v>
      </c>
      <c r="R27" s="635">
        <f t="shared" ca="1" si="3"/>
        <v>273369.43963909056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2670.1122865015982</v>
      </c>
      <c r="D40" s="930">
        <f ca="1">tertiair!C20</f>
        <v>0</v>
      </c>
      <c r="E40" s="930">
        <f ca="1">tertiair!D20</f>
        <v>1835.2978908101493</v>
      </c>
      <c r="F40" s="930">
        <f>tertiair!E20</f>
        <v>52.348075706889773</v>
      </c>
      <c r="G40" s="930">
        <f ca="1">tertiair!F20</f>
        <v>629.86846943175067</v>
      </c>
      <c r="H40" s="930">
        <f>tertiair!G20</f>
        <v>0</v>
      </c>
      <c r="I40" s="930">
        <f>tertiair!H20</f>
        <v>0</v>
      </c>
      <c r="J40" s="930">
        <f>tertiair!I20</f>
        <v>0</v>
      </c>
      <c r="K40" s="930">
        <f>tertiair!J20</f>
        <v>3.659825586901865E-3</v>
      </c>
      <c r="L40" s="930">
        <f>tertiair!K20</f>
        <v>0</v>
      </c>
      <c r="M40" s="930">
        <f ca="1">tertiair!L20</f>
        <v>0</v>
      </c>
      <c r="N40" s="930">
        <f>tertiair!M20</f>
        <v>0</v>
      </c>
      <c r="O40" s="930">
        <f ca="1">tertiair!N20</f>
        <v>0</v>
      </c>
      <c r="P40" s="930">
        <f>tertiair!O20</f>
        <v>0</v>
      </c>
      <c r="Q40" s="702">
        <f>tertiair!P20</f>
        <v>0</v>
      </c>
      <c r="R40" s="777">
        <f t="shared" ca="1" si="4"/>
        <v>5187.6303822759746</v>
      </c>
    </row>
    <row r="41" spans="1:18">
      <c r="A41" s="749" t="s">
        <v>214</v>
      </c>
      <c r="B41" s="756"/>
      <c r="C41" s="930">
        <f ca="1">huishoudens!B12</f>
        <v>5557.2399810590123</v>
      </c>
      <c r="D41" s="930">
        <f ca="1">huishoudens!C12</f>
        <v>0</v>
      </c>
      <c r="E41" s="930">
        <f>huishoudens!D12</f>
        <v>6068.5767102726923</v>
      </c>
      <c r="F41" s="930">
        <f>huishoudens!E12</f>
        <v>437.86971584429159</v>
      </c>
      <c r="G41" s="930">
        <f>huishoudens!F12</f>
        <v>14002.574896318532</v>
      </c>
      <c r="H41" s="930">
        <f>huishoudens!G12</f>
        <v>0</v>
      </c>
      <c r="I41" s="930">
        <f>huishoudens!H12</f>
        <v>0</v>
      </c>
      <c r="J41" s="930">
        <f>huishoudens!I12</f>
        <v>0</v>
      </c>
      <c r="K41" s="930">
        <f>huishoudens!J12</f>
        <v>342.37566279927898</v>
      </c>
      <c r="L41" s="930">
        <f>huishoudens!K12</f>
        <v>0</v>
      </c>
      <c r="M41" s="930">
        <f>huishoudens!L12</f>
        <v>0</v>
      </c>
      <c r="N41" s="930">
        <f>huishoudens!M12</f>
        <v>0</v>
      </c>
      <c r="O41" s="930">
        <f>huishoudens!N12</f>
        <v>0</v>
      </c>
      <c r="P41" s="930">
        <f>huishoudens!O12</f>
        <v>0</v>
      </c>
      <c r="Q41" s="702">
        <f>huishoudens!P12</f>
        <v>0</v>
      </c>
      <c r="R41" s="777">
        <f t="shared" ca="1" si="4"/>
        <v>26408.636966293809</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6716.6800245297482</v>
      </c>
      <c r="D43" s="930">
        <f ca="1">industrie!C22</f>
        <v>0</v>
      </c>
      <c r="E43" s="930">
        <f>industrie!D22</f>
        <v>2074.7233368682046</v>
      </c>
      <c r="F43" s="930">
        <f>industrie!E22</f>
        <v>497.25653033685359</v>
      </c>
      <c r="G43" s="930">
        <f>industrie!F22</f>
        <v>2393.4257990558531</v>
      </c>
      <c r="H43" s="930">
        <f>industrie!G22</f>
        <v>0</v>
      </c>
      <c r="I43" s="930">
        <f>industrie!H22</f>
        <v>0</v>
      </c>
      <c r="J43" s="930">
        <f>industrie!I22</f>
        <v>0</v>
      </c>
      <c r="K43" s="930">
        <f>industrie!J22</f>
        <v>73.406726420984384</v>
      </c>
      <c r="L43" s="930">
        <f>industrie!K22</f>
        <v>0</v>
      </c>
      <c r="M43" s="930">
        <f>industrie!L22</f>
        <v>0</v>
      </c>
      <c r="N43" s="930">
        <f>industrie!M22</f>
        <v>0</v>
      </c>
      <c r="O43" s="930">
        <f>industrie!N22</f>
        <v>0</v>
      </c>
      <c r="P43" s="930">
        <f>industrie!O22</f>
        <v>0</v>
      </c>
      <c r="Q43" s="702">
        <f>industrie!P22</f>
        <v>0</v>
      </c>
      <c r="R43" s="776">
        <f t="shared" ca="1" si="4"/>
        <v>11755.492417211643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14944.03229209036</v>
      </c>
      <c r="D46" s="660">
        <f t="shared" ref="D46:Q46" ca="1" si="5">SUM(D39:D45)</f>
        <v>0</v>
      </c>
      <c r="E46" s="660">
        <f t="shared" ca="1" si="5"/>
        <v>9978.5979379510463</v>
      </c>
      <c r="F46" s="660">
        <f t="shared" si="5"/>
        <v>987.47432188803486</v>
      </c>
      <c r="G46" s="660">
        <f t="shared" ca="1" si="5"/>
        <v>17025.869164806136</v>
      </c>
      <c r="H46" s="660">
        <f t="shared" si="5"/>
        <v>0</v>
      </c>
      <c r="I46" s="660">
        <f t="shared" si="5"/>
        <v>0</v>
      </c>
      <c r="J46" s="660">
        <f t="shared" si="5"/>
        <v>0</v>
      </c>
      <c r="K46" s="660">
        <f t="shared" si="5"/>
        <v>415.78604904585029</v>
      </c>
      <c r="L46" s="660">
        <f t="shared" si="5"/>
        <v>0</v>
      </c>
      <c r="M46" s="660">
        <f t="shared" ca="1" si="5"/>
        <v>0</v>
      </c>
      <c r="N46" s="660">
        <f t="shared" si="5"/>
        <v>0</v>
      </c>
      <c r="O46" s="660">
        <f t="shared" ca="1" si="5"/>
        <v>0</v>
      </c>
      <c r="P46" s="660">
        <f t="shared" si="5"/>
        <v>0</v>
      </c>
      <c r="Q46" s="660">
        <f t="shared" si="5"/>
        <v>0</v>
      </c>
      <c r="R46" s="660">
        <f ca="1">SUM(R39:R45)</f>
        <v>43351.759765781426</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0.89929300030518378</v>
      </c>
      <c r="D49" s="930">
        <f ca="1">transport!C58</f>
        <v>0</v>
      </c>
      <c r="E49" s="930">
        <f>transport!D58</f>
        <v>0</v>
      </c>
      <c r="F49" s="930">
        <f>transport!E58</f>
        <v>0</v>
      </c>
      <c r="G49" s="930">
        <f>transport!F58</f>
        <v>0</v>
      </c>
      <c r="H49" s="930">
        <f>transport!G58</f>
        <v>222.96391098763604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223.86320398794123</v>
      </c>
    </row>
    <row r="50" spans="1:18">
      <c r="A50" s="752" t="s">
        <v>296</v>
      </c>
      <c r="B50" s="762"/>
      <c r="C50" s="631">
        <f ca="1">transport!B18</f>
        <v>2.6277043504138775</v>
      </c>
      <c r="D50" s="631">
        <f>transport!C18</f>
        <v>0</v>
      </c>
      <c r="E50" s="631">
        <f>transport!D18</f>
        <v>4.603470436694904</v>
      </c>
      <c r="F50" s="631">
        <f>transport!E18</f>
        <v>23.299692514665587</v>
      </c>
      <c r="G50" s="631">
        <f>transport!F18</f>
        <v>0</v>
      </c>
      <c r="H50" s="631">
        <f>transport!G18</f>
        <v>11588.425191564722</v>
      </c>
      <c r="I50" s="631">
        <f>transport!H18</f>
        <v>1957.9117630275075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13576.867821894002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3.5269973507190615</v>
      </c>
      <c r="D52" s="660">
        <f t="shared" ref="D52:Q52" ca="1" si="6">SUM(D48:D51)</f>
        <v>0</v>
      </c>
      <c r="E52" s="660">
        <f t="shared" si="6"/>
        <v>4.603470436694904</v>
      </c>
      <c r="F52" s="660">
        <f t="shared" si="6"/>
        <v>23.299692514665587</v>
      </c>
      <c r="G52" s="660">
        <f t="shared" si="6"/>
        <v>0</v>
      </c>
      <c r="H52" s="660">
        <f t="shared" si="6"/>
        <v>11811.389102552357</v>
      </c>
      <c r="I52" s="660">
        <f t="shared" si="6"/>
        <v>1957.9117630275075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13800.731025881943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357.50411998482036</v>
      </c>
      <c r="D54" s="631">
        <f ca="1">+landbouw!C12</f>
        <v>0</v>
      </c>
      <c r="E54" s="631">
        <f>+landbouw!D12</f>
        <v>14.267247095888116</v>
      </c>
      <c r="F54" s="631">
        <f>+landbouw!E12</f>
        <v>8.372898695319229</v>
      </c>
      <c r="G54" s="631">
        <f>+landbouw!F12</f>
        <v>1812.8425556477748</v>
      </c>
      <c r="H54" s="631">
        <f>+landbouw!G12</f>
        <v>0</v>
      </c>
      <c r="I54" s="631">
        <f>+landbouw!H12</f>
        <v>0</v>
      </c>
      <c r="J54" s="631">
        <f>+landbouw!I12</f>
        <v>0</v>
      </c>
      <c r="K54" s="631">
        <f>+landbouw!J12</f>
        <v>156.49639033710682</v>
      </c>
      <c r="L54" s="631">
        <f>+landbouw!K12</f>
        <v>0</v>
      </c>
      <c r="M54" s="631">
        <f>+landbouw!L12</f>
        <v>0</v>
      </c>
      <c r="N54" s="631">
        <f>+landbouw!M12</f>
        <v>0</v>
      </c>
      <c r="O54" s="631">
        <f>+landbouw!N12</f>
        <v>0</v>
      </c>
      <c r="P54" s="631">
        <f>+landbouw!O12</f>
        <v>0</v>
      </c>
      <c r="Q54" s="632">
        <f>+landbouw!P12</f>
        <v>0</v>
      </c>
      <c r="R54" s="659">
        <f ca="1">SUM(C54:Q54)</f>
        <v>2349.4832117609094</v>
      </c>
    </row>
    <row r="55" spans="1:18" ht="15" thickBot="1">
      <c r="A55" s="752" t="s">
        <v>788</v>
      </c>
      <c r="B55" s="762"/>
      <c r="C55" s="631">
        <f ca="1">C25*'EF ele_warmte'!B12</f>
        <v>147.07254505860493</v>
      </c>
      <c r="D55" s="631"/>
      <c r="E55" s="631">
        <f>E25*EF_CO2_aardgas</f>
        <v>155.19581157581999</v>
      </c>
      <c r="F55" s="631"/>
      <c r="G55" s="631"/>
      <c r="H55" s="631"/>
      <c r="I55" s="631"/>
      <c r="J55" s="631"/>
      <c r="K55" s="631"/>
      <c r="L55" s="631"/>
      <c r="M55" s="631"/>
      <c r="N55" s="631"/>
      <c r="O55" s="631"/>
      <c r="P55" s="631"/>
      <c r="Q55" s="632"/>
      <c r="R55" s="659">
        <f ca="1">SUM(C55:Q55)</f>
        <v>302.26835663442489</v>
      </c>
    </row>
    <row r="56" spans="1:18" ht="15.75" thickBot="1">
      <c r="A56" s="750" t="s">
        <v>789</v>
      </c>
      <c r="B56" s="763"/>
      <c r="C56" s="660">
        <f ca="1">SUM(C54:C55)</f>
        <v>504.57666504342529</v>
      </c>
      <c r="D56" s="660">
        <f t="shared" ref="D56:Q56" ca="1" si="7">SUM(D54:D55)</f>
        <v>0</v>
      </c>
      <c r="E56" s="660">
        <f t="shared" si="7"/>
        <v>169.4630586717081</v>
      </c>
      <c r="F56" s="660">
        <f t="shared" si="7"/>
        <v>8.372898695319229</v>
      </c>
      <c r="G56" s="660">
        <f t="shared" si="7"/>
        <v>1812.8425556477748</v>
      </c>
      <c r="H56" s="660">
        <f t="shared" si="7"/>
        <v>0</v>
      </c>
      <c r="I56" s="660">
        <f t="shared" si="7"/>
        <v>0</v>
      </c>
      <c r="J56" s="660">
        <f t="shared" si="7"/>
        <v>0</v>
      </c>
      <c r="K56" s="660">
        <f t="shared" si="7"/>
        <v>156.49639033710682</v>
      </c>
      <c r="L56" s="660">
        <f t="shared" si="7"/>
        <v>0</v>
      </c>
      <c r="M56" s="660">
        <f t="shared" si="7"/>
        <v>0</v>
      </c>
      <c r="N56" s="660">
        <f t="shared" si="7"/>
        <v>0</v>
      </c>
      <c r="O56" s="660">
        <f t="shared" si="7"/>
        <v>0</v>
      </c>
      <c r="P56" s="660">
        <f t="shared" si="7"/>
        <v>0</v>
      </c>
      <c r="Q56" s="661">
        <f t="shared" si="7"/>
        <v>0</v>
      </c>
      <c r="R56" s="662">
        <f ca="1">SUM(R54:R55)</f>
        <v>2651.7515683953343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15452.135954484504</v>
      </c>
      <c r="D61" s="668">
        <f t="shared" ref="D61:Q61" ca="1" si="8">D46+D52+D56</f>
        <v>0</v>
      </c>
      <c r="E61" s="668">
        <f t="shared" ca="1" si="8"/>
        <v>10152.664467059451</v>
      </c>
      <c r="F61" s="668">
        <f t="shared" si="8"/>
        <v>1019.1469130980197</v>
      </c>
      <c r="G61" s="668">
        <f t="shared" ca="1" si="8"/>
        <v>18838.71172045391</v>
      </c>
      <c r="H61" s="668">
        <f t="shared" si="8"/>
        <v>11811.389102552357</v>
      </c>
      <c r="I61" s="668">
        <f t="shared" si="8"/>
        <v>1957.9117630275075</v>
      </c>
      <c r="J61" s="668">
        <f t="shared" si="8"/>
        <v>0</v>
      </c>
      <c r="K61" s="668">
        <f t="shared" si="8"/>
        <v>572.28243938295714</v>
      </c>
      <c r="L61" s="668">
        <f t="shared" si="8"/>
        <v>0</v>
      </c>
      <c r="M61" s="668">
        <f t="shared" ca="1" si="8"/>
        <v>0</v>
      </c>
      <c r="N61" s="668">
        <f t="shared" si="8"/>
        <v>0</v>
      </c>
      <c r="O61" s="668">
        <f t="shared" ca="1" si="8"/>
        <v>0</v>
      </c>
      <c r="P61" s="668">
        <f t="shared" si="8"/>
        <v>0</v>
      </c>
      <c r="Q61" s="668">
        <f t="shared" si="8"/>
        <v>0</v>
      </c>
      <c r="R61" s="668">
        <f ca="1">R46+R52+R56</f>
        <v>59804.242360058699</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0.19201466577938456</v>
      </c>
      <c r="D63" s="709">
        <f t="shared" ca="1" si="9"/>
        <v>0</v>
      </c>
      <c r="E63" s="941">
        <f t="shared" ca="1" si="9"/>
        <v>0.20200000000000004</v>
      </c>
      <c r="F63" s="709">
        <f t="shared" si="9"/>
        <v>0.22699999999999998</v>
      </c>
      <c r="G63" s="709">
        <f t="shared" ca="1" si="9"/>
        <v>0.26700000000000002</v>
      </c>
      <c r="H63" s="709">
        <f t="shared" si="9"/>
        <v>0.26700000000000002</v>
      </c>
      <c r="I63" s="709">
        <f t="shared" si="9"/>
        <v>0.249</v>
      </c>
      <c r="J63" s="709">
        <f t="shared" si="9"/>
        <v>0</v>
      </c>
      <c r="K63" s="709">
        <f t="shared" si="9"/>
        <v>0.35400000000000009</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10554.560621314071</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10554.560621314071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28941.747540492608</v>
      </c>
      <c r="C4" s="441">
        <f>huishoudens!C8</f>
        <v>0</v>
      </c>
      <c r="D4" s="441">
        <f>huishoudens!D8</f>
        <v>30042.458961746001</v>
      </c>
      <c r="E4" s="441">
        <f>huishoudens!E8</f>
        <v>1928.9414794902714</v>
      </c>
      <c r="F4" s="441">
        <f>huishoudens!F8</f>
        <v>52444.100735275402</v>
      </c>
      <c r="G4" s="441">
        <f>huishoudens!G8</f>
        <v>0</v>
      </c>
      <c r="H4" s="441">
        <f>huishoudens!H8</f>
        <v>0</v>
      </c>
      <c r="I4" s="441">
        <f>huishoudens!I8</f>
        <v>0</v>
      </c>
      <c r="J4" s="441">
        <f>huishoudens!J8</f>
        <v>967.16288926350001</v>
      </c>
      <c r="K4" s="441">
        <f>huishoudens!K8</f>
        <v>0</v>
      </c>
      <c r="L4" s="441">
        <f>huishoudens!L8</f>
        <v>0</v>
      </c>
      <c r="M4" s="441">
        <f>huishoudens!M8</f>
        <v>0</v>
      </c>
      <c r="N4" s="441">
        <f>huishoudens!N8</f>
        <v>8210.0383983172505</v>
      </c>
      <c r="O4" s="441">
        <f>huishoudens!O8</f>
        <v>262.64000000000004</v>
      </c>
      <c r="P4" s="442">
        <f>huishoudens!P8</f>
        <v>762.66666666666674</v>
      </c>
      <c r="Q4" s="443">
        <f>SUM(B4:P4)</f>
        <v>123559.75667125171</v>
      </c>
    </row>
    <row r="5" spans="1:17">
      <c r="A5" s="440" t="s">
        <v>149</v>
      </c>
      <c r="B5" s="441">
        <f ca="1">tertiair!B16</f>
        <v>12603.696643270003</v>
      </c>
      <c r="C5" s="441">
        <f ca="1">tertiair!C16</f>
        <v>0</v>
      </c>
      <c r="D5" s="441">
        <f ca="1">tertiair!D16</f>
        <v>9085.6331228225208</v>
      </c>
      <c r="E5" s="441">
        <f>tertiair!E16</f>
        <v>230.60826302594612</v>
      </c>
      <c r="F5" s="441">
        <f ca="1">tertiair!F16</f>
        <v>2359.0579379466317</v>
      </c>
      <c r="G5" s="441">
        <f>tertiair!G16</f>
        <v>0</v>
      </c>
      <c r="H5" s="441">
        <f>tertiair!H16</f>
        <v>0</v>
      </c>
      <c r="I5" s="441">
        <f>tertiair!I16</f>
        <v>0</v>
      </c>
      <c r="J5" s="441">
        <f>tertiair!J16</f>
        <v>1.0338490358479845E-2</v>
      </c>
      <c r="K5" s="441">
        <f>tertiair!K16</f>
        <v>0</v>
      </c>
      <c r="L5" s="441">
        <f ca="1">tertiair!L16</f>
        <v>0</v>
      </c>
      <c r="M5" s="441">
        <f>tertiair!M16</f>
        <v>0</v>
      </c>
      <c r="N5" s="441">
        <f ca="1">tertiair!N16</f>
        <v>376.42828847614226</v>
      </c>
      <c r="O5" s="441">
        <f>tertiair!O16</f>
        <v>1.5633333333333335</v>
      </c>
      <c r="P5" s="442">
        <f>tertiair!P16</f>
        <v>38.133333333333333</v>
      </c>
      <c r="Q5" s="440">
        <f t="shared" ref="Q5:Q14" ca="1" si="0">SUM(B5:P5)</f>
        <v>24695.131260698268</v>
      </c>
    </row>
    <row r="6" spans="1:17">
      <c r="A6" s="440" t="s">
        <v>187</v>
      </c>
      <c r="B6" s="441">
        <f>'openbare verlichting'!B8</f>
        <v>1302.076</v>
      </c>
      <c r="C6" s="441"/>
      <c r="D6" s="441"/>
      <c r="E6" s="441"/>
      <c r="F6" s="441"/>
      <c r="G6" s="441"/>
      <c r="H6" s="441"/>
      <c r="I6" s="441"/>
      <c r="J6" s="441"/>
      <c r="K6" s="441"/>
      <c r="L6" s="441"/>
      <c r="M6" s="441"/>
      <c r="N6" s="441"/>
      <c r="O6" s="441"/>
      <c r="P6" s="442"/>
      <c r="Q6" s="440">
        <f t="shared" si="0"/>
        <v>1302.076</v>
      </c>
    </row>
    <row r="7" spans="1:17">
      <c r="A7" s="440" t="s">
        <v>105</v>
      </c>
      <c r="B7" s="441">
        <f>landbouw!B8</f>
        <v>1861.8584082300001</v>
      </c>
      <c r="C7" s="441">
        <f>landbouw!C8</f>
        <v>0</v>
      </c>
      <c r="D7" s="441">
        <f>landbouw!D8</f>
        <v>70.629936118258001</v>
      </c>
      <c r="E7" s="441">
        <f>landbouw!E8</f>
        <v>36.885016278939332</v>
      </c>
      <c r="F7" s="441">
        <f>landbouw!F8</f>
        <v>6789.672493062827</v>
      </c>
      <c r="G7" s="441">
        <f>landbouw!G8</f>
        <v>0</v>
      </c>
      <c r="H7" s="441">
        <f>landbouw!H8</f>
        <v>0</v>
      </c>
      <c r="I7" s="441">
        <f>landbouw!I8</f>
        <v>0</v>
      </c>
      <c r="J7" s="441">
        <f>landbouw!J8</f>
        <v>442.08019869239217</v>
      </c>
      <c r="K7" s="441">
        <f>landbouw!K8</f>
        <v>0</v>
      </c>
      <c r="L7" s="441">
        <f>landbouw!L8</f>
        <v>0</v>
      </c>
      <c r="M7" s="441">
        <f>landbouw!M8</f>
        <v>0</v>
      </c>
      <c r="N7" s="441">
        <f>landbouw!N8</f>
        <v>0</v>
      </c>
      <c r="O7" s="441">
        <f>landbouw!O8</f>
        <v>0</v>
      </c>
      <c r="P7" s="442">
        <f>landbouw!P8</f>
        <v>0</v>
      </c>
      <c r="Q7" s="440">
        <f t="shared" si="0"/>
        <v>9201.1260523824167</v>
      </c>
    </row>
    <row r="8" spans="1:17">
      <c r="A8" s="440" t="s">
        <v>600</v>
      </c>
      <c r="B8" s="441">
        <f>industrie!B18</f>
        <v>34980.036536619999</v>
      </c>
      <c r="C8" s="441">
        <f>industrie!C18</f>
        <v>0</v>
      </c>
      <c r="D8" s="441">
        <f>industrie!D18</f>
        <v>10270.907608258438</v>
      </c>
      <c r="E8" s="441">
        <f>industrie!E18</f>
        <v>2190.5574023649938</v>
      </c>
      <c r="F8" s="441">
        <f>industrie!F18</f>
        <v>8964.1415694975767</v>
      </c>
      <c r="G8" s="441">
        <f>industrie!G18</f>
        <v>0</v>
      </c>
      <c r="H8" s="441">
        <f>industrie!H18</f>
        <v>0</v>
      </c>
      <c r="I8" s="441">
        <f>industrie!I18</f>
        <v>0</v>
      </c>
      <c r="J8" s="441">
        <f>industrie!J18</f>
        <v>207.363633957583</v>
      </c>
      <c r="K8" s="441">
        <f>industrie!K18</f>
        <v>0</v>
      </c>
      <c r="L8" s="441">
        <f>industrie!L18</f>
        <v>0</v>
      </c>
      <c r="M8" s="441">
        <f>industrie!M18</f>
        <v>0</v>
      </c>
      <c r="N8" s="441">
        <f>industrie!N18</f>
        <v>2592.6323894148354</v>
      </c>
      <c r="O8" s="441">
        <f>industrie!O18</f>
        <v>0</v>
      </c>
      <c r="P8" s="442">
        <f>industrie!P18</f>
        <v>0</v>
      </c>
      <c r="Q8" s="440">
        <f t="shared" si="0"/>
        <v>59205.639140113424</v>
      </c>
    </row>
    <row r="9" spans="1:17" s="446" customFormat="1">
      <c r="A9" s="444" t="s">
        <v>549</v>
      </c>
      <c r="B9" s="445">
        <f>transport!B14</f>
        <v>13.684914846207535</v>
      </c>
      <c r="C9" s="445">
        <f>transport!C14</f>
        <v>0</v>
      </c>
      <c r="D9" s="445">
        <f>transport!D14</f>
        <v>22.789457607400514</v>
      </c>
      <c r="E9" s="445">
        <f>transport!E14</f>
        <v>102.64181724522285</v>
      </c>
      <c r="F9" s="445">
        <f>transport!F14</f>
        <v>0</v>
      </c>
      <c r="G9" s="445">
        <f>transport!G14</f>
        <v>43402.341541440903</v>
      </c>
      <c r="H9" s="445">
        <f>transport!H14</f>
        <v>7863.0994499096687</v>
      </c>
      <c r="I9" s="445">
        <f>transport!I14</f>
        <v>0</v>
      </c>
      <c r="J9" s="445">
        <f>transport!J14</f>
        <v>0</v>
      </c>
      <c r="K9" s="445">
        <f>transport!K14</f>
        <v>0</v>
      </c>
      <c r="L9" s="445">
        <f>transport!L14</f>
        <v>0</v>
      </c>
      <c r="M9" s="445">
        <f>transport!M14</f>
        <v>1601.0909406529872</v>
      </c>
      <c r="N9" s="445">
        <f>transport!N14</f>
        <v>0</v>
      </c>
      <c r="O9" s="445">
        <f>transport!O14</f>
        <v>0</v>
      </c>
      <c r="P9" s="445">
        <f>transport!P14</f>
        <v>0</v>
      </c>
      <c r="Q9" s="444">
        <f>SUM(B9:P9)</f>
        <v>53005.648121702397</v>
      </c>
    </row>
    <row r="10" spans="1:17">
      <c r="A10" s="440" t="s">
        <v>539</v>
      </c>
      <c r="B10" s="441">
        <f>transport!B54</f>
        <v>4.6834599672632686</v>
      </c>
      <c r="C10" s="441">
        <f>transport!C54</f>
        <v>0</v>
      </c>
      <c r="D10" s="441">
        <f>transport!D54</f>
        <v>0</v>
      </c>
      <c r="E10" s="441">
        <f>transport!E54</f>
        <v>0</v>
      </c>
      <c r="F10" s="441">
        <f>transport!F54</f>
        <v>0</v>
      </c>
      <c r="G10" s="441">
        <f>transport!G54</f>
        <v>835.07082766904875</v>
      </c>
      <c r="H10" s="441">
        <f>transport!H54</f>
        <v>0</v>
      </c>
      <c r="I10" s="441">
        <f>transport!I54</f>
        <v>0</v>
      </c>
      <c r="J10" s="441">
        <f>transport!J54</f>
        <v>0</v>
      </c>
      <c r="K10" s="441">
        <f>transport!K54</f>
        <v>0</v>
      </c>
      <c r="L10" s="441">
        <f>transport!L54</f>
        <v>0</v>
      </c>
      <c r="M10" s="441">
        <f>transport!M54</f>
        <v>26.067675646032864</v>
      </c>
      <c r="N10" s="441">
        <f>transport!N54</f>
        <v>0</v>
      </c>
      <c r="O10" s="441">
        <f>transport!O54</f>
        <v>0</v>
      </c>
      <c r="P10" s="442">
        <f>transport!P54</f>
        <v>0</v>
      </c>
      <c r="Q10" s="440">
        <f t="shared" si="0"/>
        <v>865.82196328234488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765.94433274999994</v>
      </c>
      <c r="C14" s="448"/>
      <c r="D14" s="448">
        <f>'SEAP template'!E25</f>
        <v>768.29609690999996</v>
      </c>
      <c r="E14" s="448"/>
      <c r="F14" s="448"/>
      <c r="G14" s="448"/>
      <c r="H14" s="448"/>
      <c r="I14" s="448"/>
      <c r="J14" s="448"/>
      <c r="K14" s="448"/>
      <c r="L14" s="448"/>
      <c r="M14" s="448"/>
      <c r="N14" s="448"/>
      <c r="O14" s="448"/>
      <c r="P14" s="449"/>
      <c r="Q14" s="440">
        <f t="shared" si="0"/>
        <v>1534.2404296599998</v>
      </c>
    </row>
    <row r="15" spans="1:17" s="450" customFormat="1">
      <c r="A15" s="956" t="s">
        <v>543</v>
      </c>
      <c r="B15" s="896">
        <f ca="1">SUM(B4:B14)</f>
        <v>80473.727836176069</v>
      </c>
      <c r="C15" s="896">
        <f t="shared" ref="C15:Q15" ca="1" si="1">SUM(C4:C14)</f>
        <v>0</v>
      </c>
      <c r="D15" s="896">
        <f t="shared" ca="1" si="1"/>
        <v>50260.71518346262</v>
      </c>
      <c r="E15" s="896">
        <f t="shared" si="1"/>
        <v>4489.6339784053744</v>
      </c>
      <c r="F15" s="896">
        <f t="shared" ca="1" si="1"/>
        <v>70556.97273578243</v>
      </c>
      <c r="G15" s="896">
        <f t="shared" si="1"/>
        <v>44237.412369109952</v>
      </c>
      <c r="H15" s="896">
        <f t="shared" si="1"/>
        <v>7863.0994499096687</v>
      </c>
      <c r="I15" s="896">
        <f t="shared" si="1"/>
        <v>0</v>
      </c>
      <c r="J15" s="896">
        <f t="shared" si="1"/>
        <v>1616.6170604038336</v>
      </c>
      <c r="K15" s="896">
        <f t="shared" si="1"/>
        <v>0</v>
      </c>
      <c r="L15" s="896">
        <f t="shared" ca="1" si="1"/>
        <v>0</v>
      </c>
      <c r="M15" s="896">
        <f t="shared" si="1"/>
        <v>1627.1586162990202</v>
      </c>
      <c r="N15" s="896">
        <f t="shared" ca="1" si="1"/>
        <v>11179.099076208227</v>
      </c>
      <c r="O15" s="896">
        <f t="shared" si="1"/>
        <v>264.20333333333338</v>
      </c>
      <c r="P15" s="896">
        <f t="shared" si="1"/>
        <v>800.80000000000007</v>
      </c>
      <c r="Q15" s="896">
        <f t="shared" ca="1" si="1"/>
        <v>273369.43963909056</v>
      </c>
    </row>
    <row r="17" spans="1:17">
      <c r="A17" s="451" t="s">
        <v>544</v>
      </c>
      <c r="B17" s="714">
        <f ca="1">huishoudens!B10</f>
        <v>0.19201466577938453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5557.2399810590123</v>
      </c>
      <c r="C22" s="441">
        <f t="shared" ref="C22:C32" ca="1" si="3">C4*$C$17</f>
        <v>0</v>
      </c>
      <c r="D22" s="441">
        <f t="shared" ref="D22:D32" si="4">D4*$D$17</f>
        <v>6068.5767102726923</v>
      </c>
      <c r="E22" s="441">
        <f t="shared" ref="E22:E32" si="5">E4*$E$17</f>
        <v>437.86971584429159</v>
      </c>
      <c r="F22" s="441">
        <f t="shared" ref="F22:F32" si="6">F4*$F$17</f>
        <v>14002.574896318532</v>
      </c>
      <c r="G22" s="441">
        <f t="shared" ref="G22:G32" si="7">G4*$G$17</f>
        <v>0</v>
      </c>
      <c r="H22" s="441">
        <f t="shared" ref="H22:H32" si="8">H4*$H$17</f>
        <v>0</v>
      </c>
      <c r="I22" s="441">
        <f t="shared" ref="I22:I32" si="9">I4*$I$17</f>
        <v>0</v>
      </c>
      <c r="J22" s="441">
        <f t="shared" ref="J22:J32" si="10">J4*$J$17</f>
        <v>342.37566279927898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26408.636966293809</v>
      </c>
    </row>
    <row r="23" spans="1:17">
      <c r="A23" s="440" t="s">
        <v>149</v>
      </c>
      <c r="B23" s="441">
        <f t="shared" ca="1" si="2"/>
        <v>2420.0945985422404</v>
      </c>
      <c r="C23" s="441">
        <f t="shared" ca="1" si="3"/>
        <v>0</v>
      </c>
      <c r="D23" s="441">
        <f t="shared" ca="1" si="4"/>
        <v>1835.2978908101493</v>
      </c>
      <c r="E23" s="441">
        <f t="shared" si="5"/>
        <v>52.348075706889773</v>
      </c>
      <c r="F23" s="441">
        <f t="shared" ca="1" si="6"/>
        <v>629.86846943175067</v>
      </c>
      <c r="G23" s="441">
        <f t="shared" si="7"/>
        <v>0</v>
      </c>
      <c r="H23" s="441">
        <f t="shared" si="8"/>
        <v>0</v>
      </c>
      <c r="I23" s="441">
        <f t="shared" si="9"/>
        <v>0</v>
      </c>
      <c r="J23" s="441">
        <f t="shared" si="10"/>
        <v>3.659825586901865E-3</v>
      </c>
      <c r="K23" s="441">
        <f t="shared" si="11"/>
        <v>0</v>
      </c>
      <c r="L23" s="441">
        <f t="shared" ca="1" si="12"/>
        <v>0</v>
      </c>
      <c r="M23" s="441">
        <f t="shared" si="13"/>
        <v>0</v>
      </c>
      <c r="N23" s="441">
        <f t="shared" ca="1" si="14"/>
        <v>0</v>
      </c>
      <c r="O23" s="441">
        <f t="shared" si="15"/>
        <v>0</v>
      </c>
      <c r="P23" s="442">
        <f t="shared" si="16"/>
        <v>0</v>
      </c>
      <c r="Q23" s="440">
        <f t="shared" ref="Q23:Q32" ca="1" si="17">SUM(B23:P23)</f>
        <v>4937.6126943166173</v>
      </c>
    </row>
    <row r="24" spans="1:17">
      <c r="A24" s="440" t="s">
        <v>187</v>
      </c>
      <c r="B24" s="441">
        <f t="shared" ca="1" si="2"/>
        <v>250.01768795935789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250.01768795935789</v>
      </c>
    </row>
    <row r="25" spans="1:17">
      <c r="A25" s="440" t="s">
        <v>105</v>
      </c>
      <c r="B25" s="441">
        <f t="shared" ca="1" si="2"/>
        <v>357.50411998482036</v>
      </c>
      <c r="C25" s="441">
        <f t="shared" ca="1" si="3"/>
        <v>0</v>
      </c>
      <c r="D25" s="441">
        <f t="shared" si="4"/>
        <v>14.267247095888116</v>
      </c>
      <c r="E25" s="441">
        <f t="shared" si="5"/>
        <v>8.372898695319229</v>
      </c>
      <c r="F25" s="441">
        <f t="shared" si="6"/>
        <v>1812.8425556477748</v>
      </c>
      <c r="G25" s="441">
        <f t="shared" si="7"/>
        <v>0</v>
      </c>
      <c r="H25" s="441">
        <f t="shared" si="8"/>
        <v>0</v>
      </c>
      <c r="I25" s="441">
        <f t="shared" si="9"/>
        <v>0</v>
      </c>
      <c r="J25" s="441">
        <f t="shared" si="10"/>
        <v>156.49639033710682</v>
      </c>
      <c r="K25" s="441">
        <f t="shared" si="11"/>
        <v>0</v>
      </c>
      <c r="L25" s="441">
        <f t="shared" si="12"/>
        <v>0</v>
      </c>
      <c r="M25" s="441">
        <f t="shared" si="13"/>
        <v>0</v>
      </c>
      <c r="N25" s="441">
        <f t="shared" si="14"/>
        <v>0</v>
      </c>
      <c r="O25" s="441">
        <f t="shared" si="15"/>
        <v>0</v>
      </c>
      <c r="P25" s="442">
        <f t="shared" si="16"/>
        <v>0</v>
      </c>
      <c r="Q25" s="440">
        <f t="shared" ca="1" si="17"/>
        <v>2349.4832117609094</v>
      </c>
    </row>
    <row r="26" spans="1:17">
      <c r="A26" s="440" t="s">
        <v>600</v>
      </c>
      <c r="B26" s="441">
        <f t="shared" ca="1" si="2"/>
        <v>6716.6800245297482</v>
      </c>
      <c r="C26" s="441">
        <f t="shared" ca="1" si="3"/>
        <v>0</v>
      </c>
      <c r="D26" s="441">
        <f t="shared" si="4"/>
        <v>2074.7233368682046</v>
      </c>
      <c r="E26" s="441">
        <f t="shared" si="5"/>
        <v>497.25653033685359</v>
      </c>
      <c r="F26" s="441">
        <f t="shared" si="6"/>
        <v>2393.4257990558531</v>
      </c>
      <c r="G26" s="441">
        <f t="shared" si="7"/>
        <v>0</v>
      </c>
      <c r="H26" s="441">
        <f t="shared" si="8"/>
        <v>0</v>
      </c>
      <c r="I26" s="441">
        <f t="shared" si="9"/>
        <v>0</v>
      </c>
      <c r="J26" s="441">
        <f t="shared" si="10"/>
        <v>73.406726420984384</v>
      </c>
      <c r="K26" s="441">
        <f t="shared" si="11"/>
        <v>0</v>
      </c>
      <c r="L26" s="441">
        <f t="shared" si="12"/>
        <v>0</v>
      </c>
      <c r="M26" s="441">
        <f t="shared" si="13"/>
        <v>0</v>
      </c>
      <c r="N26" s="441">
        <f t="shared" si="14"/>
        <v>0</v>
      </c>
      <c r="O26" s="441">
        <f t="shared" si="15"/>
        <v>0</v>
      </c>
      <c r="P26" s="442">
        <f t="shared" si="16"/>
        <v>0</v>
      </c>
      <c r="Q26" s="440">
        <f t="shared" ca="1" si="17"/>
        <v>11755.492417211643</v>
      </c>
    </row>
    <row r="27" spans="1:17" s="446" customFormat="1">
      <c r="A27" s="444" t="s">
        <v>549</v>
      </c>
      <c r="B27" s="708">
        <f t="shared" ca="1" si="2"/>
        <v>2.6277043504138775</v>
      </c>
      <c r="C27" s="445">
        <f t="shared" ca="1" si="3"/>
        <v>0</v>
      </c>
      <c r="D27" s="445">
        <f t="shared" si="4"/>
        <v>4.603470436694904</v>
      </c>
      <c r="E27" s="445">
        <f t="shared" si="5"/>
        <v>23.299692514665587</v>
      </c>
      <c r="F27" s="445">
        <f t="shared" si="6"/>
        <v>0</v>
      </c>
      <c r="G27" s="445">
        <f t="shared" si="7"/>
        <v>11588.425191564722</v>
      </c>
      <c r="H27" s="445">
        <f t="shared" si="8"/>
        <v>1957.9117630275075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13576.867821894002</v>
      </c>
    </row>
    <row r="28" spans="1:17">
      <c r="A28" s="440" t="s">
        <v>539</v>
      </c>
      <c r="B28" s="441">
        <f t="shared" ca="1" si="2"/>
        <v>0.89929300030518378</v>
      </c>
      <c r="C28" s="441">
        <f t="shared" ca="1" si="3"/>
        <v>0</v>
      </c>
      <c r="D28" s="441">
        <f t="shared" si="4"/>
        <v>0</v>
      </c>
      <c r="E28" s="441">
        <f t="shared" si="5"/>
        <v>0</v>
      </c>
      <c r="F28" s="441">
        <f t="shared" si="6"/>
        <v>0</v>
      </c>
      <c r="G28" s="441">
        <f t="shared" si="7"/>
        <v>222.96391098763604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223.86320398794123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147.07254505860493</v>
      </c>
      <c r="C32" s="441">
        <f t="shared" ca="1" si="3"/>
        <v>0</v>
      </c>
      <c r="D32" s="441">
        <f t="shared" si="4"/>
        <v>155.19581157581999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302.26835663442489</v>
      </c>
    </row>
    <row r="33" spans="1:17" s="450" customFormat="1">
      <c r="A33" s="956" t="s">
        <v>543</v>
      </c>
      <c r="B33" s="896">
        <f ca="1">SUM(B22:B32)</f>
        <v>15452.135954484505</v>
      </c>
      <c r="C33" s="896">
        <f t="shared" ref="C33:Q33" ca="1" si="18">SUM(C22:C32)</f>
        <v>0</v>
      </c>
      <c r="D33" s="896">
        <f t="shared" ca="1" si="18"/>
        <v>10152.664467059451</v>
      </c>
      <c r="E33" s="896">
        <f t="shared" si="18"/>
        <v>1019.1469130980197</v>
      </c>
      <c r="F33" s="896">
        <f t="shared" ca="1" si="18"/>
        <v>18838.711720453914</v>
      </c>
      <c r="G33" s="896">
        <f t="shared" si="18"/>
        <v>11811.389102552357</v>
      </c>
      <c r="H33" s="896">
        <f t="shared" si="18"/>
        <v>1957.9117630275075</v>
      </c>
      <c r="I33" s="896">
        <f t="shared" si="18"/>
        <v>0</v>
      </c>
      <c r="J33" s="896">
        <f t="shared" si="18"/>
        <v>572.28243938295702</v>
      </c>
      <c r="K33" s="896">
        <f t="shared" si="18"/>
        <v>0</v>
      </c>
      <c r="L33" s="896">
        <f t="shared" ca="1" si="18"/>
        <v>0</v>
      </c>
      <c r="M33" s="896">
        <f t="shared" si="18"/>
        <v>0</v>
      </c>
      <c r="N33" s="896">
        <f t="shared" ca="1" si="18"/>
        <v>0</v>
      </c>
      <c r="O33" s="896">
        <f t="shared" si="18"/>
        <v>0</v>
      </c>
      <c r="P33" s="896">
        <f t="shared" si="18"/>
        <v>0</v>
      </c>
      <c r="Q33" s="896">
        <f t="shared" ca="1" si="18"/>
        <v>59804.242360058714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10554.560621314071</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10554.560621314071</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0.19201466577938453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0.19201466577938453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2022-07-26T11:09:14Z</dcterms:modified>
</cp:coreProperties>
</file>