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B86BB886-2C16-40D5-B0E2-59E152ED6BA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<sst xmlns="http://schemas.openxmlformats.org/spreadsheetml/2006/main" count="2406" uniqueCount="887">
  <si>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</si>
  <si>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</si>
  <si>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</si>
  <si>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</si>
  <si>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</si>
  <si>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</si>
  <si>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</si>
  <si>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</si>
  <si>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</si>
  <si>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</si>
  <si>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</si>
  <si>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</si>
  <si>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</si>
  <si>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</si>
  <si>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</si>
  <si>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</si>
  <si>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</si>
  <si>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</si>
  <si>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</si>
  <si>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</si>
  <si>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</si>
  <si>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</si>
  <si>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</si>
  <si>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</si>
  <si>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</si>
  <si>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</si>
  <si>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</si>
  <si>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</si>
  <si>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</si>
  <si>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</si>
  <si>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</si>
  <si>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</si>
  <si>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</si>
  <si>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</si>
  <si>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</si>
  <si>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</si>
  <si>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</si>
  <si>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</si>
  <si>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</si>
  <si>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</si>
  <si>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</si>
  <si>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</si>
  <si>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</si>
  <si>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</si>
  <si>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</si>
  <si>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</si>
  <si>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</si>
  <si>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</si>
  <si>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</si>
  <si>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</si>
  <si>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</si>
  <si>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</si>
  <si>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</si>
  <si>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</si>
  <si>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</si>
  <si>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</si>
  <si>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</si>
  <si>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</si>
  <si>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</si>
  <si>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</si>
  <si>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</si>
  <si>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</si>
  <si>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</si>
  <si>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</si>
  <si>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</si>
  <si>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</si>
  <si>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</si>
  <si>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</si>
  <si>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</si>
  <si>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</si>
  <si>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</si>
  <si>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</si>
  <si>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</si>
  <si>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</si>
  <si>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</si>
  <si>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</si>
  <si>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</si>
  <si>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</si>
  <si>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</si>
  <si>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</si>
  <si>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</si>
  <si>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</si>
  <si>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</si>
  <si>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</si>
  <si>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</si>
  <si>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</si>
  <si>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</si>
  <si>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</si>
  <si>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</si>
  <si>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</si>
  <si>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</si>
  <si>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</si>
  <si>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</si>
  <si>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</si>
  <si>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</si>
  <si>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</si>
  <si>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</si>
  <si>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</si>
  <si>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</si>
  <si>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</si>
  <si>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</si>
  <si>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</si>
  <si>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</si>
  <si>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</si>
  <si>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</si>
  <si>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</si>
  <si>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</si>
  <si>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</si>
  <si>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</si>
  <si>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</si>
  <si>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</si>
  <si>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</si>
  <si>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</si>
  <si>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</si>
  <si>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</si>
  <si>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</si>
  <si>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</si>
  <si>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</si>
  <si>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</si>
  <si>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</si>
  <si>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</si>
  <si>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</si>
  <si>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</si>
  <si>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</si>
  <si>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</si>
  <si>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</si>
  <si>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</si>
  <si>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</si>
  <si>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</si>
  <si>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</si>
  <si>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</si>
  <si>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</si>
  <si>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</si>
  <si>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</si>
  <si>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</si>
  <si>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</si>
  <si>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</si>
  <si>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</si>
  <si>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</si>
  <si>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</si>
  <si>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</si>
  <si>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</si>
  <si>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</si>
  <si>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</si>
  <si>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</si>
  <si>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</si>
  <si>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</si>
  <si>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</si>
  <si>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</si>
  <si>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</si>
  <si>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</si>
  <si>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</si>
  <si>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</si>
  <si>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</si>
  <si>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</si>
  <si>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</si>
  <si>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</si>
  <si>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</si>
  <si>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</si>
  <si>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</si>
  <si>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</si>
  <si>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</si>
  <si>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</si>
  <si>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</si>
  <si>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</si>
  <si>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</si>
  <si>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</si>
  <si>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</si>
  <si>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</si>
  <si>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</si>
  <si>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</si>
  <si>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</si>
  <si>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</si>
  <si>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</si>
  <si>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</si>
  <si>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</si>
  <si>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</si>
  <si>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</si>
  <si>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</si>
  <si>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</si>
  <si>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</si>
  <si>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</si>
  <si>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</si>
  <si>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</si>
  <si>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</si>
  <si>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</si>
  <si>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</si>
  <si>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</si>
  <si>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</si>
  <si>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</si>
  <si>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</si>
  <si>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</si>
  <si>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</si>
  <si>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</si>
  <si>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</si>
  <si>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</si>
  <si>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</si>
  <si>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</si>
  <si>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</si>
  <si>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</si>
  <si>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</si>
  <si>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</si>
  <si>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</si>
  <si>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</si>
  <si>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</si>
  <si>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</si>
  <si>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</si>
  <si>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</si>
  <si>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</si>
  <si>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</si>
  <si>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</si>
  <si>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</si>
  <si>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</si>
  <si>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</si>
  <si>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</si>
  <si>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</si>
  <si>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</si>
  <si>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</si>
  <si>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</si>
  <si>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</si>
  <si>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</si>
  <si>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</si>
  <si>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</si>
  <si>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</si>
  <si>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</si>
  <si>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</si>
  <si>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</si>
  <si>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</si>
  <si>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</si>
  <si>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</si>
  <si>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</si>
  <si>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</si>
  <si>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</si>
  <si>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</si>
  <si>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</si>
  <si>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</si>
  <si>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</si>
  <si>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</si>
  <si>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</si>
  <si>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</si>
  <si>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</si>
  <si>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</si>
  <si>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</si>
  <si>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</si>
  <si>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</si>
  <si>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</si>
  <si>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</si>
  <si>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</si>
  <si>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</si>
  <si>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</si>
  <si>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</si>
  <si>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</si>
  <si>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</si>
  <si>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</si>
  <si>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</si>
  <si>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</si>
  <si>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</si>
  <si>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</si>
  <si>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</si>
  <si>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</si>
  <si>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</si>
  <si>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</si>
  <si>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</si>
  <si>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</si>
  <si>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</si>
  <si>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</si>
  <si>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</si>
  <si>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</si>
  <si>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</si>
  <si>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</si>
  <si>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</si>
  <si>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</si>
  <si>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</si>
  <si>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</si>
  <si>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</si>
  <si>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</si>
  <si>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</si>
  <si>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</si>
  <si>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</si>
  <si>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</si>
  <si>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</si>
  <si>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</si>
  <si>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</si>
  <si>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</si>
  <si>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</si>
  <si>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</si>
  <si>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</si>
  <si>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</si>
  <si>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</si>
  <si>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</si>
  <si>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</si>
  <si>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</si>
  <si>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</si>
  <si>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</si>
  <si>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</si>
  <si>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</si>
  <si>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</si>
  <si>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</si>
  <si>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</si>
  <si>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</si>
  <si>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</si>
  <si>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</si>
  <si>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</si>
  <si>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</si>
  <si>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</si>
  <si>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</si>
  <si>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</si>
  <si>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</si>
  <si>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</si>
  <si>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</si>
  <si>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</si>
  <si>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</si>
  <si>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</si>
  <si>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</si>
  <si>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</si>
  <si>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</si>
  <si>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</si>
  <si>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</si>
  <si>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</si>
  <si>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</si>
  <si>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</si>
  <si>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</si>
  <si>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</si>
  <si>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</si>
  <si>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</si>
  <si>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</si>
  <si>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</si>
  <si>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</si>
  <si>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</si>
  <si>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</si>
  <si>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</si>
  <si>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</si>
  <si>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</si>
  <si>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</si>
  <si>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</si>
  <si>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</si>
  <si>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</si>
  <si>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</si>
  <si>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</si>
  <si>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</si>
  <si>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</si>
  <si>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</si>
  <si>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</si>
  <si>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</si>
  <si>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</si>
  <si>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</si>
  <si>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</si>
  <si>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</si>
  <si>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</si>
  <si>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</si>
  <si>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</si>
  <si>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</si>
  <si>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</si>
  <si>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</si>
  <si>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</si>
  <si>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</si>
  <si>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</si>
  <si>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</si>
  <si>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</si>
  <si>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</si>
  <si>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</si>
  <si>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</si>
  <si>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</si>
  <si>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</si>
  <si>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</si>
  <si>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</si>
  <si>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</si>
  <si>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</si>
  <si>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</si>
  <si>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</si>
  <si>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</si>
  <si>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</si>
  <si>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</si>
  <si>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</si>
  <si>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</si>
  <si>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</si>
  <si>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</si>
  <si>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</si>
  <si>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</si>
  <si>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</si>
  <si>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</si>
  <si>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</si>
  <si>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</si>
  <si>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</si>
  <si>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</si>
  <si>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</si>
  <si>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</si>
  <si>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</si>
  <si>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</si>
  <si>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</si>
  <si>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</si>
  <si>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</si>
  <si>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</si>
  <si>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</si>
  <si>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</si>
  <si>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</si>
  <si>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</si>
  <si>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</si>
  <si>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</si>
  <si>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</si>
  <si>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</si>
  <si>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</si>
  <si>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</si>
  <si>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</si>
  <si>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</si>
  <si>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</si>
  <si>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</si>
  <si>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</si>
  <si>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</si>
  <si>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</si>
  <si>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</si>
  <si>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</si>
  <si>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</si>
  <si>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</si>
  <si>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</si>
  <si>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</si>
  <si>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</si>
  <si>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</si>
  <si>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</si>
  <si>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</si>
  <si>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</si>
  <si>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</si>
  <si>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</si>
  <si>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</si>
  <si>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</si>
  <si>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</si>
  <si>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</si>
  <si>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</si>
  <si>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</si>
  <si>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</si>
  <si>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</si>
  <si>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</si>
  <si>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</si>
  <si>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</si>
  <si>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</si>
  <si>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</si>
  <si>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</si>
  <si>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</si>
  <si>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</si>
  <si>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</si>
  <si>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</si>
  <si>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</si>
  <si>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</si>
  <si>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</si>
  <si>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</si>
  <si>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</si>
  <si>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</si>
  <si>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</si>
  <si>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</si>
  <si>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</si>
  <si>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</si>
  <si>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</si>
  <si>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</si>
  <si>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</si>
  <si>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</si>
  <si>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</si>
  <si>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</si>
  <si>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</si>
  <si>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</si>
  <si>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</si>
  <si>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</si>
  <si>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</si>
  <si>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</si>
  <si>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</si>
  <si>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</si>
  <si>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</si>
  <si>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</si>
  <si>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</si>
  <si>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</si>
  <si>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</si>
  <si>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</si>
  <si>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</si>
  <si>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</si>
  <si>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</si>
  <si>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</si>
  <si>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</si>
  <si>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</si>
  <si>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</si>
  <si>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</si>
  <si>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</si>
  <si>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</si>
  <si>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</si>
  <si>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</si>
  <si>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</si>
  <si>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</si>
  <si>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</si>
  <si>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</si>
  <si>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</si>
  <si>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</si>
  <si>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</si>
  <si>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</si>
  <si>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</si>
  <si>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</si>
  <si>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</si>
  <si>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</si>
  <si>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</si>
  <si>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</si>
  <si>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</si>
  <si>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</si>
  <si>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</si>
  <si>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</si>
  <si>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</si>
  <si>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</si>
  <si>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</si>
  <si>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</si>
  <si>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</si>
  <si>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</si>
  <si>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</si>
  <si>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</si>
  <si>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</si>
  <si>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</si>
  <si>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</si>
  <si>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</si>
  <si>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</si>
  <si>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</si>
  <si>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</si>
  <si>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</si>
  <si>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</si>
  <si>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</si>
  <si>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</si>
  <si>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</si>
  <si>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</si>
  <si>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</si>
  <si>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</si>
  <si>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</si>
  <si>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</si>
  <si>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</si>
  <si>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</si>
  <si>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</si>
  <si>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</si>
  <si>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</si>
  <si>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</si>
  <si>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</si>
  <si>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</si>
  <si>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</si>
  <si>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</si>
  <si>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</si>
  <si>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</si>
  <si>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</si>
  <si>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</si>
  <si>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</si>
  <si>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</si>
  <si>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</si>
  <si>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</si>
  <si>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</si>
  <si>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</si>
  <si>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</si>
  <si>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</si>
  <si>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</si>
  <si>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</si>
  <si>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</si>
  <si>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</si>
  <si>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</si>
  <si>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</si>
  <si>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</si>
  <si>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</si>
  <si>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</si>
  <si>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</si>
  <si>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</si>
  <si>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</si>
  <si>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</si>
  <si>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</si>
  <si>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</si>
  <si>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</si>
  <si>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</si>
  <si>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</si>
  <si>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</si>
  <si>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</si>
  <si>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</si>
  <si>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</si>
  <si>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</si>
  <si>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</si>
  <si>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</si>
  <si>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</si>
  <si>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</si>
  <si>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</si>
  <si>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</si>
  <si>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</si>
  <si>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</si>
  <si>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</si>
  <si>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</si>
  <si>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</si>
  <si>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</si>
  <si>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</si>
  <si>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</si>
  <si>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</si>
  <si>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</si>
  <si>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</si>
  <si>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</si>
  <si>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</si>
  <si>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</si>
  <si>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</si>
  <si>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</si>
  <si>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</si>
  <si>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</si>
  <si>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</si>
  <si>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</si>
  <si>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</si>
  <si>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</si>
  <si>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</si>
  <si>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</si>
  <si>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</si>
  <si>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</si>
  <si>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</si>
  <si>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</si>
  <si>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</si>
  <si>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</si>
  <si>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</si>
  <si>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</si>
  <si>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</si>
  <si>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</si>
  <si>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</si>
  <si>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</si>
  <si>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</si>
  <si>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</si>
  <si>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</si>
  <si>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</si>
  <si>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</si>
  <si>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</si>
  <si>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</si>
  <si>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</si>
  <si>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</si>
  <si>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</si>
  <si>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</si>
  <si>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</si>
  <si>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</si>
  <si>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</si>
  <si>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</si>
  <si>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</si>
  <si>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</si>
  <si>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</si>
  <si>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</si>
  <si>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</si>
  <si>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</si>
  <si>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</si>
  <si>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</si>
  <si>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</si>
  <si>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</si>
  <si>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</si>
  <si>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</si>
  <si>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</si>
  <si>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</si>
  <si>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</si>
  <si>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</si>
  <si>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</si>
  <si>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</si>
  <si>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</si>
  <si>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</si>
  <si>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</si>
  <si>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</si>
  <si>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</si>
  <si>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</si>
  <si>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</si>
  <si>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</si>
  <si>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</si>
  <si>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</si>
  <si>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</si>
  <si>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</si>
  <si>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</si>
  <si>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</si>
  <si>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</si>
  <si>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</si>
  <si>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</si>
  <si>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</si>
  <si>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</si>
  <si>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</si>
  <si>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</si>
  <si>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</si>
  <si>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</si>
  <si>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</si>
  <si>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</si>
  <si>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</si>
  <si>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</si>
  <si>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</si>
  <si>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</si>
  <si>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</si>
  <si>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</si>
  <si>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</si>
  <si>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</si>
  <si>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</si>
  <si>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</si>
  <si>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</si>
  <si>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</si>
  <si>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</si>
  <si>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</si>
  <si>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</si>
  <si>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</si>
  <si>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</si>
  <si>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</si>
  <si>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</si>
  <si>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</si>
  <si>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</si>
  <si>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</si>
  <si>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</si>
  <si>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</si>
  <si>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</si>
  <si>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</si>
  <si>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</si>
  <si>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</si>
  <si>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</si>
  <si>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</si>
  <si>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</si>
  <si>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</si>
  <si>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</si>
  <si>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</si>
  <si>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</si>
  <si>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</si>
  <si>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</si>
  <si>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</si>
  <si>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</si>
  <si>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</si>
  <si>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</si>
  <si>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</si>
  <si>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</si>
  <si>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</si>
  <si>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</si>
  <si>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</si>
  <si>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</si>
  <si>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</si>
  <si>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</si>
  <si>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</si>
  <si>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</si>
  <si>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</si>
  <si>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</si>
  <si>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</si>
  <si>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</si>
  <si>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</si>
  <si>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</si>
  <si>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</si>
  <si>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</si>
  <si>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</si>
  <si>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</si>
  <si>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</si>
  <si>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</si>
  <si>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</si>
  <si>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</si>
  <si>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</si>
  <si>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</si>
  <si>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</si>
  <si>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</si>
  <si>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</si>
  <si>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</si>
  <si>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</si>
  <si>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</si>
  <si>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</si>
  <si>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</si>
  <si>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</si>
  <si>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</si>
  <si>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</si>
  <si>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</si>
  <si>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</si>
  <si>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</si>
  <si>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</si>
  <si>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</si>
  <si>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</si>
  <si>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</si>
  <si>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</si>
  <si>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</si>
  <si>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</si>
  <si>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</si>
  <si>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</si>
  <si>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</si>
  <si>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</si>
  <si>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</si>
  <si>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</si>
  <si>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</si>
  <si>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</si>
  <si>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</si>
  <si>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</si>
  <si>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</si>
  <si>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</si>
  <si>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</si>
  <si>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</si>
  <si>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</si>
  <si>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</si>
  <si>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</si>
  <si>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</si>
  <si>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</si>
  <si>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</si>
  <si>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</si>
  <si>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</si>
  <si>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</si>
  <si>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</si>
  <si>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</si>
  <si>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</si>
  <si>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</si>
  <si>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</si>
  <si>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</si>
  <si>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</si>
  <si>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</si>
  <si>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</si>
  <si>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</si>
  <si>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</si>
  <si>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</si>
  <si>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</si>
  <si>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</si>
  <si>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</si>
  <si>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</si>
  <si>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</si>
  <si>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</si>
  <si>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</si>
  <si>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</si>
  <si>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</si>
  <si>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</si>
  <si>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</si>
  <si>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</si>
  <si>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</si>
  <si>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</si>
  <si>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</si>
  <si>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</si>
  <si>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</si>
  <si>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</si>
  <si>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</si>
  <si>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</si>
  <si>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</si>
  <si>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</si>
  <si>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</si>
  <si>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</si>
  <si>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</si>
  <si>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</si>
  <si>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</si>
  <si>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</si>
  <si>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</si>
  <si>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</si>
  <si>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</si>
  <si>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</si>
  <si>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</si>
  <si>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</si>
  <si>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</si>
  <si>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</si>
  <si>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</si>
  <si>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</si>
  <si>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</si>
  <si>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</si>
  <si>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</si>
  <si>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</si>
  <si>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</si>
  <si>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</si>
  <si>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</si>
  <si>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</si>
  <si>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</si>
  <si>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</si>
  <si>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</si>
  <si>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</si>
  <si>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</si>
  <si>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</si>
  <si>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</si>
  <si>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</si>
  <si>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</si>
  <si>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</si>
  <si>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</si>
  <si>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</si>
  <si>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</si>
  <si>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</si>
  <si>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</si>
  <si>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</si>
  <si>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</si>
  <si>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</si>
  <si>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</si>
  <si>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</si>
  <si>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</si>
  <si>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</si>
  <si>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</si>
  <si>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</si>
  <si>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</si>
  <si>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</si>
  <si>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</si>
  <si>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</si>
  <si>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</si>
  <si>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</si>
  <si>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</si>
  <si>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</si>
  <si>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</si>
  <si>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</si>
  <si>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</si>
  <si>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</si>
  <si>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</si>
  <si>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</si>
  <si>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</si>
  <si>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</si>
  <si>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</si>
  <si>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</si>
  <si>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23102</t>
  </si>
  <si>
    <t>WEMMEL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</si>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</sst>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F78ABEC1-C34E-4533-BE0D-ABFE8BB7DA8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133708.99042473064</c:v>
                </c:pt>
                <c:pt idx="1">
                  <c:v>51165.111189351046</c:v>
                </c:pt>
                <c:pt idx="2">
                  <c:v>1475.655</c:v>
                </c:pt>
                <c:pt idx="3">
                  <c:v>1064.0827650435924</c:v>
                </c:pt>
                <c:pt idx="4">
                  <c:v>4569.0732173436918</c:v>
                </c:pt>
                <c:pt idx="5">
                  <c:v>169247.46689170206</c:v>
                </c:pt>
                <c:pt idx="6">
                  <c:v>1714.7053279066527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133708.99042473064</c:v>
                </c:pt>
                <c:pt idx="1">
                  <c:v>51165.111189351046</c:v>
                </c:pt>
                <c:pt idx="2">
                  <c:v>1475.655</c:v>
                </c:pt>
                <c:pt idx="3">
                  <c:v>1064.0827650435924</c:v>
                </c:pt>
                <c:pt idx="4">
                  <c:v>4569.0732173436918</c:v>
                </c:pt>
                <c:pt idx="5">
                  <c:v>169247.46689170206</c:v>
                </c:pt>
                <c:pt idx="6">
                  <c:v>1714.7053279066527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27288.028862421921</c:v>
                </c:pt>
                <c:pt idx="2">
                  <c:v>10639.855941768894</c:v>
                </c:pt>
                <c:pt idx="3">
                  <c:v>321.68710567353628</c:v>
                </c:pt>
                <c:pt idx="4">
                  <c:v>265.25104269310486</c:v>
                </c:pt>
                <c:pt idx="5">
                  <c:v>931.07724589317615</c:v>
                </c:pt>
                <c:pt idx="6">
                  <c:v>43333.53307088164</c:v>
                </c:pt>
                <c:pt idx="7">
                  <c:v>443.58782263943823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27288.028862421921</c:v>
                </c:pt>
                <c:pt idx="2">
                  <c:v>10639.855941768894</c:v>
                </c:pt>
                <c:pt idx="3">
                  <c:v>321.68710567353628</c:v>
                </c:pt>
                <c:pt idx="4">
                  <c:v>265.25104269310486</c:v>
                </c:pt>
                <c:pt idx="5">
                  <c:v>931.07724589317615</c:v>
                </c:pt>
                <c:pt idx="6">
                  <c:v>43333.53307088164</c:v>
                </c:pt>
                <c:pt idx="7">
                  <c:v>443.58782263943823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23102</v>
      </c>
      <c r="B6" s="380"/>
      <c r="C6" s="381"/>
    </row>
    <row r="7" spans="1:7" s="378" customFormat="1" ht="15.75" customHeight="1">
      <c r="A7" s="382" t="str">
        <f>txtMunicipality</f>
        <v>WEMMEL</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0.21799614792992689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0.21799614792992689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6391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223.71</v>
      </c>
      <c r="C14" s="322"/>
      <c r="D14" s="322"/>
      <c r="E14" s="322"/>
      <c r="F14" s="322"/>
    </row>
    <row r="15" spans="1:6">
      <c r="A15" s="1248" t="s">
        <v>177</v>
      </c>
      <c r="B15" s="1249">
        <v>0</v>
      </c>
      <c r="C15" s="322"/>
      <c r="D15" s="322"/>
      <c r="E15" s="322"/>
      <c r="F15" s="322"/>
    </row>
    <row r="16" spans="1:6">
      <c r="A16" s="1248" t="s">
        <v>6</v>
      </c>
      <c r="B16" s="1249">
        <v>19</v>
      </c>
      <c r="C16" s="322"/>
      <c r="D16" s="322"/>
      <c r="E16" s="322"/>
      <c r="F16" s="322"/>
    </row>
    <row r="17" spans="1:6">
      <c r="A17" s="1248" t="s">
        <v>7</v>
      </c>
      <c r="B17" s="1249">
        <v>15</v>
      </c>
      <c r="C17" s="322"/>
      <c r="D17" s="322"/>
      <c r="E17" s="322"/>
      <c r="F17" s="322"/>
    </row>
    <row r="18" spans="1:6">
      <c r="A18" s="1248" t="s">
        <v>8</v>
      </c>
      <c r="B18" s="1249">
        <v>23</v>
      </c>
      <c r="C18" s="322"/>
      <c r="D18" s="322"/>
      <c r="E18" s="322"/>
      <c r="F18" s="322"/>
    </row>
    <row r="19" spans="1:6">
      <c r="A19" s="1248" t="s">
        <v>9</v>
      </c>
      <c r="B19" s="1249">
        <v>14</v>
      </c>
      <c r="C19" s="322"/>
      <c r="D19" s="322"/>
      <c r="E19" s="322"/>
      <c r="F19" s="322"/>
    </row>
    <row r="20" spans="1:6">
      <c r="A20" s="1248" t="s">
        <v>10</v>
      </c>
      <c r="B20" s="1249">
        <v>21</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7</v>
      </c>
      <c r="C28" s="322"/>
      <c r="D28" s="322"/>
      <c r="E28" s="322"/>
      <c r="F28" s="322"/>
    </row>
    <row r="29" spans="1:6">
      <c r="A29" s="1248" t="s">
        <v>884</v>
      </c>
      <c r="B29" s="1250">
        <v>140</v>
      </c>
      <c r="C29" s="322"/>
      <c r="D29" s="322"/>
      <c r="E29" s="322"/>
      <c r="F29" s="322"/>
    </row>
    <row r="30" spans="1:6">
      <c r="A30" s="1243" t="s">
        <v>885</v>
      </c>
      <c r="B30" s="1251">
        <v>43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1956.0342376000001</v>
      </c>
    </row>
    <row r="39" spans="1:6">
      <c r="A39" s="1248" t="s">
        <v>29</v>
      </c>
      <c r="B39" s="1248" t="s">
        <v>30</v>
      </c>
      <c r="C39" s="1249">
        <v>5040</v>
      </c>
      <c r="D39" s="1249">
        <v>86021094.864999995</v>
      </c>
      <c r="E39" s="1249">
        <v>6422</v>
      </c>
      <c r="F39" s="1249">
        <v>23202048.625</v>
      </c>
    </row>
    <row r="40" spans="1:6">
      <c r="A40" s="1248" t="s">
        <v>29</v>
      </c>
      <c r="B40" s="1248" t="s">
        <v>28</v>
      </c>
      <c r="C40" s="1249">
        <v>0</v>
      </c>
      <c r="D40" s="1249">
        <v>0</v>
      </c>
      <c r="E40" s="1249">
        <v>0</v>
      </c>
      <c r="F40" s="1249">
        <v>0</v>
      </c>
    </row>
    <row r="41" spans="1:6">
      <c r="A41" s="1248" t="s">
        <v>31</v>
      </c>
      <c r="B41" s="1248" t="s">
        <v>32</v>
      </c>
      <c r="C41" s="1249">
        <v>39</v>
      </c>
      <c r="D41" s="1249">
        <v>1094356.0888</v>
      </c>
      <c r="E41" s="1249">
        <v>121</v>
      </c>
      <c r="F41" s="1249">
        <v>432777.05570000003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46655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54212.918265</v>
      </c>
      <c r="E47" s="1249">
        <v>7</v>
      </c>
      <c r="F47" s="1249">
        <v>26306.670221</v>
      </c>
    </row>
    <row r="48" spans="1:6">
      <c r="A48" s="1248" t="s">
        <v>31</v>
      </c>
      <c r="B48" s="1248" t="s">
        <v>28</v>
      </c>
      <c r="C48" s="1249">
        <v>17</v>
      </c>
      <c r="D48" s="1249">
        <v>485350.30547000002</v>
      </c>
      <c r="E48" s="1249">
        <v>19</v>
      </c>
      <c r="F48" s="1249">
        <v>461641.17106999998</v>
      </c>
    </row>
    <row r="49" spans="1:6">
      <c r="A49" s="1248" t="s">
        <v>31</v>
      </c>
      <c r="B49" s="1248" t="s">
        <v>39</v>
      </c>
      <c r="C49" s="1249">
        <v>0</v>
      </c>
      <c r="D49" s="1249">
        <v>0</v>
      </c>
      <c r="E49" s="1249">
        <v>0</v>
      </c>
      <c r="F49" s="1249">
        <v>0</v>
      </c>
    </row>
    <row r="50" spans="1:6">
      <c r="A50" s="1248" t="s">
        <v>31</v>
      </c>
      <c r="B50" s="1248" t="s">
        <v>40</v>
      </c>
      <c r="C50" s="1249">
        <v>8</v>
      </c>
      <c r="D50" s="1249">
        <v>364658.97292999999</v>
      </c>
      <c r="E50" s="1249">
        <v>8</v>
      </c>
      <c r="F50" s="1249">
        <v>671993.19726000004</v>
      </c>
    </row>
    <row r="51" spans="1:6">
      <c r="A51" s="1248" t="s">
        <v>41</v>
      </c>
      <c r="B51" s="1248" t="s">
        <v>42</v>
      </c>
      <c r="C51" s="1249">
        <v>4</v>
      </c>
      <c r="D51" s="1249">
        <v>125301.33471</v>
      </c>
      <c r="E51" s="1249">
        <v>9</v>
      </c>
      <c r="F51" s="1249">
        <v>59720.576649000002</v>
      </c>
    </row>
    <row r="52" spans="1:6">
      <c r="A52" s="1248" t="s">
        <v>41</v>
      </c>
      <c r="B52" s="1248" t="s">
        <v>28</v>
      </c>
      <c r="C52" s="1249">
        <v>3</v>
      </c>
      <c r="D52" s="1249">
        <v>110033.21454</v>
      </c>
      <c r="E52" s="1249">
        <v>4</v>
      </c>
      <c r="F52" s="1249">
        <v>113977.70385999999</v>
      </c>
    </row>
    <row r="53" spans="1:6">
      <c r="A53" s="1248" t="s">
        <v>43</v>
      </c>
      <c r="B53" s="1248" t="s">
        <v>44</v>
      </c>
      <c r="C53" s="1249">
        <v>198</v>
      </c>
      <c r="D53" s="1249">
        <v>4106302.0828999998</v>
      </c>
      <c r="E53" s="1249">
        <v>375</v>
      </c>
      <c r="F53" s="1249">
        <v>1286377.5359</v>
      </c>
    </row>
    <row r="54" spans="1:6">
      <c r="A54" s="1248" t="s">
        <v>45</v>
      </c>
      <c r="B54" s="1248" t="s">
        <v>46</v>
      </c>
      <c r="C54" s="1249">
        <v>0</v>
      </c>
      <c r="D54" s="1249">
        <v>0</v>
      </c>
      <c r="E54" s="1249">
        <v>1</v>
      </c>
      <c r="F54" s="1249">
        <v>1475655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32</v>
      </c>
      <c r="D57" s="1249">
        <v>1062077.2382</v>
      </c>
      <c r="E57" s="1249">
        <v>109</v>
      </c>
      <c r="F57" s="1249">
        <v>2684043.5378999999</v>
      </c>
    </row>
    <row r="58" spans="1:6">
      <c r="A58" s="1248" t="s">
        <v>48</v>
      </c>
      <c r="B58" s="1248" t="s">
        <v>50</v>
      </c>
      <c r="C58" s="1249">
        <v>32</v>
      </c>
      <c r="D58" s="1249">
        <v>1120630.0105000001</v>
      </c>
      <c r="E58" s="1249">
        <v>43</v>
      </c>
      <c r="F58" s="1249">
        <v>382644.73485000001</v>
      </c>
    </row>
    <row r="59" spans="1:6">
      <c r="A59" s="1248" t="s">
        <v>48</v>
      </c>
      <c r="B59" s="1248" t="s">
        <v>51</v>
      </c>
      <c r="C59" s="1249">
        <v>63</v>
      </c>
      <c r="D59" s="1249">
        <v>3232912.8237000001</v>
      </c>
      <c r="E59" s="1249">
        <v>160</v>
      </c>
      <c r="F59" s="1249">
        <v>5347378.6945000002</v>
      </c>
    </row>
    <row r="60" spans="1:6">
      <c r="A60" s="1248" t="s">
        <v>48</v>
      </c>
      <c r="B60" s="1248" t="s">
        <v>52</v>
      </c>
      <c r="C60" s="1249">
        <v>69</v>
      </c>
      <c r="D60" s="1249">
        <v>4347555.1933000004</v>
      </c>
      <c r="E60" s="1249">
        <v>91</v>
      </c>
      <c r="F60" s="1249">
        <v>2840852.7267</v>
      </c>
    </row>
    <row r="61" spans="1:6">
      <c r="A61" s="1248" t="s">
        <v>48</v>
      </c>
      <c r="B61" s="1248" t="s">
        <v>53</v>
      </c>
      <c r="C61" s="1249">
        <v>242</v>
      </c>
      <c r="D61" s="1249">
        <v>10035677.33</v>
      </c>
      <c r="E61" s="1249">
        <v>409</v>
      </c>
      <c r="F61" s="1249">
        <v>4427125.1670000004</v>
      </c>
    </row>
    <row r="62" spans="1:6">
      <c r="A62" s="1248" t="s">
        <v>48</v>
      </c>
      <c r="B62" s="1248" t="s">
        <v>54</v>
      </c>
      <c r="C62" s="1249">
        <v>5</v>
      </c>
      <c r="D62" s="1249">
        <v>3702658.5762</v>
      </c>
      <c r="E62" s="1249">
        <v>9</v>
      </c>
      <c r="F62" s="1249">
        <v>709906.65382000001</v>
      </c>
    </row>
    <row r="63" spans="1:6">
      <c r="A63" s="1248" t="s">
        <v>48</v>
      </c>
      <c r="B63" s="1248" t="s">
        <v>28</v>
      </c>
      <c r="C63" s="1249">
        <v>81</v>
      </c>
      <c r="D63" s="1249">
        <v>5743065.0595000004</v>
      </c>
      <c r="E63" s="1249">
        <v>87</v>
      </c>
      <c r="F63" s="1249">
        <v>2355888.1993</v>
      </c>
    </row>
    <row r="64" spans="1:6">
      <c r="A64" s="1248" t="s">
        <v>55</v>
      </c>
      <c r="B64" s="1248" t="s">
        <v>56</v>
      </c>
      <c r="C64" s="1249">
        <v>0</v>
      </c>
      <c r="D64" s="1249">
        <v>0</v>
      </c>
      <c r="E64" s="1249">
        <v>0</v>
      </c>
      <c r="F64" s="1249">
        <v>0</v>
      </c>
    </row>
    <row r="65" spans="1:6">
      <c r="A65" s="1248" t="s">
        <v>55</v>
      </c>
      <c r="B65" s="1248" t="s">
        <v>28</v>
      </c>
      <c r="C65" s="1249">
        <v>3</v>
      </c>
      <c r="D65" s="1249">
        <v>83475.577942000004</v>
      </c>
      <c r="E65" s="1249">
        <v>3</v>
      </c>
      <c r="F65" s="1249">
        <v>11946.368348</v>
      </c>
    </row>
    <row r="66" spans="1:6">
      <c r="A66" s="1248" t="s">
        <v>55</v>
      </c>
      <c r="B66" s="1248" t="s">
        <v>57</v>
      </c>
      <c r="C66" s="1249">
        <v>0</v>
      </c>
      <c r="D66" s="1249">
        <v>0</v>
      </c>
      <c r="E66" s="1249">
        <v>3</v>
      </c>
      <c r="F66" s="1249">
        <v>261216.01292000001</v>
      </c>
    </row>
    <row r="67" spans="1:6">
      <c r="A67" s="1248" t="s">
        <v>55</v>
      </c>
      <c r="B67" s="1248" t="s">
        <v>58</v>
      </c>
      <c r="C67" s="1249">
        <v>0</v>
      </c>
      <c r="D67" s="1249">
        <v>0</v>
      </c>
      <c r="E67" s="1249">
        <v>0</v>
      </c>
      <c r="F67" s="1249">
        <v>0</v>
      </c>
    </row>
    <row r="68" spans="1:6">
      <c r="A68" s="1243" t="s">
        <v>55</v>
      </c>
      <c r="B68" s="1243" t="s">
        <v>59</v>
      </c>
      <c r="C68" s="1251">
        <v>8</v>
      </c>
      <c r="D68" s="1251">
        <v>105946.86185</v>
      </c>
      <c r="E68" s="1251">
        <v>11</v>
      </c>
      <c r="F68" s="1251">
        <v>45263.996950000001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43956166</v>
      </c>
      <c r="E73" s="439"/>
      <c r="F73" s="322"/>
    </row>
    <row r="74" spans="1:6">
      <c r="A74" s="1248" t="s">
        <v>63</v>
      </c>
      <c r="B74" s="1248" t="s">
        <v>626</v>
      </c>
      <c r="C74" s="1261" t="s">
        <v>628</v>
      </c>
      <c r="D74" s="1249">
        <v>979428.88950431824</v>
      </c>
      <c r="E74" s="439"/>
      <c r="F74" s="322"/>
    </row>
    <row r="75" spans="1:6">
      <c r="A75" s="1248" t="s">
        <v>64</v>
      </c>
      <c r="B75" s="1248" t="s">
        <v>625</v>
      </c>
      <c r="C75" s="1261" t="s">
        <v>629</v>
      </c>
      <c r="D75" s="1249">
        <v>13285820</v>
      </c>
      <c r="E75" s="439"/>
      <c r="F75" s="322"/>
    </row>
    <row r="76" spans="1:6">
      <c r="A76" s="1248" t="s">
        <v>64</v>
      </c>
      <c r="B76" s="1248" t="s">
        <v>626</v>
      </c>
      <c r="C76" s="1261" t="s">
        <v>630</v>
      </c>
      <c r="D76" s="1249">
        <v>125616.88950431827</v>
      </c>
      <c r="E76" s="439"/>
      <c r="F76" s="322"/>
    </row>
    <row r="77" spans="1:6">
      <c r="A77" s="1248" t="s">
        <v>65</v>
      </c>
      <c r="B77" s="1248" t="s">
        <v>625</v>
      </c>
      <c r="C77" s="1261" t="s">
        <v>631</v>
      </c>
      <c r="D77" s="1249">
        <v>129634037</v>
      </c>
      <c r="E77" s="439"/>
      <c r="F77" s="322"/>
    </row>
    <row r="78" spans="1:6">
      <c r="A78" s="1243" t="s">
        <v>65</v>
      </c>
      <c r="B78" s="1243" t="s">
        <v>626</v>
      </c>
      <c r="C78" s="1243" t="s">
        <v>632</v>
      </c>
      <c r="D78" s="1251">
        <v>15344082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463768.22099136346</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620.01972126737746</v>
      </c>
      <c r="C91" s="322"/>
      <c r="D91" s="322"/>
      <c r="E91" s="322"/>
      <c r="F91" s="322"/>
    </row>
    <row r="92" spans="1:6">
      <c r="A92" s="1243" t="s">
        <v>68</v>
      </c>
      <c r="B92" s="1244">
        <v>21.588840641144536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3562</v>
      </c>
      <c r="C97" s="322"/>
      <c r="D97" s="322"/>
      <c r="E97" s="322"/>
      <c r="F97" s="322"/>
    </row>
    <row r="98" spans="1:6">
      <c r="A98" s="1248" t="s">
        <v>71</v>
      </c>
      <c r="B98" s="1249">
        <v>0</v>
      </c>
      <c r="C98" s="322"/>
      <c r="D98" s="322"/>
      <c r="E98" s="322"/>
      <c r="F98" s="322"/>
    </row>
    <row r="99" spans="1:6">
      <c r="A99" s="1248" t="s">
        <v>72</v>
      </c>
      <c r="B99" s="1249">
        <v>15</v>
      </c>
      <c r="C99" s="322"/>
      <c r="D99" s="322"/>
      <c r="E99" s="322"/>
      <c r="F99" s="322"/>
    </row>
    <row r="100" spans="1:6">
      <c r="A100" s="1248" t="s">
        <v>73</v>
      </c>
      <c r="B100" s="1249">
        <v>277</v>
      </c>
      <c r="C100" s="322"/>
      <c r="D100" s="322"/>
      <c r="E100" s="322"/>
      <c r="F100" s="322"/>
    </row>
    <row r="101" spans="1:6">
      <c r="A101" s="1248" t="s">
        <v>74</v>
      </c>
      <c r="B101" s="1249">
        <v>7</v>
      </c>
      <c r="C101" s="322"/>
      <c r="D101" s="322"/>
      <c r="E101" s="322"/>
      <c r="F101" s="322"/>
    </row>
    <row r="102" spans="1:6">
      <c r="A102" s="1248" t="s">
        <v>75</v>
      </c>
      <c r="B102" s="1249">
        <v>118</v>
      </c>
      <c r="C102" s="322"/>
      <c r="D102" s="322"/>
      <c r="E102" s="322"/>
      <c r="F102" s="322"/>
    </row>
    <row r="103" spans="1:6">
      <c r="A103" s="1248" t="s">
        <v>76</v>
      </c>
      <c r="B103" s="1249">
        <v>26</v>
      </c>
      <c r="C103" s="322"/>
      <c r="D103" s="322"/>
      <c r="E103" s="322"/>
      <c r="F103" s="322"/>
    </row>
    <row r="104" spans="1:6">
      <c r="A104" s="1248" t="s">
        <v>77</v>
      </c>
      <c r="B104" s="1249">
        <v>1689</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9</v>
      </c>
      <c r="C123" s="1249">
        <v>10</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28</v>
      </c>
      <c r="C129" s="322"/>
      <c r="D129" s="322"/>
      <c r="E129" s="322"/>
      <c r="F129" s="322"/>
    </row>
    <row r="130" spans="1:6">
      <c r="A130" s="1248" t="s">
        <v>284</v>
      </c>
      <c r="B130" s="1249">
        <v>0</v>
      </c>
      <c r="C130" s="322"/>
      <c r="D130" s="322"/>
      <c r="E130" s="322"/>
      <c r="F130" s="322"/>
    </row>
    <row r="131" spans="1:6">
      <c r="A131" s="1248" t="s">
        <v>285</v>
      </c>
      <c r="B131" s="1249">
        <v>4</v>
      </c>
      <c r="C131" s="322"/>
      <c r="D131" s="322"/>
      <c r="E131" s="322"/>
      <c r="F131" s="322"/>
    </row>
    <row r="132" spans="1:6">
      <c r="A132" s="1243" t="s">
        <v>286</v>
      </c>
      <c r="B132" s="1244">
        <v>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47204.552312834603</v>
      </c>
      <c r="C3" s="43" t="s">
        <v>163</v>
      </c>
      <c r="D3" s="43"/>
      <c r="E3" s="153"/>
      <c r="F3" s="43"/>
      <c r="G3" s="43"/>
      <c r="H3" s="43"/>
      <c r="I3" s="43"/>
      <c r="J3" s="43"/>
      <c r="K3" s="96"/>
    </row>
    <row r="4" spans="1:11">
      <c r="A4" s="348" t="s">
        <v>164</v>
      </c>
      <c r="B4" s="49">
        <f>IF(ISERROR('SEAP template'!B78+'SEAP template'!C78),0,'SEAP template'!B78+'SEAP template'!C78)</f>
        <v>641.60856190852201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0.21799614792992689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1475.655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1475.655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0.21799614792992689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321.68710567353628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23202.048624999999</v>
      </c>
      <c r="C5" s="17">
        <f>IF(ISERROR('Eigen informatie GS &amp; warmtenet'!B57),0,'Eigen informatie GS &amp; warmtenet'!B57)</f>
        <v>0</v>
      </c>
      <c r="D5" s="30">
        <f>(SUM(HH_hh_gas_kWh,HH_rest_gas_kWh)/1000)*0.902</f>
        <v>77591.027568229998</v>
      </c>
      <c r="E5" s="17">
        <f>B32*B41</f>
        <v>837.91456721154964</v>
      </c>
      <c r="F5" s="17">
        <f>B36*B45</f>
        <v>22781.238538148631</v>
      </c>
      <c r="G5" s="18"/>
      <c r="H5" s="17"/>
      <c r="I5" s="17"/>
      <c r="J5" s="17">
        <f>B35*B44+C35*C44</f>
        <v>420.12672877688755</v>
      </c>
      <c r="K5" s="17"/>
      <c r="L5" s="17"/>
      <c r="M5" s="17"/>
      <c r="N5" s="17">
        <f>B34*B43+C34*C43</f>
        <v>7968.4080094295205</v>
      </c>
      <c r="O5" s="17">
        <f>B52*B53*B54</f>
        <v>59.406666666666666</v>
      </c>
      <c r="P5" s="17">
        <f>B60*B61*B62/1000-B60*B61*B62/1000/B63</f>
        <v>228.8</v>
      </c>
    </row>
    <row r="6" spans="1:16">
      <c r="A6" s="16" t="s">
        <v>586</v>
      </c>
      <c r="B6" s="716">
        <f>kWh_PV_kleiner_dan_10kW</f>
        <v>620.01972126737746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23822.068346267377</v>
      </c>
      <c r="C8" s="21">
        <f>C5</f>
        <v>0</v>
      </c>
      <c r="D8" s="21">
        <f>D5</f>
        <v>77591.027568229998</v>
      </c>
      <c r="E8" s="21">
        <f>E5</f>
        <v>837.91456721154964</v>
      </c>
      <c r="F8" s="21">
        <f>F5</f>
        <v>22781.238538148631</v>
      </c>
      <c r="G8" s="21"/>
      <c r="H8" s="21"/>
      <c r="I8" s="21"/>
      <c r="J8" s="21">
        <f>J5</f>
        <v>420.12672877688755</v>
      </c>
      <c r="K8" s="21"/>
      <c r="L8" s="21">
        <f>L5</f>
        <v>0</v>
      </c>
      <c r="M8" s="21">
        <f>M5</f>
        <v>0</v>
      </c>
      <c r="N8" s="21">
        <f>N5</f>
        <v>7968.4080094295205</v>
      </c>
      <c r="O8" s="21">
        <f>O5</f>
        <v>59.406666666666666</v>
      </c>
      <c r="P8" s="21">
        <f>P5</f>
        <v>228.8</v>
      </c>
    </row>
    <row r="9" spans="1:16">
      <c r="B9" s="19"/>
      <c r="C9" s="19"/>
      <c r="D9" s="253"/>
      <c r="E9" s="19"/>
      <c r="F9" s="19"/>
      <c r="G9" s="19"/>
      <c r="H9" s="19"/>
      <c r="I9" s="19"/>
      <c r="J9" s="19"/>
      <c r="K9" s="19"/>
      <c r="L9" s="19"/>
      <c r="M9" s="19"/>
      <c r="N9" s="19"/>
      <c r="O9" s="19"/>
      <c r="P9" s="19"/>
    </row>
    <row r="10" spans="1:16">
      <c r="A10" s="24" t="s">
        <v>207</v>
      </c>
      <c r="B10" s="25">
        <f ca="1">'EF ele_warmte'!B12</f>
        <v>0.21799614792992689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5193.1191352097321</v>
      </c>
      <c r="C12" s="23">
        <f ca="1">C10*C8</f>
        <v>0</v>
      </c>
      <c r="D12" s="23">
        <f>D8*D10</f>
        <v>15673.38756878246</v>
      </c>
      <c r="E12" s="23">
        <f>E10*E8</f>
        <v>190.20660675702177</v>
      </c>
      <c r="F12" s="23">
        <f>F10*F8</f>
        <v>6082.590689685685</v>
      </c>
      <c r="G12" s="23"/>
      <c r="H12" s="23"/>
      <c r="I12" s="23"/>
      <c r="J12" s="23">
        <f>J10*J8</f>
        <v>148.72486198701819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6391</v>
      </c>
      <c r="C26" s="36"/>
      <c r="D26" s="224"/>
    </row>
    <row r="27" spans="1:5" s="15" customFormat="1">
      <c r="A27" s="226" t="s">
        <v>655</v>
      </c>
      <c r="B27" s="37">
        <f>SUM(HH_hh_gas_aantal,HH_rest_gas_aantal)</f>
        <v>5040</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4788</v>
      </c>
      <c r="C31" s="34" t="s">
        <v>104</v>
      </c>
      <c r="D31" s="170"/>
    </row>
    <row r="32" spans="1:5">
      <c r="A32" s="167" t="s">
        <v>72</v>
      </c>
      <c r="B32" s="33">
        <f>IF((B21*($B$26-($B$27-0.05*$B$27)-$B$60))&lt;0,0,B21*($B$26-($B$27-0.05*$B$27)-$B$60))</f>
        <v>10.267402088432426</v>
      </c>
      <c r="C32" s="34" t="s">
        <v>104</v>
      </c>
      <c r="D32" s="170"/>
    </row>
    <row r="33" spans="1:6">
      <c r="A33" s="167" t="s">
        <v>73</v>
      </c>
      <c r="B33" s="33">
        <f>IF((B22*($B$26-($B$27-0.05*$B$27)-$B$60))&lt;0,0,B22*($B$26-($B$27-0.05*$B$27)-$B$60))</f>
        <v>357.54823925966878</v>
      </c>
      <c r="C33" s="34" t="s">
        <v>104</v>
      </c>
      <c r="D33" s="170"/>
    </row>
    <row r="34" spans="1:6">
      <c r="A34" s="167" t="s">
        <v>74</v>
      </c>
      <c r="B34" s="33">
        <f>IF((B24*($B$26-($B$27-0.05*$B$27)-$B$60))&lt;0,0,B24*($B$26-($B$27-0.05*$B$27)-$B$60))</f>
        <v>71.001753571038762</v>
      </c>
      <c r="C34" s="33">
        <f>B26*C24</f>
        <v>1307.9970174878706</v>
      </c>
      <c r="D34" s="229"/>
    </row>
    <row r="35" spans="1:6">
      <c r="A35" s="167" t="s">
        <v>76</v>
      </c>
      <c r="B35" s="33">
        <f>IF((B19*($B$26-($B$27-0.05*$B$27)-$B$60))&lt;0,0,B19*($B$26-($B$27-0.05*$B$27)-$B$60))</f>
        <v>34.673732943399116</v>
      </c>
      <c r="C35" s="33">
        <f>B35/2</f>
        <v>17.336866471699558</v>
      </c>
      <c r="D35" s="229"/>
    </row>
    <row r="36" spans="1:6">
      <c r="A36" s="167" t="s">
        <v>77</v>
      </c>
      <c r="B36" s="33">
        <f>IF((B18*($B$26-($B$27-0.05*$B$27)-$B$60))&lt;0,0,B18*($B$26-($B$27-0.05*$B$27)-$B$60))</f>
        <v>1117.5088721374614</v>
      </c>
      <c r="C36" s="34" t="s">
        <v>104</v>
      </c>
      <c r="D36" s="170"/>
    </row>
    <row r="37" spans="1:6">
      <c r="A37" s="167" t="s">
        <v>78</v>
      </c>
      <c r="B37" s="33">
        <f>B60</f>
        <v>12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18747.83971407</v>
      </c>
      <c r="C5" s="17">
        <f>IF(ISERROR('Eigen informatie GS &amp; warmtenet'!B58),0,'Eigen informatie GS &amp; warmtenet'!B58)</f>
        <v>0</v>
      </c>
      <c r="D5" s="30">
        <f>SUM(D6:D12)</f>
        <v>26378.607760722804</v>
      </c>
      <c r="E5" s="17">
        <f>SUM(E6:E12)</f>
        <v>287.02380726130531</v>
      </c>
      <c r="F5" s="17">
        <f>SUM(F6:F12)</f>
        <v>4341.7700149746452</v>
      </c>
      <c r="G5" s="18"/>
      <c r="H5" s="17"/>
      <c r="I5" s="17"/>
      <c r="J5" s="17">
        <f>SUM(J6:J12)</f>
        <v>3.7672828751085033E-2</v>
      </c>
      <c r="K5" s="17"/>
      <c r="L5" s="17"/>
      <c r="M5" s="17"/>
      <c r="N5" s="17">
        <f>SUM(N6:N12)</f>
        <v>1333.5655528268712</v>
      </c>
      <c r="O5" s="17">
        <f>B38*B39*B40</f>
        <v>0</v>
      </c>
      <c r="P5" s="17">
        <f>B46*B47*B48/1000-B46*B47*B48/1000/B49</f>
        <v>76.266666666666666</v>
      </c>
      <c r="R5" s="32"/>
    </row>
    <row r="6" spans="1:18">
      <c r="A6" s="32" t="s">
        <v>53</v>
      </c>
      <c r="B6" s="37">
        <f>B26</f>
        <v>4427.1251670000001</v>
      </c>
      <c r="C6" s="33"/>
      <c r="D6" s="37">
        <f>IF(ISERROR(TER_kantoor_gas_kWh/1000),0,TER_kantoor_gas_kWh/1000)*0.902</f>
        <v>9052.1809516600006</v>
      </c>
      <c r="E6" s="33">
        <f>$C$26*'E Balans VL '!I12/100/3.6*1000000</f>
        <v>2.5204357868132746E-18</v>
      </c>
      <c r="F6" s="33">
        <f>$C$26*('E Balans VL '!L12+'E Balans VL '!N12)/100/3.6*1000000</f>
        <v>598.4743760357519</v>
      </c>
      <c r="G6" s="34"/>
      <c r="H6" s="33"/>
      <c r="I6" s="33"/>
      <c r="J6" s="33">
        <f>$C$26*('E Balans VL '!D12+'E Balans VL '!E12)/100/3.6*1000000</f>
        <v>0</v>
      </c>
      <c r="K6" s="33"/>
      <c r="L6" s="33"/>
      <c r="M6" s="33"/>
      <c r="N6" s="33">
        <f>$C$26*'E Balans VL '!Y12/100/3.6*1000000</f>
        <v>5.5639967823097551</v>
      </c>
      <c r="O6" s="33"/>
      <c r="P6" s="33"/>
      <c r="R6" s="32"/>
    </row>
    <row r="7" spans="1:18">
      <c r="A7" s="32" t="s">
        <v>52</v>
      </c>
      <c r="B7" s="37">
        <f t="shared" ref="B7:B12" si="0">B27</f>
        <v>2840.8527266999999</v>
      </c>
      <c r="C7" s="33"/>
      <c r="D7" s="37">
        <f>IF(ISERROR(TER_horeca_gas_kWh/1000),0,TER_horeca_gas_kWh/1000)*0.902</f>
        <v>3921.4947843566006</v>
      </c>
      <c r="E7" s="33">
        <f>$C$27*'E Balans VL '!I9/100/3.6*1000000</f>
        <v>36.283469910674043</v>
      </c>
      <c r="F7" s="33">
        <f>$C$27*('E Balans VL '!L9+'E Balans VL '!N9)/100/3.6*1000000</f>
        <v>320.86155104495225</v>
      </c>
      <c r="G7" s="34"/>
      <c r="H7" s="33"/>
      <c r="I7" s="33"/>
      <c r="J7" s="33">
        <f>$C$27*('E Balans VL '!D9+'E Balans VL '!E9)/100/3.6*1000000</f>
        <v>0</v>
      </c>
      <c r="K7" s="33"/>
      <c r="L7" s="33"/>
      <c r="M7" s="33"/>
      <c r="N7" s="33">
        <f>$C$27*'E Balans VL '!Y9/100/3.6*1000000</f>
        <v>0.67698726351472316</v>
      </c>
      <c r="O7" s="33"/>
      <c r="P7" s="33"/>
      <c r="R7" s="32"/>
    </row>
    <row r="8" spans="1:18">
      <c r="A8" s="6" t="s">
        <v>51</v>
      </c>
      <c r="B8" s="37">
        <f t="shared" si="0"/>
        <v>5347.3786945000002</v>
      </c>
      <c r="C8" s="33"/>
      <c r="D8" s="37">
        <f>IF(ISERROR(TER_handel_gas_kWh/1000),0,TER_handel_gas_kWh/1000)*0.902</f>
        <v>2916.0873669774001</v>
      </c>
      <c r="E8" s="33">
        <f>$C$28*'E Balans VL '!I13/100/3.6*1000000</f>
        <v>174.63670875750165</v>
      </c>
      <c r="F8" s="33">
        <f>$C$28*('E Balans VL '!L13+'E Balans VL '!N13)/100/3.6*1000000</f>
        <v>925.85517264141981</v>
      </c>
      <c r="G8" s="34"/>
      <c r="H8" s="33"/>
      <c r="I8" s="33"/>
      <c r="J8" s="33">
        <f>$C$28*('E Balans VL '!D13+'E Balans VL '!E13)/100/3.6*1000000</f>
        <v>0</v>
      </c>
      <c r="K8" s="33"/>
      <c r="L8" s="33"/>
      <c r="M8" s="33"/>
      <c r="N8" s="33">
        <f>$C$28*'E Balans VL '!Y13/100/3.6*1000000</f>
        <v>6.2937163881317923</v>
      </c>
      <c r="O8" s="33"/>
      <c r="P8" s="33"/>
      <c r="R8" s="32"/>
    </row>
    <row r="9" spans="1:18">
      <c r="A9" s="32" t="s">
        <v>50</v>
      </c>
      <c r="B9" s="37">
        <f t="shared" si="0"/>
        <v>382.64473485000002</v>
      </c>
      <c r="C9" s="33"/>
      <c r="D9" s="37">
        <f>IF(ISERROR(TER_gezond_gas_kWh/1000),0,TER_gezond_gas_kWh/1000)*0.902</f>
        <v>1010.808269471</v>
      </c>
      <c r="E9" s="33">
        <f>$C$29*'E Balans VL '!I10/100/3.6*1000000</f>
        <v>2.1367843459703304E-2</v>
      </c>
      <c r="F9" s="33">
        <f>$C$29*('E Balans VL '!L10+'E Balans VL '!N10)/100/3.6*1000000</f>
        <v>50.699003875318006</v>
      </c>
      <c r="G9" s="34"/>
      <c r="H9" s="33"/>
      <c r="I9" s="33"/>
      <c r="J9" s="33">
        <f>$C$29*('E Balans VL '!D10+'E Balans VL '!E10)/100/3.6*1000000</f>
        <v>0</v>
      </c>
      <c r="K9" s="33"/>
      <c r="L9" s="33"/>
      <c r="M9" s="33"/>
      <c r="N9" s="33">
        <f>$C$29*'E Balans VL '!Y10/100/3.6*1000000</f>
        <v>4.0557770019108821</v>
      </c>
      <c r="O9" s="33"/>
      <c r="P9" s="33"/>
      <c r="R9" s="32"/>
    </row>
    <row r="10" spans="1:18">
      <c r="A10" s="32" t="s">
        <v>49</v>
      </c>
      <c r="B10" s="37">
        <f t="shared" si="0"/>
        <v>2684.0435379</v>
      </c>
      <c r="C10" s="33"/>
      <c r="D10" s="37">
        <f>IF(ISERROR(TER_ander_gas_kWh/1000),0,TER_ander_gas_kWh/1000)*0.902</f>
        <v>957.99366885640006</v>
      </c>
      <c r="E10" s="33">
        <f>$C$30*'E Balans VL '!I14/100/3.6*1000000</f>
        <v>34.660195449197218</v>
      </c>
      <c r="F10" s="33">
        <f>$C$30*('E Balans VL '!L14+'E Balans VL '!N14)/100/3.6*1000000</f>
        <v>1771.6601801133477</v>
      </c>
      <c r="G10" s="34"/>
      <c r="H10" s="33"/>
      <c r="I10" s="33"/>
      <c r="J10" s="33">
        <f>$C$30*('E Balans VL '!D14+'E Balans VL '!E14)/100/3.6*1000000</f>
        <v>3.2515078743379451E-2</v>
      </c>
      <c r="K10" s="33"/>
      <c r="L10" s="33"/>
      <c r="M10" s="33"/>
      <c r="N10" s="33">
        <f>$C$30*'E Balans VL '!Y14/100/3.6*1000000</f>
        <v>1131.8502316653658</v>
      </c>
      <c r="O10" s="33"/>
      <c r="P10" s="33"/>
      <c r="R10" s="32"/>
    </row>
    <row r="11" spans="1:18">
      <c r="A11" s="32" t="s">
        <v>54</v>
      </c>
      <c r="B11" s="37">
        <f t="shared" si="0"/>
        <v>709.90665381999997</v>
      </c>
      <c r="C11" s="33"/>
      <c r="D11" s="37">
        <f>IF(ISERROR(TER_onderwijs_gas_kWh/1000),0,TER_onderwijs_gas_kWh/1000)*0.902</f>
        <v>3339.7980357324</v>
      </c>
      <c r="E11" s="33">
        <f>$C$31*'E Balans VL '!I11/100/3.6*1000000</f>
        <v>9.553582453234295</v>
      </c>
      <c r="F11" s="33">
        <f>$C$31*('E Balans VL '!L11+'E Balans VL '!N11)/100/3.6*1000000</f>
        <v>110.94227689564583</v>
      </c>
      <c r="G11" s="34"/>
      <c r="H11" s="33"/>
      <c r="I11" s="33"/>
      <c r="J11" s="33">
        <f>$C$31*('E Balans VL '!D11+'E Balans VL '!E11)/100/3.6*1000000</f>
        <v>0</v>
      </c>
      <c r="K11" s="33"/>
      <c r="L11" s="33"/>
      <c r="M11" s="33"/>
      <c r="N11" s="33">
        <f>$C$31*'E Balans VL '!Y11/100/3.6*1000000</f>
        <v>1.6392081028426604</v>
      </c>
      <c r="O11" s="33"/>
      <c r="P11" s="33"/>
      <c r="R11" s="32"/>
    </row>
    <row r="12" spans="1:18">
      <c r="A12" s="32" t="s">
        <v>249</v>
      </c>
      <c r="B12" s="37">
        <f t="shared" si="0"/>
        <v>2355.8881993</v>
      </c>
      <c r="C12" s="33"/>
      <c r="D12" s="37">
        <f>IF(ISERROR(TER_rest_gas_kWh/1000),0,TER_rest_gas_kWh/1000)*0.902</f>
        <v>5180.2446836690006</v>
      </c>
      <c r="E12" s="33">
        <f>$C$32*'E Balans VL '!I8/100/3.6*1000000</f>
        <v>31.86848284723839</v>
      </c>
      <c r="F12" s="33">
        <f>$C$32*('E Balans VL '!L8+'E Balans VL '!N8)/100/3.6*1000000</f>
        <v>563.27745436820931</v>
      </c>
      <c r="G12" s="34"/>
      <c r="H12" s="33"/>
      <c r="I12" s="33"/>
      <c r="J12" s="33">
        <f>$C$32*('E Balans VL '!D8+'E Balans VL '!E8)/100/3.6*1000000</f>
        <v>5.1577500077055792E-3</v>
      </c>
      <c r="K12" s="33"/>
      <c r="L12" s="33"/>
      <c r="M12" s="33"/>
      <c r="N12" s="33">
        <f>$C$32*'E Balans VL '!Y8/100/3.6*1000000</f>
        <v>183.48563562279566</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18747.83971407</v>
      </c>
      <c r="C16" s="21">
        <f t="shared" ca="1" si="1"/>
        <v>0</v>
      </c>
      <c r="D16" s="21">
        <f t="shared" ca="1" si="1"/>
        <v>26378.607760722804</v>
      </c>
      <c r="E16" s="21">
        <f t="shared" si="1"/>
        <v>287.02380726130531</v>
      </c>
      <c r="F16" s="21">
        <f t="shared" ca="1" si="1"/>
        <v>4341.7700149746452</v>
      </c>
      <c r="G16" s="21">
        <f t="shared" si="1"/>
        <v>0</v>
      </c>
      <c r="H16" s="21">
        <f t="shared" si="1"/>
        <v>0</v>
      </c>
      <c r="I16" s="21">
        <f t="shared" si="1"/>
        <v>0</v>
      </c>
      <c r="J16" s="21">
        <f t="shared" si="1"/>
        <v>3.7672828751085033E-2</v>
      </c>
      <c r="K16" s="21">
        <f t="shared" si="1"/>
        <v>0</v>
      </c>
      <c r="L16" s="21">
        <f t="shared" ca="1" si="1"/>
        <v>0</v>
      </c>
      <c r="M16" s="21">
        <f t="shared" si="1"/>
        <v>0</v>
      </c>
      <c r="N16" s="21">
        <f t="shared" ca="1" si="1"/>
        <v>1333.5655528268712</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0.21799614792992689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4086.9568396749619</v>
      </c>
      <c r="C20" s="23">
        <f t="shared" ref="C20:P20" ca="1" si="2">C16*C18</f>
        <v>0</v>
      </c>
      <c r="D20" s="23">
        <f t="shared" ca="1" si="2"/>
        <v>5328.4787676660062</v>
      </c>
      <c r="E20" s="23">
        <f t="shared" si="2"/>
        <v>65.154404248316311</v>
      </c>
      <c r="F20" s="23">
        <f t="shared" ca="1" si="2"/>
        <v>1159.2525939982304</v>
      </c>
      <c r="G20" s="23">
        <f t="shared" si="2"/>
        <v>0</v>
      </c>
      <c r="H20" s="23">
        <f t="shared" si="2"/>
        <v>0</v>
      </c>
      <c r="I20" s="23">
        <f t="shared" si="2"/>
        <v>0</v>
      </c>
      <c r="J20" s="23">
        <f t="shared" si="2"/>
        <v>1.3336181377884102E-2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4427.1251670000001</v>
      </c>
      <c r="C26" s="39">
        <f>IF(ISERROR(B26*3.6/1000000/'E Balans VL '!Z12*100),0,B26*3.6/1000000/'E Balans VL '!Z12*100)</f>
        <v>0.11878513101164261</v>
      </c>
      <c r="D26" s="232" t="s">
        <v>621</v>
      </c>
      <c r="F26" s="6"/>
    </row>
    <row r="27" spans="1:18">
      <c r="A27" s="227" t="s">
        <v>52</v>
      </c>
      <c r="B27" s="33">
        <f>IF(ISERROR(TER_horeca_ele_kWh/1000),0,TER_horeca_ele_kWh/1000)</f>
        <v>2840.8527266999999</v>
      </c>
      <c r="C27" s="39">
        <f>IF(ISERROR(B27*3.6/1000000/'E Balans VL '!Z9*100),0,B27*3.6/1000000/'E Balans VL '!Z9*100)</f>
        <v>0.22568590525279497</v>
      </c>
      <c r="D27" s="232" t="s">
        <v>621</v>
      </c>
      <c r="F27" s="6"/>
    </row>
    <row r="28" spans="1:18">
      <c r="A28" s="167" t="s">
        <v>51</v>
      </c>
      <c r="B28" s="33">
        <f>IF(ISERROR(TER_handel_ele_kWh/1000),0,TER_handel_ele_kWh/1000)</f>
        <v>5347.3786945000002</v>
      </c>
      <c r="C28" s="39">
        <f>IF(ISERROR(B28*3.6/1000000/'E Balans VL '!Z13*100),0,B28*3.6/1000000/'E Balans VL '!Z13*100)</f>
        <v>0.156410194438943</v>
      </c>
      <c r="D28" s="232" t="s">
        <v>621</v>
      </c>
      <c r="F28" s="6"/>
    </row>
    <row r="29" spans="1:18">
      <c r="A29" s="227" t="s">
        <v>50</v>
      </c>
      <c r="B29" s="33">
        <f>IF(ISERROR(TER_gezond_ele_kWh/1000),0,TER_gezond_ele_kWh/1000)</f>
        <v>382.64473485000002</v>
      </c>
      <c r="C29" s="39">
        <f>IF(ISERROR(B29*3.6/1000000/'E Balans VL '!Z10*100),0,B29*3.6/1000000/'E Balans VL '!Z10*100)</f>
        <v>4.0612345791880521E-2</v>
      </c>
      <c r="D29" s="232" t="s">
        <v>621</v>
      </c>
      <c r="F29" s="6"/>
    </row>
    <row r="30" spans="1:18">
      <c r="A30" s="227" t="s">
        <v>49</v>
      </c>
      <c r="B30" s="33">
        <f>IF(ISERROR(TER_ander_ele_kWh/1000),0,TER_ander_ele_kWh/1000)</f>
        <v>2684.0435379</v>
      </c>
      <c r="C30" s="39">
        <f>IF(ISERROR(B30*3.6/1000000/'E Balans VL '!Z14*100),0,B30*3.6/1000000/'E Balans VL '!Z14*100)</f>
        <v>0.12484458561877773</v>
      </c>
      <c r="D30" s="232" t="s">
        <v>621</v>
      </c>
      <c r="F30" s="6"/>
    </row>
    <row r="31" spans="1:18">
      <c r="A31" s="227" t="s">
        <v>54</v>
      </c>
      <c r="B31" s="33">
        <f>IF(ISERROR(TER_onderwijs_ele_kWh/1000),0,TER_onderwijs_ele_kWh/1000)</f>
        <v>709.90665381999997</v>
      </c>
      <c r="C31" s="39">
        <f>IF(ISERROR(B31*3.6/1000000/'E Balans VL '!Z11*100),0,B31*3.6/1000000/'E Balans VL '!Z11*100)</f>
        <v>0.17767492213132188</v>
      </c>
      <c r="D31" s="232" t="s">
        <v>621</v>
      </c>
    </row>
    <row r="32" spans="1:18">
      <c r="A32" s="227" t="s">
        <v>249</v>
      </c>
      <c r="B32" s="33">
        <f>IF(ISERROR(TER_rest_ele_kWh/1000),0,TER_rest_ele_kWh/1000)</f>
        <v>2355.8881993</v>
      </c>
      <c r="C32" s="39">
        <f>IF(ISERROR(B32*3.6/1000000/'E Balans VL '!Z8*100),0,B32*3.6/1000000/'E Balans VL '!Z8*100)</f>
        <v>1.9803647640507765E-2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4</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1639.3730942509999</v>
      </c>
      <c r="C5" s="17">
        <f>IF(ISERROR('Eigen informatie GS &amp; warmtenet'!B59),0,'Eigen informatie GS &amp; warmtenet'!B59)</f>
        <v>0</v>
      </c>
      <c r="D5" s="30">
        <f>SUM(D6:D15)</f>
        <v>1802.7176134894301</v>
      </c>
      <c r="E5" s="17">
        <f>SUM(E6:E15)</f>
        <v>154.36411273281789</v>
      </c>
      <c r="F5" s="17">
        <f>SUM(F6:F15)</f>
        <v>646.30081343866459</v>
      </c>
      <c r="G5" s="18"/>
      <c r="H5" s="17"/>
      <c r="I5" s="17"/>
      <c r="J5" s="17">
        <f>SUM(J6:J15)</f>
        <v>5.5036656021335659</v>
      </c>
      <c r="K5" s="17"/>
      <c r="L5" s="17"/>
      <c r="M5" s="17"/>
      <c r="N5" s="17">
        <f>SUM(N6:N15)</f>
        <v>320.81391782964488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46.655000000000001</v>
      </c>
      <c r="C8" s="33"/>
      <c r="D8" s="37">
        <f>IF( ISERROR(IND_metaal_Gas_kWH/1000),0,IND_metaal_Gas_kWH/1000)*0.902</f>
        <v>0</v>
      </c>
      <c r="E8" s="33">
        <f>C30*'E Balans VL '!I18/100/3.6*1000000</f>
        <v>1.678788040942663</v>
      </c>
      <c r="F8" s="33">
        <f>C30*'E Balans VL '!L18/100/3.6*1000000+C30*'E Balans VL '!N18/100/3.6*1000000</f>
        <v>20.372726107618103</v>
      </c>
      <c r="G8" s="34"/>
      <c r="H8" s="33"/>
      <c r="I8" s="33"/>
      <c r="J8" s="40">
        <f>C30*'E Balans VL '!D18/100/3.6*1000000+C30*'E Balans VL '!E18/100/3.6*1000000</f>
        <v>0</v>
      </c>
      <c r="K8" s="33"/>
      <c r="L8" s="33"/>
      <c r="M8" s="33"/>
      <c r="N8" s="33">
        <f>C30*'E Balans VL '!Y18/100/3.6*1000000</f>
        <v>2.3383168945680048</v>
      </c>
      <c r="O8" s="33"/>
      <c r="P8" s="33"/>
      <c r="R8" s="32"/>
    </row>
    <row r="9" spans="1:18">
      <c r="A9" s="6" t="s">
        <v>32</v>
      </c>
      <c r="B9" s="37">
        <f t="shared" si="0"/>
        <v>432.77705570000001</v>
      </c>
      <c r="C9" s="33"/>
      <c r="D9" s="37">
        <f>IF( ISERROR(IND_andere_gas_kWh/1000),0,IND_andere_gas_kWh/1000)*0.902</f>
        <v>987.10919209759993</v>
      </c>
      <c r="E9" s="33">
        <f>C31*'E Balans VL '!I19/100/3.6*1000000</f>
        <v>110.43491275949513</v>
      </c>
      <c r="F9" s="33">
        <f>C31*'E Balans VL '!L19/100/3.6*1000000+C31*'E Balans VL '!N19/100/3.6*1000000</f>
        <v>372.58851616958293</v>
      </c>
      <c r="G9" s="34"/>
      <c r="H9" s="33"/>
      <c r="I9" s="33"/>
      <c r="J9" s="40">
        <f>C31*'E Balans VL '!D19/100/3.6*1000000+C31*'E Balans VL '!E19/100/3.6*1000000</f>
        <v>0</v>
      </c>
      <c r="K9" s="33"/>
      <c r="L9" s="33"/>
      <c r="M9" s="33"/>
      <c r="N9" s="33">
        <f>C31*'E Balans VL '!Y19/100/3.6*1000000</f>
        <v>34.141045460402985</v>
      </c>
      <c r="O9" s="33"/>
      <c r="P9" s="33"/>
      <c r="R9" s="32"/>
    </row>
    <row r="10" spans="1:18">
      <c r="A10" s="6" t="s">
        <v>40</v>
      </c>
      <c r="B10" s="37">
        <f t="shared" si="0"/>
        <v>671.99319725999999</v>
      </c>
      <c r="C10" s="33"/>
      <c r="D10" s="37">
        <f>IF( ISERROR(IND_voed_gas_kWh/1000),0,IND_voed_gas_kWh/1000)*0.902</f>
        <v>328.92239358286002</v>
      </c>
      <c r="E10" s="33">
        <f>C32*'E Balans VL '!I20/100/3.6*1000000</f>
        <v>17.08298979662457</v>
      </c>
      <c r="F10" s="33">
        <f>C32*'E Balans VL '!L20/100/3.6*1000000+C32*'E Balans VL '!N20/100/3.6*1000000</f>
        <v>152.06197305210159</v>
      </c>
      <c r="G10" s="34"/>
      <c r="H10" s="33"/>
      <c r="I10" s="33"/>
      <c r="J10" s="40">
        <f>C32*'E Balans VL '!D20/100/3.6*1000000+C32*'E Balans VL '!E20/100/3.6*1000000</f>
        <v>0</v>
      </c>
      <c r="K10" s="33"/>
      <c r="L10" s="33"/>
      <c r="M10" s="33"/>
      <c r="N10" s="33">
        <f>C32*'E Balans VL '!Y20/100/3.6*1000000</f>
        <v>252.01566406457798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26.306670221000001</v>
      </c>
      <c r="C13" s="33"/>
      <c r="D13" s="37">
        <f>IF( ISERROR(IND_papier_gas_kWh/1000),0,IND_papier_gas_kWh/1000)*0.902</f>
        <v>48.900052275029999</v>
      </c>
      <c r="E13" s="33">
        <f>C35*'E Balans VL '!I23/100/3.6*1000000</f>
        <v>0.11282165549967517</v>
      </c>
      <c r="F13" s="33">
        <f>C35*'E Balans VL '!L23/100/3.6*1000000+C35*'E Balans VL '!N23/100/3.6*1000000</f>
        <v>0.66116827336020856</v>
      </c>
      <c r="G13" s="34"/>
      <c r="H13" s="33"/>
      <c r="I13" s="33"/>
      <c r="J13" s="40">
        <f>C35*'E Balans VL '!D23/100/3.6*1000000+C35*'E Balans VL '!E23/100/3.6*1000000</f>
        <v>1.7610872851451371</v>
      </c>
      <c r="K13" s="33"/>
      <c r="L13" s="33"/>
      <c r="M13" s="33"/>
      <c r="N13" s="33">
        <f>C35*'E Balans VL '!Y23/100/3.6*1000000</f>
        <v>6.415240641836558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461.64117106999998</v>
      </c>
      <c r="C15" s="33"/>
      <c r="D15" s="37">
        <f>IF( ISERROR(IND_rest_gas_kWh/1000),0,IND_rest_gas_kWh/1000)*0.902</f>
        <v>437.78597553394002</v>
      </c>
      <c r="E15" s="33">
        <f>C37*'E Balans VL '!I15/100/3.6*1000000</f>
        <v>25.054600480255829</v>
      </c>
      <c r="F15" s="33">
        <f>C37*'E Balans VL '!L15/100/3.6*1000000+C37*'E Balans VL '!N15/100/3.6*1000000</f>
        <v>100.61642983600183</v>
      </c>
      <c r="G15" s="34"/>
      <c r="H15" s="33"/>
      <c r="I15" s="33"/>
      <c r="J15" s="40">
        <f>C37*'E Balans VL '!D15/100/3.6*1000000+C37*'E Balans VL '!E15/100/3.6*1000000</f>
        <v>3.7425783169884288</v>
      </c>
      <c r="K15" s="33"/>
      <c r="L15" s="33"/>
      <c r="M15" s="33"/>
      <c r="N15" s="33">
        <f>C37*'E Balans VL '!Y15/100/3.6*1000000</f>
        <v>25.903650768259421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1639.3730942509999</v>
      </c>
      <c r="C18" s="21">
        <f>C5+C16</f>
        <v>0</v>
      </c>
      <c r="D18" s="21">
        <f>MAX((D5+D16),0)</f>
        <v>1802.7176134894301</v>
      </c>
      <c r="E18" s="21">
        <f>MAX((E5+E16),0)</f>
        <v>154.36411273281789</v>
      </c>
      <c r="F18" s="21">
        <f>MAX((F5+F16),0)</f>
        <v>646.30081343866459</v>
      </c>
      <c r="G18" s="21"/>
      <c r="H18" s="21"/>
      <c r="I18" s="21"/>
      <c r="J18" s="21">
        <f>MAX((J5+J16),0)</f>
        <v>5.5036656021335659</v>
      </c>
      <c r="K18" s="21"/>
      <c r="L18" s="21">
        <f>MAX((L5+L16),0)</f>
        <v>0</v>
      </c>
      <c r="M18" s="21"/>
      <c r="N18" s="21">
        <f>MAX((N5+N16),0)</f>
        <v>320.81391782964488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0.21799614792992689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357.37701956668292</v>
      </c>
      <c r="C22" s="23">
        <f ca="1">C18*C20</f>
        <v>0</v>
      </c>
      <c r="D22" s="23">
        <f>D18*D20</f>
        <v>364.14895792486487</v>
      </c>
      <c r="E22" s="23">
        <f>E18*E20</f>
        <v>35.040653590349663</v>
      </c>
      <c r="F22" s="23">
        <f>F18*F20</f>
        <v>172.56231718812344</v>
      </c>
      <c r="G22" s="23"/>
      <c r="H22" s="23"/>
      <c r="I22" s="23"/>
      <c r="J22" s="23">
        <f>J18*J20</f>
        <v>1.9482976231552822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46.655000000000001</v>
      </c>
      <c r="C30" s="39">
        <f>IF(ISERROR(B30*3.6/1000000/'E Balans VL '!Z18*100),0,B30*3.6/1000000/'E Balans VL '!Z18*100)</f>
        <v>9.8851942431623114E-3</v>
      </c>
      <c r="D30" s="232" t="s">
        <v>621</v>
      </c>
    </row>
    <row r="31" spans="1:18">
      <c r="A31" s="6" t="s">
        <v>32</v>
      </c>
      <c r="B31" s="37">
        <f>IF( ISERROR(IND_ander_ele_kWh/1000),0,IND_ander_ele_kWh/1000)</f>
        <v>432.77705570000001</v>
      </c>
      <c r="C31" s="39">
        <f>IF(ISERROR(B31*3.6/1000000/'E Balans VL '!Z19*100),0,B31*3.6/1000000/'E Balans VL '!Z19*100)</f>
        <v>1.8216568966185127E-2</v>
      </c>
      <c r="D31" s="232" t="s">
        <v>621</v>
      </c>
    </row>
    <row r="32" spans="1:18">
      <c r="A32" s="167" t="s">
        <v>40</v>
      </c>
      <c r="B32" s="37">
        <f>IF( ISERROR(IND_voed_ele_kWh/1000),0,IND_voed_ele_kWh/1000)</f>
        <v>671.99319725999999</v>
      </c>
      <c r="C32" s="39">
        <f>IF(ISERROR(B32*3.6/1000000/'E Balans VL '!Z20*100),0,B32*3.6/1000000/'E Balans VL '!Z20*100)</f>
        <v>0.11226406668239544</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26.306670221000001</v>
      </c>
      <c r="C35" s="39">
        <f>IF(ISERROR(B35*3.6/1000000/'E Balans VL '!Z22*100),0,B35*3.6/1000000/'E Balans VL '!Z22*100)</f>
        <v>3.3345123219652396E-3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461.64117106999998</v>
      </c>
      <c r="C37" s="39">
        <f>IF(ISERROR(B37*3.6/1000000/'E Balans VL '!Z15*100),0,B37*3.6/1000000/'E Balans VL '!Z15*100)</f>
        <v>3.7270079297025897E-3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173.698280509</v>
      </c>
      <c r="C5" s="17">
        <f>'Eigen informatie GS &amp; warmtenet'!B60</f>
        <v>0</v>
      </c>
      <c r="D5" s="30">
        <f>IF(ISERROR(SUM(LB_lb_gas_kWh,LB_rest_gas_kWh)/1000),0,SUM(LB_lb_gas_kWh,LB_rest_gas_kWh)/1000)*0.902</f>
        <v>212.27176342349998</v>
      </c>
      <c r="E5" s="17">
        <f>B17*'E Balans VL '!I25/3.6*1000000/100</f>
        <v>3.441112318680025</v>
      </c>
      <c r="F5" s="17">
        <f>B17*('E Balans VL '!L25/3.6*1000000+'E Balans VL '!N25/3.6*1000000)/100</f>
        <v>633.42863885414215</v>
      </c>
      <c r="G5" s="18"/>
      <c r="H5" s="17"/>
      <c r="I5" s="17"/>
      <c r="J5" s="17">
        <f>('E Balans VL '!D25+'E Balans VL '!E25)/3.6*1000000*landbouw!B17/100</f>
        <v>41.242969938270249</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173.698280509</v>
      </c>
      <c r="C8" s="21">
        <f>C5+C6</f>
        <v>0</v>
      </c>
      <c r="D8" s="21">
        <f>MAX((D5+D6),0)</f>
        <v>212.27176342349998</v>
      </c>
      <c r="E8" s="21">
        <f>MAX((E5+E6),0)</f>
        <v>3.441112318680025</v>
      </c>
      <c r="F8" s="21">
        <f>MAX((F5+F6),0)</f>
        <v>633.42863885414215</v>
      </c>
      <c r="G8" s="21"/>
      <c r="H8" s="21"/>
      <c r="I8" s="21"/>
      <c r="J8" s="21">
        <f>MAX((J5+J6),0)</f>
        <v>41.242969938270249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0.21799614792992689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37.865556053013897</v>
      </c>
      <c r="C12" s="23">
        <f ca="1">C8*C10</f>
        <v>0</v>
      </c>
      <c r="D12" s="23">
        <f>D8*D10</f>
        <v>42.878896211547001</v>
      </c>
      <c r="E12" s="23">
        <f>E8*E10</f>
        <v>0.78113249634036575</v>
      </c>
      <c r="F12" s="23">
        <f>F8*F10</f>
        <v>169.12544657405596</v>
      </c>
      <c r="G12" s="23"/>
      <c r="H12" s="23"/>
      <c r="I12" s="23"/>
      <c r="J12" s="23">
        <f>J8*J10</f>
        <v>14.600011358147668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2.4492608103380425E-2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8.6216443927666617</v>
      </c>
      <c r="C26" s="242">
        <f>B26*'GWP N2O_CH4'!B5</f>
        <v>181.05453224809989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1.0362247708098518</v>
      </c>
      <c r="C27" s="242">
        <f>B27*'GWP N2O_CH4'!B5</f>
        <v>21.760720187006886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0.1003965122043014</v>
      </c>
      <c r="C28" s="242">
        <f>B28*'GWP N2O_CH4'!B4</f>
        <v>31.122918783333436</v>
      </c>
      <c r="D28" s="50"/>
    </row>
    <row r="29" spans="1:4">
      <c r="A29" s="41" t="s">
        <v>266</v>
      </c>
      <c r="B29" s="242">
        <f>B34*'ha_N2O bodem landbouw'!B4</f>
        <v>1.4758329045759964</v>
      </c>
      <c r="C29" s="242">
        <f>B29*'GWP N2O_CH4'!B4</f>
        <v>457.50820041855889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3.3214260262257695E-4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1.8095417014421465E-4</v>
      </c>
      <c r="C5" s="427" t="s">
        <v>204</v>
      </c>
      <c r="D5" s="412">
        <f>SUM(D6:D11)</f>
        <v>2.6196798919528091E-4</v>
      </c>
      <c r="E5" s="412">
        <f>SUM(E6:E11)</f>
        <v>1.3728835769547974E-3</v>
      </c>
      <c r="F5" s="425" t="s">
        <v>204</v>
      </c>
      <c r="G5" s="412">
        <f>SUM(G6:G11)</f>
        <v>0.49528940048935205</v>
      </c>
      <c r="H5" s="412">
        <f>SUM(H6:H11)</f>
        <v>9.3792930548945441E-2</v>
      </c>
      <c r="I5" s="427" t="s">
        <v>204</v>
      </c>
      <c r="J5" s="427" t="s">
        <v>204</v>
      </c>
      <c r="K5" s="427" t="s">
        <v>204</v>
      </c>
      <c r="L5" s="427" t="s">
        <v>204</v>
      </c>
      <c r="M5" s="412">
        <f>SUM(M6:M11)</f>
        <v>1.8392744035535695E-2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3.7098400735773927E-5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5.8457042344507857E-5</v>
      </c>
      <c r="E6" s="818">
        <f>vkm_GW_PW*SUMIFS(TableVerdeelsleutelVkm[LPG],TableVerdeelsleutelVkm[Voertuigtype],"Lichte voertuigen")*SUMIFS(TableECFTransport[EnergieConsumptieFactor (PJ per km)],TableECFTransport[Index],CONCATENATE($A6,"_LPG_LPG"))</f>
        <v>2.6684263507369339E-4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7.2048030796732526E-2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2.0344239323751272E-2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2.8763575426829649E-3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2.7330694652608241E-7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9.4205801804982999E-3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1.9138710898985111E-7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2.9637262180429337E-4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1.3477557315149776E-5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3.00846759961822E-5</v>
      </c>
      <c r="E8" s="415">
        <f>vkm_NGW_PW*SUMIFS(TableVerdeelsleutelVkm[LPG],TableVerdeelsleutelVkm[Voertuigtype],"Lichte voertuigen")*SUMIFS(TableECFTransport[EnergieConsumptieFactor (PJ per km)],TableECFTransport[Index],CONCATENATE($A8,"_LPG_LPG"))</f>
        <v>1.3101550138770144E-4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3.2982533114897912E-2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1.0158537544795601E-2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1.3420881273675906E-3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3.5053048639299042E-8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1.553509284261547E-3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2.9628130837368755E-8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4.8873536983348701E-5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1.2578812808160389E-4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1.7342627085459089E-4</v>
      </c>
      <c r="E10" s="415">
        <f>vkm_SW_PW*SUMIFS(TableVerdeelsleutelVkm[LPG],TableVerdeelsleutelVkm[Voertuigtype],"Lichte voertuigen")*SUMIFS(TableECFTransport[EnergieConsumptieFactor (PJ per km)],TableECFTransport[Index],CONCATENATE($A10,"_LPG_LPG"))</f>
        <v>9.7502544049340252E-4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0.23865619710150862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6.3286846557144436E-2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9.4048537006674298E-3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4.2817240165217053E-6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0.14062855001145314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3.0861080143098057E-6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4.4241985060300684E-3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50.265047262281847</v>
      </c>
      <c r="C14" s="21"/>
      <c r="D14" s="21">
        <f t="shared" ref="D14:M14" si="0">((D5)*10^9/3600)+D12</f>
        <v>72.768885887578037</v>
      </c>
      <c r="E14" s="21">
        <f t="shared" si="0"/>
        <v>381.35654915411038</v>
      </c>
      <c r="F14" s="21"/>
      <c r="G14" s="21">
        <f t="shared" si="0"/>
        <v>137580.38902482</v>
      </c>
      <c r="H14" s="21">
        <f t="shared" si="0"/>
        <v>26053.591819151512</v>
      </c>
      <c r="I14" s="21"/>
      <c r="J14" s="21"/>
      <c r="K14" s="21"/>
      <c r="L14" s="21"/>
      <c r="M14" s="21">
        <f t="shared" si="0"/>
        <v>5109.0955654265817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0.21799614792992689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10.957586678693159</v>
      </c>
      <c r="C18" s="23"/>
      <c r="D18" s="23">
        <f t="shared" ref="D18:M18" si="1">D14*D16</f>
        <v>14.699314949290764</v>
      </c>
      <c r="E18" s="23">
        <f t="shared" si="1"/>
        <v>86.567936657983054</v>
      </c>
      <c r="F18" s="23"/>
      <c r="G18" s="23">
        <f t="shared" si="1"/>
        <v>36733.963869626947</v>
      </c>
      <c r="H18" s="23">
        <f t="shared" si="1"/>
        <v>6487.3443629687263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3.3391060469813977E-5</v>
      </c>
      <c r="C50" s="311">
        <f t="shared" ref="C50:P50" si="2">SUM(C51:C52)</f>
        <v>0</v>
      </c>
      <c r="D50" s="311">
        <f t="shared" si="2"/>
        <v>0</v>
      </c>
      <c r="E50" s="311">
        <f t="shared" si="2"/>
        <v>0</v>
      </c>
      <c r="F50" s="311">
        <f t="shared" si="2"/>
        <v>0</v>
      </c>
      <c r="G50" s="311">
        <f t="shared" si="2"/>
        <v>5.953696775072145E-3</v>
      </c>
      <c r="H50" s="311">
        <f t="shared" si="2"/>
        <v>0</v>
      </c>
      <c r="I50" s="311">
        <f t="shared" si="2"/>
        <v>0</v>
      </c>
      <c r="J50" s="311">
        <f t="shared" si="2"/>
        <v>0</v>
      </c>
      <c r="K50" s="311">
        <f t="shared" si="2"/>
        <v>0</v>
      </c>
      <c r="L50" s="311">
        <f t="shared" si="2"/>
        <v>0</v>
      </c>
      <c r="M50" s="311">
        <f t="shared" si="2"/>
        <v>1.8585134492199061E-4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3.3391060469813977E-5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5.953696775072145E-3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1.8585134492199061E-4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9.2752945749483278</v>
      </c>
      <c r="C54" s="21">
        <f t="shared" ref="C54:P54" si="3">(C50)*10^9/3600</f>
        <v>0</v>
      </c>
      <c r="D54" s="21">
        <f t="shared" si="3"/>
        <v>0</v>
      </c>
      <c r="E54" s="21">
        <f t="shared" si="3"/>
        <v>0</v>
      </c>
      <c r="F54" s="21">
        <f t="shared" si="3"/>
        <v>0</v>
      </c>
      <c r="G54" s="21">
        <f t="shared" si="3"/>
        <v>1653.8046597422626</v>
      </c>
      <c r="H54" s="21">
        <f t="shared" si="3"/>
        <v>0</v>
      </c>
      <c r="I54" s="21">
        <f t="shared" si="3"/>
        <v>0</v>
      </c>
      <c r="J54" s="21">
        <f t="shared" si="3"/>
        <v>0</v>
      </c>
      <c r="K54" s="21">
        <f t="shared" si="3"/>
        <v>0</v>
      </c>
      <c r="L54" s="21">
        <f t="shared" si="3"/>
        <v>0</v>
      </c>
      <c r="M54" s="21">
        <f t="shared" si="3"/>
        <v>51.625373589441836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0.21799614792992689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2.0219784882540841</v>
      </c>
      <c r="C58" s="23">
        <f t="shared" ref="C58:P58" ca="1" si="4">C54*C56</f>
        <v>0</v>
      </c>
      <c r="D58" s="23">
        <f t="shared" si="4"/>
        <v>0</v>
      </c>
      <c r="E58" s="23">
        <f t="shared" si="4"/>
        <v>0</v>
      </c>
      <c r="F58" s="23">
        <f t="shared" si="4"/>
        <v>0</v>
      </c>
      <c r="G58" s="23">
        <f t="shared" si="4"/>
        <v>441.56584415118414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641.60856190852201</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641.60856190852201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20223.494714069999</v>
      </c>
      <c r="D10" s="930">
        <f ca="1">tertiair!C16</f>
        <v>0</v>
      </c>
      <c r="E10" s="930">
        <f ca="1">tertiair!D16</f>
        <v>26378.607760722804</v>
      </c>
      <c r="F10" s="930">
        <f>tertiair!E16</f>
        <v>287.02380726130531</v>
      </c>
      <c r="G10" s="930">
        <f ca="1">tertiair!F16</f>
        <v>4341.7700149746452</v>
      </c>
      <c r="H10" s="930">
        <f>tertiair!G16</f>
        <v>0</v>
      </c>
      <c r="I10" s="930">
        <f>tertiair!H16</f>
        <v>0</v>
      </c>
      <c r="J10" s="930">
        <f>tertiair!I16</f>
        <v>0</v>
      </c>
      <c r="K10" s="930">
        <f>tertiair!J16</f>
        <v>3.7672828751085033E-2</v>
      </c>
      <c r="L10" s="930">
        <f>tertiair!K16</f>
        <v>0</v>
      </c>
      <c r="M10" s="930">
        <f ca="1">tertiair!L16</f>
        <v>0</v>
      </c>
      <c r="N10" s="930">
        <f>tertiair!M16</f>
        <v>0</v>
      </c>
      <c r="O10" s="930">
        <f ca="1">tertiair!N16</f>
        <v>1333.5655528268712</v>
      </c>
      <c r="P10" s="930">
        <f>tertiair!O16</f>
        <v>0</v>
      </c>
      <c r="Q10" s="931">
        <f>tertiair!P16</f>
        <v>76.266666666666666</v>
      </c>
      <c r="R10" s="628">
        <f ca="1">SUM(C10:Q10)</f>
        <v>52640.766189351045</v>
      </c>
      <c r="S10" s="67"/>
    </row>
    <row r="11" spans="1:19" s="437" customFormat="1">
      <c r="A11" s="736" t="s">
        <v>214</v>
      </c>
      <c r="B11" s="741"/>
      <c r="C11" s="930">
        <f>huishoudens!B8</f>
        <v>23822.068346267377</v>
      </c>
      <c r="D11" s="930">
        <f>huishoudens!C8</f>
        <v>0</v>
      </c>
      <c r="E11" s="930">
        <f>huishoudens!D8</f>
        <v>77591.027568229998</v>
      </c>
      <c r="F11" s="930">
        <f>huishoudens!E8</f>
        <v>837.91456721154964</v>
      </c>
      <c r="G11" s="930">
        <f>huishoudens!F8</f>
        <v>22781.238538148631</v>
      </c>
      <c r="H11" s="930">
        <f>huishoudens!G8</f>
        <v>0</v>
      </c>
      <c r="I11" s="930">
        <f>huishoudens!H8</f>
        <v>0</v>
      </c>
      <c r="J11" s="930">
        <f>huishoudens!I8</f>
        <v>0</v>
      </c>
      <c r="K11" s="930">
        <f>huishoudens!J8</f>
        <v>420.12672877688755</v>
      </c>
      <c r="L11" s="930">
        <f>huishoudens!K8</f>
        <v>0</v>
      </c>
      <c r="M11" s="930">
        <f>huishoudens!L8</f>
        <v>0</v>
      </c>
      <c r="N11" s="930">
        <f>huishoudens!M8</f>
        <v>0</v>
      </c>
      <c r="O11" s="930">
        <f>huishoudens!N8</f>
        <v>7968.4080094295205</v>
      </c>
      <c r="P11" s="930">
        <f>huishoudens!O8</f>
        <v>59.406666666666666</v>
      </c>
      <c r="Q11" s="931">
        <f>huishoudens!P8</f>
        <v>228.8</v>
      </c>
      <c r="R11" s="628">
        <f>SUM(C11:Q11)</f>
        <v>133708.99042473064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1639.3730942509999</v>
      </c>
      <c r="D13" s="930">
        <f>industrie!C18</f>
        <v>0</v>
      </c>
      <c r="E13" s="930">
        <f>industrie!D18</f>
        <v>1802.7176134894301</v>
      </c>
      <c r="F13" s="930">
        <f>industrie!E18</f>
        <v>154.36411273281789</v>
      </c>
      <c r="G13" s="930">
        <f>industrie!F18</f>
        <v>646.30081343866459</v>
      </c>
      <c r="H13" s="930">
        <f>industrie!G18</f>
        <v>0</v>
      </c>
      <c r="I13" s="930">
        <f>industrie!H18</f>
        <v>0</v>
      </c>
      <c r="J13" s="930">
        <f>industrie!I18</f>
        <v>0</v>
      </c>
      <c r="K13" s="930">
        <f>industrie!J18</f>
        <v>5.5036656021335659</v>
      </c>
      <c r="L13" s="930">
        <f>industrie!K18</f>
        <v>0</v>
      </c>
      <c r="M13" s="930">
        <f>industrie!L18</f>
        <v>0</v>
      </c>
      <c r="N13" s="930">
        <f>industrie!M18</f>
        <v>0</v>
      </c>
      <c r="O13" s="930">
        <f>industrie!N18</f>
        <v>320.81391782964488</v>
      </c>
      <c r="P13" s="930">
        <f>industrie!O18</f>
        <v>0</v>
      </c>
      <c r="Q13" s="931">
        <f>industrie!P18</f>
        <v>0</v>
      </c>
      <c r="R13" s="628">
        <f>SUM(C13:Q13)</f>
        <v>4569.0732173436918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45684.936154588373</v>
      </c>
      <c r="D16" s="660">
        <f t="shared" ref="D16:R16" ca="1" si="0">SUM(D9:D15)</f>
        <v>0</v>
      </c>
      <c r="E16" s="660">
        <f t="shared" ca="1" si="0"/>
        <v>105772.35294244223</v>
      </c>
      <c r="F16" s="660">
        <f t="shared" si="0"/>
        <v>1279.3024872056728</v>
      </c>
      <c r="G16" s="660">
        <f t="shared" ca="1" si="0"/>
        <v>27769.309366561942</v>
      </c>
      <c r="H16" s="660">
        <f t="shared" si="0"/>
        <v>0</v>
      </c>
      <c r="I16" s="660">
        <f t="shared" si="0"/>
        <v>0</v>
      </c>
      <c r="J16" s="660">
        <f t="shared" si="0"/>
        <v>0</v>
      </c>
      <c r="K16" s="660">
        <f t="shared" si="0"/>
        <v>425.6680672077722</v>
      </c>
      <c r="L16" s="660">
        <f t="shared" si="0"/>
        <v>0</v>
      </c>
      <c r="M16" s="660">
        <f t="shared" ca="1" si="0"/>
        <v>0</v>
      </c>
      <c r="N16" s="660">
        <f t="shared" si="0"/>
        <v>0</v>
      </c>
      <c r="O16" s="660">
        <f t="shared" ca="1" si="0"/>
        <v>9622.7874800860354</v>
      </c>
      <c r="P16" s="660">
        <f t="shared" si="0"/>
        <v>59.406666666666666</v>
      </c>
      <c r="Q16" s="660">
        <f t="shared" si="0"/>
        <v>305.06666666666666</v>
      </c>
      <c r="R16" s="660">
        <f t="shared" ca="1" si="0"/>
        <v>190918.82983142536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9.2752945749483278</v>
      </c>
      <c r="D19" s="930">
        <f>transport!C54</f>
        <v>0</v>
      </c>
      <c r="E19" s="930">
        <f>transport!D54</f>
        <v>0</v>
      </c>
      <c r="F19" s="930">
        <f>transport!E54</f>
        <v>0</v>
      </c>
      <c r="G19" s="930">
        <f>transport!F54</f>
        <v>0</v>
      </c>
      <c r="H19" s="930">
        <f>transport!G54</f>
        <v>1653.8046597422626</v>
      </c>
      <c r="I19" s="930">
        <f>transport!H54</f>
        <v>0</v>
      </c>
      <c r="J19" s="930">
        <f>transport!I54</f>
        <v>0</v>
      </c>
      <c r="K19" s="930">
        <f>transport!J54</f>
        <v>0</v>
      </c>
      <c r="L19" s="930">
        <f>transport!K54</f>
        <v>0</v>
      </c>
      <c r="M19" s="930">
        <f>transport!L54</f>
        <v>0</v>
      </c>
      <c r="N19" s="930">
        <f>transport!M54</f>
        <v>51.625373589441836</v>
      </c>
      <c r="O19" s="930">
        <f>transport!N54</f>
        <v>0</v>
      </c>
      <c r="P19" s="930">
        <f>transport!O54</f>
        <v>0</v>
      </c>
      <c r="Q19" s="931">
        <f>transport!P54</f>
        <v>0</v>
      </c>
      <c r="R19" s="628">
        <f>SUM(C19:Q19)</f>
        <v>1714.7053279066527</v>
      </c>
      <c r="S19" s="67"/>
    </row>
    <row r="20" spans="1:19" s="437" customFormat="1">
      <c r="A20" s="736" t="s">
        <v>296</v>
      </c>
      <c r="B20" s="741"/>
      <c r="C20" s="930">
        <f>transport!B14</f>
        <v>50.265047262281847</v>
      </c>
      <c r="D20" s="930">
        <f>transport!C14</f>
        <v>0</v>
      </c>
      <c r="E20" s="930">
        <f>transport!D14</f>
        <v>72.768885887578037</v>
      </c>
      <c r="F20" s="930">
        <f>transport!E14</f>
        <v>381.35654915411038</v>
      </c>
      <c r="G20" s="930">
        <f>transport!F14</f>
        <v>0</v>
      </c>
      <c r="H20" s="930">
        <f>transport!G14</f>
        <v>137580.38902482</v>
      </c>
      <c r="I20" s="930">
        <f>transport!H14</f>
        <v>26053.591819151512</v>
      </c>
      <c r="J20" s="930">
        <f>transport!I14</f>
        <v>0</v>
      </c>
      <c r="K20" s="930">
        <f>transport!J14</f>
        <v>0</v>
      </c>
      <c r="L20" s="930">
        <f>transport!K14</f>
        <v>0</v>
      </c>
      <c r="M20" s="930">
        <f>transport!L14</f>
        <v>0</v>
      </c>
      <c r="N20" s="930">
        <f>transport!M14</f>
        <v>5109.0955654265817</v>
      </c>
      <c r="O20" s="930">
        <f>transport!N14</f>
        <v>0</v>
      </c>
      <c r="P20" s="930">
        <f>transport!O14</f>
        <v>0</v>
      </c>
      <c r="Q20" s="931">
        <f>transport!P14</f>
        <v>0</v>
      </c>
      <c r="R20" s="628">
        <f>SUM(C20:Q20)</f>
        <v>169247.46689170206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59.540341837230173</v>
      </c>
      <c r="D22" s="739">
        <f t="shared" ref="D22:R22" si="1">SUM(D18:D21)</f>
        <v>0</v>
      </c>
      <c r="E22" s="739">
        <f t="shared" si="1"/>
        <v>72.768885887578037</v>
      </c>
      <c r="F22" s="739">
        <f t="shared" si="1"/>
        <v>381.35654915411038</v>
      </c>
      <c r="G22" s="739">
        <f t="shared" si="1"/>
        <v>0</v>
      </c>
      <c r="H22" s="739">
        <f t="shared" si="1"/>
        <v>139234.19368456225</v>
      </c>
      <c r="I22" s="739">
        <f t="shared" si="1"/>
        <v>26053.591819151512</v>
      </c>
      <c r="J22" s="739">
        <f t="shared" si="1"/>
        <v>0</v>
      </c>
      <c r="K22" s="739">
        <f t="shared" si="1"/>
        <v>0</v>
      </c>
      <c r="L22" s="739">
        <f t="shared" si="1"/>
        <v>0</v>
      </c>
      <c r="M22" s="739">
        <f t="shared" si="1"/>
        <v>0</v>
      </c>
      <c r="N22" s="739">
        <f t="shared" si="1"/>
        <v>5160.7209390160233</v>
      </c>
      <c r="O22" s="739">
        <f t="shared" si="1"/>
        <v>0</v>
      </c>
      <c r="P22" s="739">
        <f t="shared" si="1"/>
        <v>0</v>
      </c>
      <c r="Q22" s="739">
        <f t="shared" si="1"/>
        <v>0</v>
      </c>
      <c r="R22" s="739">
        <f t="shared" si="1"/>
        <v>170962.17221960871</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173.698280509</v>
      </c>
      <c r="D24" s="930">
        <f>+landbouw!C8</f>
        <v>0</v>
      </c>
      <c r="E24" s="930">
        <f>+landbouw!D8</f>
        <v>212.27176342349998</v>
      </c>
      <c r="F24" s="930">
        <f>+landbouw!E8</f>
        <v>3.441112318680025</v>
      </c>
      <c r="G24" s="930">
        <f>+landbouw!F8</f>
        <v>633.42863885414215</v>
      </c>
      <c r="H24" s="930">
        <f>+landbouw!G8</f>
        <v>0</v>
      </c>
      <c r="I24" s="930">
        <f>+landbouw!H8</f>
        <v>0</v>
      </c>
      <c r="J24" s="930">
        <f>+landbouw!I8</f>
        <v>0</v>
      </c>
      <c r="K24" s="930">
        <f>+landbouw!J8</f>
        <v>41.242969938270249</v>
      </c>
      <c r="L24" s="930">
        <f>+landbouw!K8</f>
        <v>0</v>
      </c>
      <c r="M24" s="930">
        <f>+landbouw!L8</f>
        <v>0</v>
      </c>
      <c r="N24" s="930">
        <f>+landbouw!M8</f>
        <v>0</v>
      </c>
      <c r="O24" s="930">
        <f>+landbouw!N8</f>
        <v>0</v>
      </c>
      <c r="P24" s="930">
        <f>+landbouw!O8</f>
        <v>0</v>
      </c>
      <c r="Q24" s="931">
        <f>+landbouw!P8</f>
        <v>0</v>
      </c>
      <c r="R24" s="628">
        <f>SUM(C24:Q24)</f>
        <v>1064.0827650435924</v>
      </c>
      <c r="S24" s="67"/>
    </row>
    <row r="25" spans="1:19" s="437" customFormat="1" ht="15" thickBot="1">
      <c r="A25" s="758" t="s">
        <v>788</v>
      </c>
      <c r="B25" s="933"/>
      <c r="C25" s="934">
        <f>IF(Onbekend_ele_kWh="---",0,Onbekend_ele_kWh)/1000+IF(REST_rest_ele_kWh="---",0,REST_rest_ele_kWh)/1000</f>
        <v>1286.3775359000001</v>
      </c>
      <c r="D25" s="934"/>
      <c r="E25" s="934">
        <f>IF(onbekend_gas_kWh="---",0,onbekend_gas_kWh)/1000+IF(REST_rest_gas_kWh="---",0,REST_rest_gas_kWh)/1000</f>
        <v>4106.3020828999997</v>
      </c>
      <c r="F25" s="934"/>
      <c r="G25" s="934"/>
      <c r="H25" s="934"/>
      <c r="I25" s="934"/>
      <c r="J25" s="934"/>
      <c r="K25" s="934"/>
      <c r="L25" s="934"/>
      <c r="M25" s="934"/>
      <c r="N25" s="934"/>
      <c r="O25" s="934"/>
      <c r="P25" s="934"/>
      <c r="Q25" s="935"/>
      <c r="R25" s="628">
        <f>SUM(C25:Q25)</f>
        <v>5392.6796187999998</v>
      </c>
      <c r="S25" s="67"/>
    </row>
    <row r="26" spans="1:19" s="437" customFormat="1" ht="15.75" thickBot="1">
      <c r="A26" s="633" t="s">
        <v>789</v>
      </c>
      <c r="B26" s="744"/>
      <c r="C26" s="739">
        <f>SUM(C24:C25)</f>
        <v>1460.075816409</v>
      </c>
      <c r="D26" s="739">
        <f t="shared" ref="D26:R26" si="2">SUM(D24:D25)</f>
        <v>0</v>
      </c>
      <c r="E26" s="739">
        <f t="shared" si="2"/>
        <v>4318.5738463234993</v>
      </c>
      <c r="F26" s="739">
        <f t="shared" si="2"/>
        <v>3.441112318680025</v>
      </c>
      <c r="G26" s="739">
        <f t="shared" si="2"/>
        <v>633.42863885414215</v>
      </c>
      <c r="H26" s="739">
        <f t="shared" si="2"/>
        <v>0</v>
      </c>
      <c r="I26" s="739">
        <f t="shared" si="2"/>
        <v>0</v>
      </c>
      <c r="J26" s="739">
        <f t="shared" si="2"/>
        <v>0</v>
      </c>
      <c r="K26" s="739">
        <f t="shared" si="2"/>
        <v>41.242969938270249</v>
      </c>
      <c r="L26" s="739">
        <f t="shared" si="2"/>
        <v>0</v>
      </c>
      <c r="M26" s="739">
        <f t="shared" si="2"/>
        <v>0</v>
      </c>
      <c r="N26" s="739">
        <f t="shared" si="2"/>
        <v>0</v>
      </c>
      <c r="O26" s="739">
        <f t="shared" si="2"/>
        <v>0</v>
      </c>
      <c r="P26" s="739">
        <f t="shared" si="2"/>
        <v>0</v>
      </c>
      <c r="Q26" s="739">
        <f t="shared" si="2"/>
        <v>0</v>
      </c>
      <c r="R26" s="739">
        <f t="shared" si="2"/>
        <v>6456.762383843592</v>
      </c>
      <c r="S26" s="67"/>
    </row>
    <row r="27" spans="1:19" s="437" customFormat="1" ht="17.25" thickTop="1" thickBot="1">
      <c r="A27" s="634" t="s">
        <v>109</v>
      </c>
      <c r="B27" s="732"/>
      <c r="C27" s="635">
        <f ca="1">C22+C16+C26</f>
        <v>47204.552312834603</v>
      </c>
      <c r="D27" s="635">
        <f t="shared" ref="D27:R27" ca="1" si="3">D22+D16+D26</f>
        <v>0</v>
      </c>
      <c r="E27" s="635">
        <f t="shared" ca="1" si="3"/>
        <v>110163.69567465331</v>
      </c>
      <c r="F27" s="635">
        <f t="shared" si="3"/>
        <v>1664.1001486784633</v>
      </c>
      <c r="G27" s="635">
        <f t="shared" ca="1" si="3"/>
        <v>28402.738005416082</v>
      </c>
      <c r="H27" s="635">
        <f t="shared" si="3"/>
        <v>139234.19368456225</v>
      </c>
      <c r="I27" s="635">
        <f t="shared" si="3"/>
        <v>26053.591819151512</v>
      </c>
      <c r="J27" s="635">
        <f t="shared" si="3"/>
        <v>0</v>
      </c>
      <c r="K27" s="635">
        <f t="shared" si="3"/>
        <v>466.91103714604242</v>
      </c>
      <c r="L27" s="635">
        <f t="shared" si="3"/>
        <v>0</v>
      </c>
      <c r="M27" s="635">
        <f t="shared" ca="1" si="3"/>
        <v>0</v>
      </c>
      <c r="N27" s="635">
        <f t="shared" si="3"/>
        <v>5160.7209390160233</v>
      </c>
      <c r="O27" s="635">
        <f t="shared" ca="1" si="3"/>
        <v>9622.7874800860354</v>
      </c>
      <c r="P27" s="635">
        <f t="shared" si="3"/>
        <v>59.406666666666666</v>
      </c>
      <c r="Q27" s="635">
        <f t="shared" si="3"/>
        <v>305.06666666666666</v>
      </c>
      <c r="R27" s="635">
        <f t="shared" ca="1" si="3"/>
        <v>368337.76443487767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4408.6439453484982</v>
      </c>
      <c r="D40" s="930">
        <f ca="1">tertiair!C20</f>
        <v>0</v>
      </c>
      <c r="E40" s="930">
        <f ca="1">tertiair!D20</f>
        <v>5328.4787676660062</v>
      </c>
      <c r="F40" s="930">
        <f>tertiair!E20</f>
        <v>65.154404248316311</v>
      </c>
      <c r="G40" s="930">
        <f ca="1">tertiair!F20</f>
        <v>1159.2525939982304</v>
      </c>
      <c r="H40" s="930">
        <f>tertiair!G20</f>
        <v>0</v>
      </c>
      <c r="I40" s="930">
        <f>tertiair!H20</f>
        <v>0</v>
      </c>
      <c r="J40" s="930">
        <f>tertiair!I20</f>
        <v>0</v>
      </c>
      <c r="K40" s="930">
        <f>tertiair!J20</f>
        <v>1.3336181377884102E-2</v>
      </c>
      <c r="L40" s="930">
        <f>tertiair!K20</f>
        <v>0</v>
      </c>
      <c r="M40" s="930">
        <f ca="1">tertiair!L20</f>
        <v>0</v>
      </c>
      <c r="N40" s="930">
        <f>tertiair!M20</f>
        <v>0</v>
      </c>
      <c r="O40" s="930">
        <f ca="1">tertiair!N20</f>
        <v>0</v>
      </c>
      <c r="P40" s="930">
        <f>tertiair!O20</f>
        <v>0</v>
      </c>
      <c r="Q40" s="702">
        <f>tertiair!P20</f>
        <v>0</v>
      </c>
      <c r="R40" s="777">
        <f t="shared" ca="1" si="4"/>
        <v>10961.54304744243</v>
      </c>
    </row>
    <row r="41" spans="1:18">
      <c r="A41" s="749" t="s">
        <v>214</v>
      </c>
      <c r="B41" s="756"/>
      <c r="C41" s="930">
        <f ca="1">huishoudens!B12</f>
        <v>5193.1191352097321</v>
      </c>
      <c r="D41" s="930">
        <f ca="1">huishoudens!C12</f>
        <v>0</v>
      </c>
      <c r="E41" s="930">
        <f>huishoudens!D12</f>
        <v>15673.38756878246</v>
      </c>
      <c r="F41" s="930">
        <f>huishoudens!E12</f>
        <v>190.20660675702177</v>
      </c>
      <c r="G41" s="930">
        <f>huishoudens!F12</f>
        <v>6082.590689685685</v>
      </c>
      <c r="H41" s="930">
        <f>huishoudens!G12</f>
        <v>0</v>
      </c>
      <c r="I41" s="930">
        <f>huishoudens!H12</f>
        <v>0</v>
      </c>
      <c r="J41" s="930">
        <f>huishoudens!I12</f>
        <v>0</v>
      </c>
      <c r="K41" s="930">
        <f>huishoudens!J12</f>
        <v>148.72486198701819</v>
      </c>
      <c r="L41" s="930">
        <f>huishoudens!K12</f>
        <v>0</v>
      </c>
      <c r="M41" s="930">
        <f>huishoudens!L12</f>
        <v>0</v>
      </c>
      <c r="N41" s="930">
        <f>huishoudens!M12</f>
        <v>0</v>
      </c>
      <c r="O41" s="930">
        <f>huishoudens!N12</f>
        <v>0</v>
      </c>
      <c r="P41" s="930">
        <f>huishoudens!O12</f>
        <v>0</v>
      </c>
      <c r="Q41" s="702">
        <f>huishoudens!P12</f>
        <v>0</v>
      </c>
      <c r="R41" s="777">
        <f t="shared" ca="1" si="4"/>
        <v>27288.028862421921</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357.37701956668292</v>
      </c>
      <c r="D43" s="930">
        <f ca="1">industrie!C22</f>
        <v>0</v>
      </c>
      <c r="E43" s="930">
        <f>industrie!D22</f>
        <v>364.14895792486487</v>
      </c>
      <c r="F43" s="930">
        <f>industrie!E22</f>
        <v>35.040653590349663</v>
      </c>
      <c r="G43" s="930">
        <f>industrie!F22</f>
        <v>172.56231718812344</v>
      </c>
      <c r="H43" s="930">
        <f>industrie!G22</f>
        <v>0</v>
      </c>
      <c r="I43" s="930">
        <f>industrie!H22</f>
        <v>0</v>
      </c>
      <c r="J43" s="930">
        <f>industrie!I22</f>
        <v>0</v>
      </c>
      <c r="K43" s="930">
        <f>industrie!J22</f>
        <v>1.9482976231552822</v>
      </c>
      <c r="L43" s="930">
        <f>industrie!K22</f>
        <v>0</v>
      </c>
      <c r="M43" s="930">
        <f>industrie!L22</f>
        <v>0</v>
      </c>
      <c r="N43" s="930">
        <f>industrie!M22</f>
        <v>0</v>
      </c>
      <c r="O43" s="930">
        <f>industrie!N22</f>
        <v>0</v>
      </c>
      <c r="P43" s="930">
        <f>industrie!O22</f>
        <v>0</v>
      </c>
      <c r="Q43" s="702">
        <f>industrie!P22</f>
        <v>0</v>
      </c>
      <c r="R43" s="776">
        <f t="shared" ca="1" si="4"/>
        <v>931.07724589317615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9959.1401001249124</v>
      </c>
      <c r="D46" s="660">
        <f t="shared" ref="D46:Q46" ca="1" si="5">SUM(D39:D45)</f>
        <v>0</v>
      </c>
      <c r="E46" s="660">
        <f t="shared" ca="1" si="5"/>
        <v>21366.015294373334</v>
      </c>
      <c r="F46" s="660">
        <f t="shared" si="5"/>
        <v>290.40166459568775</v>
      </c>
      <c r="G46" s="660">
        <f t="shared" ca="1" si="5"/>
        <v>7414.405600872039</v>
      </c>
      <c r="H46" s="660">
        <f t="shared" si="5"/>
        <v>0</v>
      </c>
      <c r="I46" s="660">
        <f t="shared" si="5"/>
        <v>0</v>
      </c>
      <c r="J46" s="660">
        <f t="shared" si="5"/>
        <v>0</v>
      </c>
      <c r="K46" s="660">
        <f t="shared" si="5"/>
        <v>150.68649579155135</v>
      </c>
      <c r="L46" s="660">
        <f t="shared" si="5"/>
        <v>0</v>
      </c>
      <c r="M46" s="660">
        <f t="shared" ca="1" si="5"/>
        <v>0</v>
      </c>
      <c r="N46" s="660">
        <f t="shared" si="5"/>
        <v>0</v>
      </c>
      <c r="O46" s="660">
        <f t="shared" ca="1" si="5"/>
        <v>0</v>
      </c>
      <c r="P46" s="660">
        <f t="shared" si="5"/>
        <v>0</v>
      </c>
      <c r="Q46" s="660">
        <f t="shared" si="5"/>
        <v>0</v>
      </c>
      <c r="R46" s="660">
        <f ca="1">SUM(R39:R45)</f>
        <v>39180.649155757528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2.0219784882540841</v>
      </c>
      <c r="D49" s="930">
        <f ca="1">transport!C58</f>
        <v>0</v>
      </c>
      <c r="E49" s="930">
        <f>transport!D58</f>
        <v>0</v>
      </c>
      <c r="F49" s="930">
        <f>transport!E58</f>
        <v>0</v>
      </c>
      <c r="G49" s="930">
        <f>transport!F58</f>
        <v>0</v>
      </c>
      <c r="H49" s="930">
        <f>transport!G58</f>
        <v>441.56584415118414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443.58782263943823</v>
      </c>
    </row>
    <row r="50" spans="1:18">
      <c r="A50" s="752" t="s">
        <v>296</v>
      </c>
      <c r="B50" s="762"/>
      <c r="C50" s="631">
        <f ca="1">transport!B18</f>
        <v>10.957586678693159</v>
      </c>
      <c r="D50" s="631">
        <f>transport!C18</f>
        <v>0</v>
      </c>
      <c r="E50" s="631">
        <f>transport!D18</f>
        <v>14.699314949290764</v>
      </c>
      <c r="F50" s="631">
        <f>transport!E18</f>
        <v>86.567936657983054</v>
      </c>
      <c r="G50" s="631">
        <f>transport!F18</f>
        <v>0</v>
      </c>
      <c r="H50" s="631">
        <f>transport!G18</f>
        <v>36733.963869626947</v>
      </c>
      <c r="I50" s="631">
        <f>transport!H18</f>
        <v>6487.3443629687263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43333.53307088164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12.979565166947243</v>
      </c>
      <c r="D52" s="660">
        <f t="shared" ref="D52:Q52" ca="1" si="6">SUM(D48:D51)</f>
        <v>0</v>
      </c>
      <c r="E52" s="660">
        <f t="shared" si="6"/>
        <v>14.699314949290764</v>
      </c>
      <c r="F52" s="660">
        <f t="shared" si="6"/>
        <v>86.567936657983054</v>
      </c>
      <c r="G52" s="660">
        <f t="shared" si="6"/>
        <v>0</v>
      </c>
      <c r="H52" s="660">
        <f t="shared" si="6"/>
        <v>37175.529713778131</v>
      </c>
      <c r="I52" s="660">
        <f t="shared" si="6"/>
        <v>6487.3443629687263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43777.120893521082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37.865556053013897</v>
      </c>
      <c r="D54" s="631">
        <f ca="1">+landbouw!C12</f>
        <v>0</v>
      </c>
      <c r="E54" s="631">
        <f>+landbouw!D12</f>
        <v>42.878896211547001</v>
      </c>
      <c r="F54" s="631">
        <f>+landbouw!E12</f>
        <v>0.78113249634036575</v>
      </c>
      <c r="G54" s="631">
        <f>+landbouw!F12</f>
        <v>169.12544657405596</v>
      </c>
      <c r="H54" s="631">
        <f>+landbouw!G12</f>
        <v>0</v>
      </c>
      <c r="I54" s="631">
        <f>+landbouw!H12</f>
        <v>0</v>
      </c>
      <c r="J54" s="631">
        <f>+landbouw!I12</f>
        <v>0</v>
      </c>
      <c r="K54" s="631">
        <f>+landbouw!J12</f>
        <v>14.600011358147668</v>
      </c>
      <c r="L54" s="631">
        <f>+landbouw!K12</f>
        <v>0</v>
      </c>
      <c r="M54" s="631">
        <f>+landbouw!L12</f>
        <v>0</v>
      </c>
      <c r="N54" s="631">
        <f>+landbouw!M12</f>
        <v>0</v>
      </c>
      <c r="O54" s="631">
        <f>+landbouw!N12</f>
        <v>0</v>
      </c>
      <c r="P54" s="631">
        <f>+landbouw!O12</f>
        <v>0</v>
      </c>
      <c r="Q54" s="632">
        <f>+landbouw!P12</f>
        <v>0</v>
      </c>
      <c r="R54" s="659">
        <f ca="1">SUM(C54:Q54)</f>
        <v>265.25104269310486</v>
      </c>
    </row>
    <row r="55" spans="1:18" ht="15" thickBot="1">
      <c r="A55" s="752" t="s">
        <v>788</v>
      </c>
      <c r="B55" s="762"/>
      <c r="C55" s="631">
        <f ca="1">C25*'EF ele_warmte'!B12</f>
        <v>280.42534760979123</v>
      </c>
      <c r="D55" s="631"/>
      <c r="E55" s="631">
        <f>E25*EF_CO2_aardgas</f>
        <v>829.4730207458</v>
      </c>
      <c r="F55" s="631"/>
      <c r="G55" s="631"/>
      <c r="H55" s="631"/>
      <c r="I55" s="631"/>
      <c r="J55" s="631"/>
      <c r="K55" s="631"/>
      <c r="L55" s="631"/>
      <c r="M55" s="631"/>
      <c r="N55" s="631"/>
      <c r="O55" s="631"/>
      <c r="P55" s="631"/>
      <c r="Q55" s="632"/>
      <c r="R55" s="659">
        <f ca="1">SUM(C55:Q55)</f>
        <v>1109.8983683555912</v>
      </c>
    </row>
    <row r="56" spans="1:18" ht="15.75" thickBot="1">
      <c r="A56" s="750" t="s">
        <v>789</v>
      </c>
      <c r="B56" s="763"/>
      <c r="C56" s="660">
        <f ca="1">SUM(C54:C55)</f>
        <v>318.29090366280514</v>
      </c>
      <c r="D56" s="660">
        <f t="shared" ref="D56:Q56" ca="1" si="7">SUM(D54:D55)</f>
        <v>0</v>
      </c>
      <c r="E56" s="660">
        <f t="shared" si="7"/>
        <v>872.35191695734704</v>
      </c>
      <c r="F56" s="660">
        <f t="shared" si="7"/>
        <v>0.78113249634036575</v>
      </c>
      <c r="G56" s="660">
        <f t="shared" si="7"/>
        <v>169.12544657405596</v>
      </c>
      <c r="H56" s="660">
        <f t="shared" si="7"/>
        <v>0</v>
      </c>
      <c r="I56" s="660">
        <f t="shared" si="7"/>
        <v>0</v>
      </c>
      <c r="J56" s="660">
        <f t="shared" si="7"/>
        <v>0</v>
      </c>
      <c r="K56" s="660">
        <f t="shared" si="7"/>
        <v>14.600011358147668</v>
      </c>
      <c r="L56" s="660">
        <f t="shared" si="7"/>
        <v>0</v>
      </c>
      <c r="M56" s="660">
        <f t="shared" si="7"/>
        <v>0</v>
      </c>
      <c r="N56" s="660">
        <f t="shared" si="7"/>
        <v>0</v>
      </c>
      <c r="O56" s="660">
        <f t="shared" si="7"/>
        <v>0</v>
      </c>
      <c r="P56" s="660">
        <f t="shared" si="7"/>
        <v>0</v>
      </c>
      <c r="Q56" s="661">
        <f t="shared" si="7"/>
        <v>0</v>
      </c>
      <c r="R56" s="662">
        <f ca="1">SUM(R54:R55)</f>
        <v>1375.149411048696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10290.410568954663</v>
      </c>
      <c r="D61" s="668">
        <f t="shared" ref="D61:Q61" ca="1" si="8">D46+D52+D56</f>
        <v>0</v>
      </c>
      <c r="E61" s="668">
        <f t="shared" ca="1" si="8"/>
        <v>22253.066526279974</v>
      </c>
      <c r="F61" s="668">
        <f t="shared" si="8"/>
        <v>377.75073375001119</v>
      </c>
      <c r="G61" s="668">
        <f t="shared" ca="1" si="8"/>
        <v>7583.5310474460948</v>
      </c>
      <c r="H61" s="668">
        <f t="shared" si="8"/>
        <v>37175.529713778131</v>
      </c>
      <c r="I61" s="668">
        <f t="shared" si="8"/>
        <v>6487.3443629687263</v>
      </c>
      <c r="J61" s="668">
        <f t="shared" si="8"/>
        <v>0</v>
      </c>
      <c r="K61" s="668">
        <f t="shared" si="8"/>
        <v>165.28650714969902</v>
      </c>
      <c r="L61" s="668">
        <f t="shared" si="8"/>
        <v>0</v>
      </c>
      <c r="M61" s="668">
        <f t="shared" ca="1" si="8"/>
        <v>0</v>
      </c>
      <c r="N61" s="668">
        <f t="shared" si="8"/>
        <v>0</v>
      </c>
      <c r="O61" s="668">
        <f t="shared" ca="1" si="8"/>
        <v>0</v>
      </c>
      <c r="P61" s="668">
        <f t="shared" si="8"/>
        <v>0</v>
      </c>
      <c r="Q61" s="668">
        <f t="shared" si="8"/>
        <v>0</v>
      </c>
      <c r="R61" s="668">
        <f ca="1">R46+R52+R56</f>
        <v>84332.919460327306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0.21799614792992686</v>
      </c>
      <c r="D63" s="709">
        <f t="shared" ca="1" si="9"/>
        <v>0</v>
      </c>
      <c r="E63" s="941">
        <f t="shared" ca="1" si="9"/>
        <v>0.20200000000000004</v>
      </c>
      <c r="F63" s="709">
        <f t="shared" si="9"/>
        <v>0.22700000000000001</v>
      </c>
      <c r="G63" s="709">
        <f t="shared" ca="1" si="9"/>
        <v>0.26700000000000002</v>
      </c>
      <c r="H63" s="709">
        <f t="shared" si="9"/>
        <v>0.26700000000000007</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641.60856190852201</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641.60856190852201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23822.068346267377</v>
      </c>
      <c r="C4" s="441">
        <f>huishoudens!C8</f>
        <v>0</v>
      </c>
      <c r="D4" s="441">
        <f>huishoudens!D8</f>
        <v>77591.027568229998</v>
      </c>
      <c r="E4" s="441">
        <f>huishoudens!E8</f>
        <v>837.91456721154964</v>
      </c>
      <c r="F4" s="441">
        <f>huishoudens!F8</f>
        <v>22781.238538148631</v>
      </c>
      <c r="G4" s="441">
        <f>huishoudens!G8</f>
        <v>0</v>
      </c>
      <c r="H4" s="441">
        <f>huishoudens!H8</f>
        <v>0</v>
      </c>
      <c r="I4" s="441">
        <f>huishoudens!I8</f>
        <v>0</v>
      </c>
      <c r="J4" s="441">
        <f>huishoudens!J8</f>
        <v>420.12672877688755</v>
      </c>
      <c r="K4" s="441">
        <f>huishoudens!K8</f>
        <v>0</v>
      </c>
      <c r="L4" s="441">
        <f>huishoudens!L8</f>
        <v>0</v>
      </c>
      <c r="M4" s="441">
        <f>huishoudens!M8</f>
        <v>0</v>
      </c>
      <c r="N4" s="441">
        <f>huishoudens!N8</f>
        <v>7968.4080094295205</v>
      </c>
      <c r="O4" s="441">
        <f>huishoudens!O8</f>
        <v>59.406666666666666</v>
      </c>
      <c r="P4" s="442">
        <f>huishoudens!P8</f>
        <v>228.8</v>
      </c>
      <c r="Q4" s="443">
        <f>SUM(B4:P4)</f>
        <v>133708.99042473064</v>
      </c>
    </row>
    <row r="5" spans="1:17">
      <c r="A5" s="440" t="s">
        <v>149</v>
      </c>
      <c r="B5" s="441">
        <f ca="1">tertiair!B16</f>
        <v>18747.83971407</v>
      </c>
      <c r="C5" s="441">
        <f ca="1">tertiair!C16</f>
        <v>0</v>
      </c>
      <c r="D5" s="441">
        <f ca="1">tertiair!D16</f>
        <v>26378.607760722804</v>
      </c>
      <c r="E5" s="441">
        <f>tertiair!E16</f>
        <v>287.02380726130531</v>
      </c>
      <c r="F5" s="441">
        <f ca="1">tertiair!F16</f>
        <v>4341.7700149746452</v>
      </c>
      <c r="G5" s="441">
        <f>tertiair!G16</f>
        <v>0</v>
      </c>
      <c r="H5" s="441">
        <f>tertiair!H16</f>
        <v>0</v>
      </c>
      <c r="I5" s="441">
        <f>tertiair!I16</f>
        <v>0</v>
      </c>
      <c r="J5" s="441">
        <f>tertiair!J16</f>
        <v>3.7672828751085033E-2</v>
      </c>
      <c r="K5" s="441">
        <f>tertiair!K16</f>
        <v>0</v>
      </c>
      <c r="L5" s="441">
        <f ca="1">tertiair!L16</f>
        <v>0</v>
      </c>
      <c r="M5" s="441">
        <f>tertiair!M16</f>
        <v>0</v>
      </c>
      <c r="N5" s="441">
        <f ca="1">tertiair!N16</f>
        <v>1333.5655528268712</v>
      </c>
      <c r="O5" s="441">
        <f>tertiair!O16</f>
        <v>0</v>
      </c>
      <c r="P5" s="442">
        <f>tertiair!P16</f>
        <v>76.266666666666666</v>
      </c>
      <c r="Q5" s="440">
        <f t="shared" ref="Q5:Q14" ca="1" si="0">SUM(B5:P5)</f>
        <v>51165.111189351046</v>
      </c>
    </row>
    <row r="6" spans="1:17">
      <c r="A6" s="440" t="s">
        <v>187</v>
      </c>
      <c r="B6" s="441">
        <f>'openbare verlichting'!B8</f>
        <v>1475.655</v>
      </c>
      <c r="C6" s="441"/>
      <c r="D6" s="441"/>
      <c r="E6" s="441"/>
      <c r="F6" s="441"/>
      <c r="G6" s="441"/>
      <c r="H6" s="441"/>
      <c r="I6" s="441"/>
      <c r="J6" s="441"/>
      <c r="K6" s="441"/>
      <c r="L6" s="441"/>
      <c r="M6" s="441"/>
      <c r="N6" s="441"/>
      <c r="O6" s="441"/>
      <c r="P6" s="442"/>
      <c r="Q6" s="440">
        <f t="shared" si="0"/>
        <v>1475.655</v>
      </c>
    </row>
    <row r="7" spans="1:17">
      <c r="A7" s="440" t="s">
        <v>105</v>
      </c>
      <c r="B7" s="441">
        <f>landbouw!B8</f>
        <v>173.698280509</v>
      </c>
      <c r="C7" s="441">
        <f>landbouw!C8</f>
        <v>0</v>
      </c>
      <c r="D7" s="441">
        <f>landbouw!D8</f>
        <v>212.27176342349998</v>
      </c>
      <c r="E7" s="441">
        <f>landbouw!E8</f>
        <v>3.441112318680025</v>
      </c>
      <c r="F7" s="441">
        <f>landbouw!F8</f>
        <v>633.42863885414215</v>
      </c>
      <c r="G7" s="441">
        <f>landbouw!G8</f>
        <v>0</v>
      </c>
      <c r="H7" s="441">
        <f>landbouw!H8</f>
        <v>0</v>
      </c>
      <c r="I7" s="441">
        <f>landbouw!I8</f>
        <v>0</v>
      </c>
      <c r="J7" s="441">
        <f>landbouw!J8</f>
        <v>41.242969938270249</v>
      </c>
      <c r="K7" s="441">
        <f>landbouw!K8</f>
        <v>0</v>
      </c>
      <c r="L7" s="441">
        <f>landbouw!L8</f>
        <v>0</v>
      </c>
      <c r="M7" s="441">
        <f>landbouw!M8</f>
        <v>0</v>
      </c>
      <c r="N7" s="441">
        <f>landbouw!N8</f>
        <v>0</v>
      </c>
      <c r="O7" s="441">
        <f>landbouw!O8</f>
        <v>0</v>
      </c>
      <c r="P7" s="442">
        <f>landbouw!P8</f>
        <v>0</v>
      </c>
      <c r="Q7" s="440">
        <f t="shared" si="0"/>
        <v>1064.0827650435924</v>
      </c>
    </row>
    <row r="8" spans="1:17">
      <c r="A8" s="440" t="s">
        <v>600</v>
      </c>
      <c r="B8" s="441">
        <f>industrie!B18</f>
        <v>1639.3730942509999</v>
      </c>
      <c r="C8" s="441">
        <f>industrie!C18</f>
        <v>0</v>
      </c>
      <c r="D8" s="441">
        <f>industrie!D18</f>
        <v>1802.7176134894301</v>
      </c>
      <c r="E8" s="441">
        <f>industrie!E18</f>
        <v>154.36411273281789</v>
      </c>
      <c r="F8" s="441">
        <f>industrie!F18</f>
        <v>646.30081343866459</v>
      </c>
      <c r="G8" s="441">
        <f>industrie!G18</f>
        <v>0</v>
      </c>
      <c r="H8" s="441">
        <f>industrie!H18</f>
        <v>0</v>
      </c>
      <c r="I8" s="441">
        <f>industrie!I18</f>
        <v>0</v>
      </c>
      <c r="J8" s="441">
        <f>industrie!J18</f>
        <v>5.5036656021335659</v>
      </c>
      <c r="K8" s="441">
        <f>industrie!K18</f>
        <v>0</v>
      </c>
      <c r="L8" s="441">
        <f>industrie!L18</f>
        <v>0</v>
      </c>
      <c r="M8" s="441">
        <f>industrie!M18</f>
        <v>0</v>
      </c>
      <c r="N8" s="441">
        <f>industrie!N18</f>
        <v>320.81391782964488</v>
      </c>
      <c r="O8" s="441">
        <f>industrie!O18</f>
        <v>0</v>
      </c>
      <c r="P8" s="442">
        <f>industrie!P18</f>
        <v>0</v>
      </c>
      <c r="Q8" s="440">
        <f t="shared" si="0"/>
        <v>4569.0732173436918</v>
      </c>
    </row>
    <row r="9" spans="1:17" s="446" customFormat="1">
      <c r="A9" s="444" t="s">
        <v>549</v>
      </c>
      <c r="B9" s="445">
        <f>transport!B14</f>
        <v>50.265047262281847</v>
      </c>
      <c r="C9" s="445">
        <f>transport!C14</f>
        <v>0</v>
      </c>
      <c r="D9" s="445">
        <f>transport!D14</f>
        <v>72.768885887578037</v>
      </c>
      <c r="E9" s="445">
        <f>transport!E14</f>
        <v>381.35654915411038</v>
      </c>
      <c r="F9" s="445">
        <f>transport!F14</f>
        <v>0</v>
      </c>
      <c r="G9" s="445">
        <f>transport!G14</f>
        <v>137580.38902482</v>
      </c>
      <c r="H9" s="445">
        <f>transport!H14</f>
        <v>26053.591819151512</v>
      </c>
      <c r="I9" s="445">
        <f>transport!I14</f>
        <v>0</v>
      </c>
      <c r="J9" s="445">
        <f>transport!J14</f>
        <v>0</v>
      </c>
      <c r="K9" s="445">
        <f>transport!K14</f>
        <v>0</v>
      </c>
      <c r="L9" s="445">
        <f>transport!L14</f>
        <v>0</v>
      </c>
      <c r="M9" s="445">
        <f>transport!M14</f>
        <v>5109.0955654265817</v>
      </c>
      <c r="N9" s="445">
        <f>transport!N14</f>
        <v>0</v>
      </c>
      <c r="O9" s="445">
        <f>transport!O14</f>
        <v>0</v>
      </c>
      <c r="P9" s="445">
        <f>transport!P14</f>
        <v>0</v>
      </c>
      <c r="Q9" s="444">
        <f>SUM(B9:P9)</f>
        <v>169247.46689170206</v>
      </c>
    </row>
    <row r="10" spans="1:17">
      <c r="A10" s="440" t="s">
        <v>539</v>
      </c>
      <c r="B10" s="441">
        <f>transport!B54</f>
        <v>9.2752945749483278</v>
      </c>
      <c r="C10" s="441">
        <f>transport!C54</f>
        <v>0</v>
      </c>
      <c r="D10" s="441">
        <f>transport!D54</f>
        <v>0</v>
      </c>
      <c r="E10" s="441">
        <f>transport!E54</f>
        <v>0</v>
      </c>
      <c r="F10" s="441">
        <f>transport!F54</f>
        <v>0</v>
      </c>
      <c r="G10" s="441">
        <f>transport!G54</f>
        <v>1653.8046597422626</v>
      </c>
      <c r="H10" s="441">
        <f>transport!H54</f>
        <v>0</v>
      </c>
      <c r="I10" s="441">
        <f>transport!I54</f>
        <v>0</v>
      </c>
      <c r="J10" s="441">
        <f>transport!J54</f>
        <v>0</v>
      </c>
      <c r="K10" s="441">
        <f>transport!K54</f>
        <v>0</v>
      </c>
      <c r="L10" s="441">
        <f>transport!L54</f>
        <v>0</v>
      </c>
      <c r="M10" s="441">
        <f>transport!M54</f>
        <v>51.625373589441836</v>
      </c>
      <c r="N10" s="441">
        <f>transport!N54</f>
        <v>0</v>
      </c>
      <c r="O10" s="441">
        <f>transport!O54</f>
        <v>0</v>
      </c>
      <c r="P10" s="442">
        <f>transport!P54</f>
        <v>0</v>
      </c>
      <c r="Q10" s="440">
        <f t="shared" si="0"/>
        <v>1714.7053279066527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1286.3775359000001</v>
      </c>
      <c r="C14" s="448"/>
      <c r="D14" s="448">
        <f>'SEAP template'!E25</f>
        <v>4106.3020828999997</v>
      </c>
      <c r="E14" s="448"/>
      <c r="F14" s="448"/>
      <c r="G14" s="448"/>
      <c r="H14" s="448"/>
      <c r="I14" s="448"/>
      <c r="J14" s="448"/>
      <c r="K14" s="448"/>
      <c r="L14" s="448"/>
      <c r="M14" s="448"/>
      <c r="N14" s="448"/>
      <c r="O14" s="448"/>
      <c r="P14" s="449"/>
      <c r="Q14" s="440">
        <f t="shared" si="0"/>
        <v>5392.6796187999998</v>
      </c>
    </row>
    <row r="15" spans="1:17" s="450" customFormat="1">
      <c r="A15" s="956" t="s">
        <v>543</v>
      </c>
      <c r="B15" s="896">
        <f ca="1">SUM(B4:B14)</f>
        <v>47204.552312834603</v>
      </c>
      <c r="C15" s="896">
        <f t="shared" ref="C15:Q15" ca="1" si="1">SUM(C4:C14)</f>
        <v>0</v>
      </c>
      <c r="D15" s="896">
        <f t="shared" ca="1" si="1"/>
        <v>110163.69567465331</v>
      </c>
      <c r="E15" s="896">
        <f t="shared" si="1"/>
        <v>1664.1001486784633</v>
      </c>
      <c r="F15" s="896">
        <f t="shared" ca="1" si="1"/>
        <v>28402.738005416082</v>
      </c>
      <c r="G15" s="896">
        <f t="shared" si="1"/>
        <v>139234.19368456225</v>
      </c>
      <c r="H15" s="896">
        <f t="shared" si="1"/>
        <v>26053.591819151512</v>
      </c>
      <c r="I15" s="896">
        <f t="shared" si="1"/>
        <v>0</v>
      </c>
      <c r="J15" s="896">
        <f t="shared" si="1"/>
        <v>466.91103714604242</v>
      </c>
      <c r="K15" s="896">
        <f t="shared" si="1"/>
        <v>0</v>
      </c>
      <c r="L15" s="896">
        <f t="shared" ca="1" si="1"/>
        <v>0</v>
      </c>
      <c r="M15" s="896">
        <f t="shared" si="1"/>
        <v>5160.7209390160233</v>
      </c>
      <c r="N15" s="896">
        <f t="shared" ca="1" si="1"/>
        <v>9622.7874800860354</v>
      </c>
      <c r="O15" s="896">
        <f t="shared" si="1"/>
        <v>59.406666666666666</v>
      </c>
      <c r="P15" s="896">
        <f t="shared" si="1"/>
        <v>305.06666666666666</v>
      </c>
      <c r="Q15" s="896">
        <f t="shared" ca="1" si="1"/>
        <v>368337.76443487767</v>
      </c>
    </row>
    <row r="17" spans="1:17">
      <c r="A17" s="451" t="s">
        <v>544</v>
      </c>
      <c r="B17" s="714">
        <f ca="1">huishoudens!B10</f>
        <v>0.21799614792992689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5193.1191352097321</v>
      </c>
      <c r="C22" s="441">
        <f t="shared" ref="C22:C32" ca="1" si="3">C4*$C$17</f>
        <v>0</v>
      </c>
      <c r="D22" s="441">
        <f t="shared" ref="D22:D32" si="4">D4*$D$17</f>
        <v>15673.38756878246</v>
      </c>
      <c r="E22" s="441">
        <f t="shared" ref="E22:E32" si="5">E4*$E$17</f>
        <v>190.20660675702177</v>
      </c>
      <c r="F22" s="441">
        <f t="shared" ref="F22:F32" si="6">F4*$F$17</f>
        <v>6082.590689685685</v>
      </c>
      <c r="G22" s="441">
        <f t="shared" ref="G22:G32" si="7">G4*$G$17</f>
        <v>0</v>
      </c>
      <c r="H22" s="441">
        <f t="shared" ref="H22:H32" si="8">H4*$H$17</f>
        <v>0</v>
      </c>
      <c r="I22" s="441">
        <f t="shared" ref="I22:I32" si="9">I4*$I$17</f>
        <v>0</v>
      </c>
      <c r="J22" s="441">
        <f t="shared" ref="J22:J32" si="10">J4*$J$17</f>
        <v>148.72486198701819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27288.028862421921</v>
      </c>
    </row>
    <row r="23" spans="1:17">
      <c r="A23" s="440" t="s">
        <v>149</v>
      </c>
      <c r="B23" s="441">
        <f t="shared" ca="1" si="2"/>
        <v>4086.9568396749619</v>
      </c>
      <c r="C23" s="441">
        <f t="shared" ca="1" si="3"/>
        <v>0</v>
      </c>
      <c r="D23" s="441">
        <f t="shared" ca="1" si="4"/>
        <v>5328.4787676660062</v>
      </c>
      <c r="E23" s="441">
        <f t="shared" si="5"/>
        <v>65.154404248316311</v>
      </c>
      <c r="F23" s="441">
        <f t="shared" ca="1" si="6"/>
        <v>1159.2525939982304</v>
      </c>
      <c r="G23" s="441">
        <f t="shared" si="7"/>
        <v>0</v>
      </c>
      <c r="H23" s="441">
        <f t="shared" si="8"/>
        <v>0</v>
      </c>
      <c r="I23" s="441">
        <f t="shared" si="9"/>
        <v>0</v>
      </c>
      <c r="J23" s="441">
        <f t="shared" si="10"/>
        <v>1.3336181377884102E-2</v>
      </c>
      <c r="K23" s="441">
        <f t="shared" si="11"/>
        <v>0</v>
      </c>
      <c r="L23" s="441">
        <f t="shared" ca="1" si="12"/>
        <v>0</v>
      </c>
      <c r="M23" s="441">
        <f t="shared" si="13"/>
        <v>0</v>
      </c>
      <c r="N23" s="441">
        <f t="shared" ca="1" si="14"/>
        <v>0</v>
      </c>
      <c r="O23" s="441">
        <f t="shared" si="15"/>
        <v>0</v>
      </c>
      <c r="P23" s="442">
        <f t="shared" si="16"/>
        <v>0</v>
      </c>
      <c r="Q23" s="440">
        <f t="shared" ref="Q23:Q32" ca="1" si="17">SUM(B23:P23)</f>
        <v>10639.855941768894</v>
      </c>
    </row>
    <row r="24" spans="1:17">
      <c r="A24" s="440" t="s">
        <v>187</v>
      </c>
      <c r="B24" s="441">
        <f t="shared" ca="1" si="2"/>
        <v>321.68710567353628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321.68710567353628</v>
      </c>
    </row>
    <row r="25" spans="1:17">
      <c r="A25" s="440" t="s">
        <v>105</v>
      </c>
      <c r="B25" s="441">
        <f t="shared" ca="1" si="2"/>
        <v>37.865556053013897</v>
      </c>
      <c r="C25" s="441">
        <f t="shared" ca="1" si="3"/>
        <v>0</v>
      </c>
      <c r="D25" s="441">
        <f t="shared" si="4"/>
        <v>42.878896211547001</v>
      </c>
      <c r="E25" s="441">
        <f t="shared" si="5"/>
        <v>0.78113249634036575</v>
      </c>
      <c r="F25" s="441">
        <f t="shared" si="6"/>
        <v>169.12544657405596</v>
      </c>
      <c r="G25" s="441">
        <f t="shared" si="7"/>
        <v>0</v>
      </c>
      <c r="H25" s="441">
        <f t="shared" si="8"/>
        <v>0</v>
      </c>
      <c r="I25" s="441">
        <f t="shared" si="9"/>
        <v>0</v>
      </c>
      <c r="J25" s="441">
        <f t="shared" si="10"/>
        <v>14.600011358147668</v>
      </c>
      <c r="K25" s="441">
        <f t="shared" si="11"/>
        <v>0</v>
      </c>
      <c r="L25" s="441">
        <f t="shared" si="12"/>
        <v>0</v>
      </c>
      <c r="M25" s="441">
        <f t="shared" si="13"/>
        <v>0</v>
      </c>
      <c r="N25" s="441">
        <f t="shared" si="14"/>
        <v>0</v>
      </c>
      <c r="O25" s="441">
        <f t="shared" si="15"/>
        <v>0</v>
      </c>
      <c r="P25" s="442">
        <f t="shared" si="16"/>
        <v>0</v>
      </c>
      <c r="Q25" s="440">
        <f t="shared" ca="1" si="17"/>
        <v>265.25104269310486</v>
      </c>
    </row>
    <row r="26" spans="1:17">
      <c r="A26" s="440" t="s">
        <v>600</v>
      </c>
      <c r="B26" s="441">
        <f t="shared" ca="1" si="2"/>
        <v>357.37701956668292</v>
      </c>
      <c r="C26" s="441">
        <f t="shared" ca="1" si="3"/>
        <v>0</v>
      </c>
      <c r="D26" s="441">
        <f t="shared" si="4"/>
        <v>364.14895792486487</v>
      </c>
      <c r="E26" s="441">
        <f t="shared" si="5"/>
        <v>35.040653590349663</v>
      </c>
      <c r="F26" s="441">
        <f t="shared" si="6"/>
        <v>172.56231718812344</v>
      </c>
      <c r="G26" s="441">
        <f t="shared" si="7"/>
        <v>0</v>
      </c>
      <c r="H26" s="441">
        <f t="shared" si="8"/>
        <v>0</v>
      </c>
      <c r="I26" s="441">
        <f t="shared" si="9"/>
        <v>0</v>
      </c>
      <c r="J26" s="441">
        <f t="shared" si="10"/>
        <v>1.9482976231552822</v>
      </c>
      <c r="K26" s="441">
        <f t="shared" si="11"/>
        <v>0</v>
      </c>
      <c r="L26" s="441">
        <f t="shared" si="12"/>
        <v>0</v>
      </c>
      <c r="M26" s="441">
        <f t="shared" si="13"/>
        <v>0</v>
      </c>
      <c r="N26" s="441">
        <f t="shared" si="14"/>
        <v>0</v>
      </c>
      <c r="O26" s="441">
        <f t="shared" si="15"/>
        <v>0</v>
      </c>
      <c r="P26" s="442">
        <f t="shared" si="16"/>
        <v>0</v>
      </c>
      <c r="Q26" s="440">
        <f t="shared" ca="1" si="17"/>
        <v>931.07724589317615</v>
      </c>
    </row>
    <row r="27" spans="1:17" s="446" customFormat="1">
      <c r="A27" s="444" t="s">
        <v>549</v>
      </c>
      <c r="B27" s="708">
        <f t="shared" ca="1" si="2"/>
        <v>10.957586678693159</v>
      </c>
      <c r="C27" s="445">
        <f t="shared" ca="1" si="3"/>
        <v>0</v>
      </c>
      <c r="D27" s="445">
        <f t="shared" si="4"/>
        <v>14.699314949290764</v>
      </c>
      <c r="E27" s="445">
        <f t="shared" si="5"/>
        <v>86.567936657983054</v>
      </c>
      <c r="F27" s="445">
        <f t="shared" si="6"/>
        <v>0</v>
      </c>
      <c r="G27" s="445">
        <f t="shared" si="7"/>
        <v>36733.963869626947</v>
      </c>
      <c r="H27" s="445">
        <f t="shared" si="8"/>
        <v>6487.3443629687263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43333.53307088164</v>
      </c>
    </row>
    <row r="28" spans="1:17">
      <c r="A28" s="440" t="s">
        <v>539</v>
      </c>
      <c r="B28" s="441">
        <f t="shared" ca="1" si="2"/>
        <v>2.0219784882540841</v>
      </c>
      <c r="C28" s="441">
        <f t="shared" ca="1" si="3"/>
        <v>0</v>
      </c>
      <c r="D28" s="441">
        <f t="shared" si="4"/>
        <v>0</v>
      </c>
      <c r="E28" s="441">
        <f t="shared" si="5"/>
        <v>0</v>
      </c>
      <c r="F28" s="441">
        <f t="shared" si="6"/>
        <v>0</v>
      </c>
      <c r="G28" s="441">
        <f t="shared" si="7"/>
        <v>441.56584415118414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443.58782263943823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280.42534760979123</v>
      </c>
      <c r="C32" s="441">
        <f t="shared" ca="1" si="3"/>
        <v>0</v>
      </c>
      <c r="D32" s="441">
        <f t="shared" si="4"/>
        <v>829.4730207458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1109.8983683555912</v>
      </c>
    </row>
    <row r="33" spans="1:17" s="450" customFormat="1">
      <c r="A33" s="956" t="s">
        <v>543</v>
      </c>
      <c r="B33" s="896">
        <f ca="1">SUM(B22:B32)</f>
        <v>10290.410568954663</v>
      </c>
      <c r="C33" s="896">
        <f t="shared" ref="C33:Q33" ca="1" si="18">SUM(C22:C32)</f>
        <v>0</v>
      </c>
      <c r="D33" s="896">
        <f t="shared" ca="1" si="18"/>
        <v>22253.066526279974</v>
      </c>
      <c r="E33" s="896">
        <f t="shared" si="18"/>
        <v>377.75073375001119</v>
      </c>
      <c r="F33" s="896">
        <f t="shared" ca="1" si="18"/>
        <v>7583.5310474460948</v>
      </c>
      <c r="G33" s="896">
        <f t="shared" si="18"/>
        <v>37175.529713778131</v>
      </c>
      <c r="H33" s="896">
        <f t="shared" si="18"/>
        <v>6487.3443629687263</v>
      </c>
      <c r="I33" s="896">
        <f t="shared" si="18"/>
        <v>0</v>
      </c>
      <c r="J33" s="896">
        <f t="shared" si="18"/>
        <v>165.28650714969902</v>
      </c>
      <c r="K33" s="896">
        <f t="shared" si="18"/>
        <v>0</v>
      </c>
      <c r="L33" s="896">
        <f t="shared" ca="1" si="18"/>
        <v>0</v>
      </c>
      <c r="M33" s="896">
        <f t="shared" si="18"/>
        <v>0</v>
      </c>
      <c r="N33" s="896">
        <f t="shared" ca="1" si="18"/>
        <v>0</v>
      </c>
      <c r="O33" s="896">
        <f t="shared" si="18"/>
        <v>0</v>
      </c>
      <c r="P33" s="896">
        <f t="shared" si="18"/>
        <v>0</v>
      </c>
      <c r="Q33" s="896">
        <f t="shared" ca="1" si="18"/>
        <v>84332.919460327292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641.60856190852201</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641.60856190852201</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0.21799614792992689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0.21799614792992689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2022-07-26T11:04:04Z</dcterms:modified>
</cp:coreProperties>
</file>