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9FD67947-A83A-4795-AC47-561FB4AC9DE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<sst xmlns="http://schemas.openxmlformats.org/spreadsheetml/2006/main" count="2411" uniqueCount="890">
  <si>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</si>
  <si>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</si>
  <si>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</si>
  <si>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</si>
  <si>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</si>
  <si>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</si>
  <si>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</si>
  <si>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</si>
  <si>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</si>
  <si>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</si>
  <si>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</si>
  <si>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</si>
  <si>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</si>
  <si>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</si>
  <si>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</si>
  <si>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</si>
  <si>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</si>
  <si>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</si>
  <si>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</si>
  <si>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</si>
  <si>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</si>
  <si>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</si>
  <si>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</si>
  <si>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</si>
  <si>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</si>
  <si>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</si>
  <si>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</si>
  <si>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</si>
  <si>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</si>
  <si>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</si>
  <si>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</si>
  <si>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</si>
  <si>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</si>
  <si>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</si>
  <si>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</si>
  <si>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</si>
  <si>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</si>
  <si>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</si>
  <si>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</si>
  <si>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</si>
  <si>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</si>
  <si>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</si>
  <si>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</si>
  <si>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</si>
  <si>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</si>
  <si>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</si>
  <si>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</si>
  <si>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</si>
  <si>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</si>
  <si>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</si>
  <si>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</si>
  <si>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</si>
  <si>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</si>
  <si>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</si>
  <si>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</si>
  <si>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</si>
  <si>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</si>
  <si>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</si>
  <si>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</si>
  <si>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</si>
  <si>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</si>
  <si>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</si>
  <si>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</si>
  <si>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</si>
  <si>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</si>
  <si>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</si>
  <si>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</si>
  <si>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</si>
  <si>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</si>
  <si>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</si>
  <si>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</si>
  <si>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</si>
  <si>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</si>
  <si>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</si>
  <si>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</si>
  <si>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</si>
  <si>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</si>
  <si>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</si>
  <si>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</si>
  <si>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</si>
  <si>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</si>
  <si>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</si>
  <si>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</si>
  <si>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</si>
  <si>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</si>
  <si>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</si>
  <si>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</si>
  <si>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</si>
  <si>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</si>
  <si>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</si>
  <si>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</si>
  <si>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</si>
  <si>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</si>
  <si>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</si>
  <si>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</si>
  <si>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</si>
  <si>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</si>
  <si>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</si>
  <si>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</si>
  <si>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</si>
  <si>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</si>
  <si>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</si>
  <si>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</si>
  <si>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</si>
  <si>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</si>
  <si>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</si>
  <si>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</si>
  <si>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</si>
  <si>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</si>
  <si>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</si>
  <si>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</si>
  <si>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</si>
  <si>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</si>
  <si>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</si>
  <si>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</si>
  <si>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</si>
  <si>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</si>
  <si>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</si>
  <si>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</si>
  <si>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</si>
  <si>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</si>
  <si>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</si>
  <si>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</si>
  <si>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</si>
  <si>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</si>
  <si>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</si>
  <si>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</si>
  <si>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</si>
  <si>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</si>
  <si>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</si>
  <si>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</si>
  <si>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</si>
  <si>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</si>
  <si>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</si>
  <si>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</si>
  <si>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</si>
  <si>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</si>
  <si>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</si>
  <si>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</si>
  <si>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</si>
  <si>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</si>
  <si>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</si>
  <si>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</si>
  <si>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</si>
  <si>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</si>
  <si>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</si>
  <si>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</si>
  <si>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</si>
  <si>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</si>
  <si>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</si>
  <si>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</si>
  <si>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</si>
  <si>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</si>
  <si>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</si>
  <si>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</si>
  <si>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</si>
  <si>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</si>
  <si>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</si>
  <si>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</si>
  <si>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</si>
  <si>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</si>
  <si>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</si>
  <si>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</si>
  <si>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</si>
  <si>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</si>
  <si>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</si>
  <si>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</si>
  <si>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</si>
  <si>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</si>
  <si>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</si>
  <si>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</si>
  <si>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</si>
  <si>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</si>
  <si>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</si>
  <si>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</si>
  <si>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</si>
  <si>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</si>
  <si>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</si>
  <si>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</si>
  <si>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</si>
  <si>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</si>
  <si>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</si>
  <si>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</si>
  <si>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</si>
  <si>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</si>
  <si>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</si>
  <si>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</si>
  <si>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</si>
  <si>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</si>
  <si>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</si>
  <si>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</si>
  <si>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</si>
  <si>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</si>
  <si>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</si>
  <si>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</si>
  <si>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</si>
  <si>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</si>
  <si>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</si>
  <si>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</si>
  <si>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</si>
  <si>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</si>
  <si>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</si>
  <si>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</si>
  <si>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</si>
  <si>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</si>
  <si>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</si>
  <si>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</si>
  <si>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</si>
  <si>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</si>
  <si>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</si>
  <si>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</si>
  <si>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</si>
  <si>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</si>
  <si>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</si>
  <si>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</si>
  <si>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</si>
  <si>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</si>
  <si>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</si>
  <si>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</si>
  <si>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</si>
  <si>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</si>
  <si>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</si>
  <si>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</si>
  <si>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</si>
  <si>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</si>
  <si>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</si>
  <si>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</si>
  <si>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</si>
  <si>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</si>
  <si>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</si>
  <si>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</si>
  <si>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</si>
  <si>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</si>
  <si>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</si>
  <si>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</si>
  <si>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</si>
  <si>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</si>
  <si>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</si>
  <si>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</si>
  <si>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</si>
  <si>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</si>
  <si>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</si>
  <si>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</si>
  <si>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</si>
  <si>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</si>
  <si>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</si>
  <si>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</si>
  <si>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</si>
  <si>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</si>
  <si>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</si>
  <si>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</si>
  <si>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</si>
  <si>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</si>
  <si>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</si>
  <si>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</si>
  <si>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</si>
  <si>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</si>
  <si>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</si>
  <si>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</si>
  <si>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</si>
  <si>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</si>
  <si>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</si>
  <si>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</si>
  <si>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</si>
  <si>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</si>
  <si>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</si>
  <si>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</si>
  <si>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</si>
  <si>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</si>
  <si>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</si>
  <si>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</si>
  <si>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</si>
  <si>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</si>
  <si>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</si>
  <si>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</si>
  <si>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</si>
  <si>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</si>
  <si>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</si>
  <si>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</si>
  <si>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</si>
  <si>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</si>
  <si>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</si>
  <si>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</si>
  <si>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</si>
  <si>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</si>
  <si>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</si>
  <si>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</si>
  <si>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</si>
  <si>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</si>
  <si>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</si>
  <si>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</si>
  <si>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</si>
  <si>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</si>
  <si>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</si>
  <si>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</si>
  <si>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</si>
  <si>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</si>
  <si>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</si>
  <si>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</si>
  <si>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</si>
  <si>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</si>
  <si>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</si>
  <si>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</si>
  <si>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</si>
  <si>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</si>
  <si>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</si>
  <si>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</si>
  <si>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</si>
  <si>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</si>
  <si>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</si>
  <si>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</si>
  <si>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</si>
  <si>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</si>
  <si>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</si>
  <si>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</si>
  <si>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</si>
  <si>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</si>
  <si>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</si>
  <si>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</si>
  <si>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</si>
  <si>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</si>
  <si>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</si>
  <si>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</si>
  <si>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</si>
  <si>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</si>
  <si>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</si>
  <si>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</si>
  <si>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</si>
  <si>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</si>
  <si>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</si>
  <si>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</si>
  <si>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</si>
  <si>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</si>
  <si>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</si>
  <si>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</si>
  <si>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</si>
  <si>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</si>
  <si>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</si>
  <si>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</si>
  <si>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</si>
  <si>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</si>
  <si>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</si>
  <si>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</si>
  <si>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</si>
  <si>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</si>
  <si>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</si>
  <si>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</si>
  <si>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</si>
  <si>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</si>
  <si>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</si>
  <si>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</si>
  <si>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</si>
  <si>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</si>
  <si>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</si>
  <si>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</si>
  <si>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</si>
  <si>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</si>
  <si>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</si>
  <si>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</si>
  <si>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</si>
  <si>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</si>
  <si>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</si>
  <si>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</si>
  <si>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</si>
  <si>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</si>
  <si>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</si>
  <si>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</si>
  <si>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</si>
  <si>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</si>
  <si>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</si>
  <si>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</si>
  <si>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</si>
  <si>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</si>
  <si>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</si>
  <si>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</si>
  <si>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</si>
  <si>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</si>
  <si>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</si>
  <si>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</si>
  <si>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</si>
  <si>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</si>
  <si>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</si>
  <si>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</si>
  <si>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</si>
  <si>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</si>
  <si>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</si>
  <si>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</si>
  <si>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</si>
  <si>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</si>
  <si>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</si>
  <si>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</si>
  <si>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</si>
  <si>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</si>
  <si>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</si>
  <si>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</si>
  <si>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</si>
  <si>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</si>
  <si>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</si>
  <si>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</si>
  <si>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</si>
  <si>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</si>
  <si>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</si>
  <si>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</si>
  <si>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</si>
  <si>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</si>
  <si>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</si>
  <si>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</si>
  <si>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</si>
  <si>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</si>
  <si>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</si>
  <si>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</si>
  <si>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</si>
  <si>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</si>
  <si>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</si>
  <si>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</si>
  <si>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</si>
  <si>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</si>
  <si>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</si>
  <si>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</si>
  <si>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</si>
  <si>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</si>
  <si>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</si>
  <si>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</si>
  <si>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</si>
  <si>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</si>
  <si>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</si>
  <si>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</si>
  <si>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</si>
  <si>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</si>
  <si>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</si>
  <si>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</si>
  <si>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</si>
  <si>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</si>
  <si>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</si>
  <si>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</si>
  <si>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</si>
  <si>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</si>
  <si>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</si>
  <si>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</si>
  <si>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</si>
  <si>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</si>
  <si>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</si>
  <si>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</si>
  <si>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</si>
  <si>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</si>
  <si>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</si>
  <si>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</si>
  <si>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</si>
  <si>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</si>
  <si>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</si>
  <si>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</si>
  <si>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</si>
  <si>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</si>
  <si>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</si>
  <si>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</si>
  <si>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</si>
  <si>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</si>
  <si>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</si>
  <si>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</si>
  <si>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</si>
  <si>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</si>
  <si>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</si>
  <si>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</si>
  <si>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</si>
  <si>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</si>
  <si>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</si>
  <si>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</si>
  <si>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</si>
  <si>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</si>
  <si>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</si>
  <si>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</si>
  <si>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</si>
  <si>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</si>
  <si>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</si>
  <si>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</si>
  <si>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</si>
  <si>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</si>
  <si>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</si>
  <si>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</si>
  <si>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</si>
  <si>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</si>
  <si>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</si>
  <si>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</si>
  <si>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</si>
  <si>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</si>
  <si>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</si>
  <si>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</si>
  <si>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</si>
  <si>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</si>
  <si>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</si>
  <si>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</si>
  <si>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</si>
  <si>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</si>
  <si>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</si>
  <si>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</si>
  <si>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</si>
  <si>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</si>
  <si>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</si>
  <si>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</si>
  <si>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</si>
  <si>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</si>
  <si>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</si>
  <si>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</si>
  <si>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</si>
  <si>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</si>
  <si>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</si>
  <si>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</si>
  <si>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</si>
  <si>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</si>
  <si>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</si>
  <si>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</si>
  <si>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</si>
  <si>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</si>
  <si>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</si>
  <si>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</si>
  <si>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</si>
  <si>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</si>
  <si>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</si>
  <si>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</si>
  <si>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</si>
  <si>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</si>
  <si>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</si>
  <si>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</si>
  <si>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</si>
  <si>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</si>
  <si>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</si>
  <si>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</si>
  <si>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</si>
  <si>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</si>
  <si>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</si>
  <si>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</si>
  <si>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</si>
  <si>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</si>
  <si>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</si>
  <si>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</si>
  <si>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</si>
  <si>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</si>
  <si>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</si>
  <si>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</si>
  <si>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</si>
  <si>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</si>
  <si>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</si>
  <si>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</si>
  <si>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</si>
  <si>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</si>
  <si>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</si>
  <si>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</si>
  <si>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</si>
  <si>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</si>
  <si>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</si>
  <si>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</si>
  <si>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</si>
  <si>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</si>
  <si>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</si>
  <si>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</si>
  <si>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</si>
  <si>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</si>
  <si>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</si>
  <si>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</si>
  <si>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</si>
  <si>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</si>
  <si>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</si>
  <si>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</si>
  <si>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</si>
  <si>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</si>
  <si>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</si>
  <si>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</si>
  <si>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</si>
  <si>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</si>
  <si>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</si>
  <si>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</si>
  <si>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</si>
  <si>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</si>
  <si>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</si>
  <si>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</si>
  <si>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</si>
  <si>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</si>
  <si>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</si>
  <si>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</si>
  <si>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</si>
  <si>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</si>
  <si>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</si>
  <si>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</si>
  <si>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</si>
  <si>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</si>
  <si>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</si>
  <si>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</si>
  <si>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</si>
  <si>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</si>
  <si>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</si>
  <si>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</si>
  <si>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</si>
  <si>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</si>
  <si>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</si>
  <si>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</si>
  <si>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</si>
  <si>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</si>
  <si>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</si>
  <si>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</si>
  <si>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</si>
  <si>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</si>
  <si>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</si>
  <si>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</si>
  <si>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</si>
  <si>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</si>
  <si>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</si>
  <si>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</si>
  <si>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</si>
  <si>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</si>
  <si>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</si>
  <si>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</si>
  <si>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</si>
  <si>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</si>
  <si>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</si>
  <si>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</si>
  <si>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</si>
  <si>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</si>
  <si>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</si>
  <si>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</si>
  <si>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</si>
  <si>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</si>
  <si>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</si>
  <si>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</si>
  <si>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</si>
  <si>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</si>
  <si>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</si>
  <si>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</si>
  <si>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</si>
  <si>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</si>
  <si>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</si>
  <si>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</si>
  <si>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</si>
  <si>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</si>
  <si>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</si>
  <si>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</si>
  <si>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</si>
  <si>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</si>
  <si>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</si>
  <si>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</si>
  <si>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</si>
  <si>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</si>
  <si>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</si>
  <si>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</si>
  <si>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</si>
  <si>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</si>
  <si>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</si>
  <si>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</si>
  <si>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</si>
  <si>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</si>
  <si>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</si>
  <si>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</si>
  <si>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</si>
  <si>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</si>
  <si>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</si>
  <si>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</si>
  <si>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</si>
  <si>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</si>
  <si>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</si>
  <si>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</si>
  <si>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</si>
  <si>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</si>
  <si>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</si>
  <si>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</si>
  <si>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</si>
  <si>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</si>
  <si>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</si>
  <si>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</si>
  <si>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</si>
  <si>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</si>
  <si>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</si>
  <si>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</si>
  <si>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</si>
  <si>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</si>
  <si>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</si>
  <si>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</si>
  <si>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</si>
  <si>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</si>
  <si>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</si>
  <si>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</si>
  <si>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</si>
  <si>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</si>
  <si>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</si>
  <si>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</si>
  <si>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</si>
  <si>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</si>
  <si>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</si>
  <si>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</si>
  <si>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</si>
  <si>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</si>
  <si>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</si>
  <si>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</si>
  <si>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</si>
  <si>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</si>
  <si>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</si>
  <si>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</si>
  <si>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</si>
  <si>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</si>
  <si>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</si>
  <si>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</si>
  <si>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</si>
  <si>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</si>
  <si>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</si>
  <si>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</si>
  <si>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</si>
  <si>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</si>
  <si>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</si>
  <si>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</si>
  <si>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</si>
  <si>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</si>
  <si>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</si>
  <si>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</si>
  <si>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</si>
  <si>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</si>
  <si>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</si>
  <si>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</si>
  <si>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</si>
  <si>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</si>
  <si>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</si>
  <si>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</si>
  <si>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</si>
  <si>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</si>
  <si>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</si>
  <si>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</si>
  <si>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</si>
  <si>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</si>
  <si>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</si>
  <si>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</si>
  <si>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</si>
  <si>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</si>
  <si>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</si>
  <si>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</si>
  <si>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</si>
  <si>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</si>
  <si>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</si>
  <si>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</si>
  <si>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</si>
  <si>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</si>
  <si>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</si>
  <si>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</si>
  <si>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</si>
  <si>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</si>
  <si>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</si>
  <si>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</si>
  <si>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</si>
  <si>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</si>
  <si>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</si>
  <si>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</si>
  <si>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</si>
  <si>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</si>
  <si>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</si>
  <si>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</si>
  <si>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</si>
  <si>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</si>
  <si>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</si>
  <si>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</si>
  <si>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</si>
  <si>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</si>
  <si>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</si>
  <si>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</si>
  <si>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</si>
  <si>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</si>
  <si>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</si>
  <si>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</si>
  <si>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</si>
  <si>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</si>
  <si>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</si>
  <si>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</si>
  <si>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</si>
  <si>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</si>
  <si>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</si>
  <si>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</si>
  <si>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</si>
  <si>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</si>
  <si>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</si>
  <si>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</si>
  <si>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</si>
  <si>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</si>
  <si>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</si>
  <si>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</si>
  <si>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</si>
  <si>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</si>
  <si>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</si>
  <si>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</si>
  <si>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</si>
  <si>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</si>
  <si>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</si>
  <si>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</si>
  <si>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</si>
  <si>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</si>
  <si>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</si>
  <si>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</si>
  <si>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</si>
  <si>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</si>
  <si>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</si>
  <si>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</si>
  <si>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</si>
  <si>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</si>
  <si>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</si>
  <si>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</si>
  <si>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</si>
  <si>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</si>
  <si>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</si>
  <si>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</si>
  <si>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</si>
  <si>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</si>
  <si>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</si>
  <si>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</si>
  <si>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</si>
  <si>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</si>
  <si>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</si>
  <si>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</si>
  <si>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</si>
  <si>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</si>
  <si>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</si>
  <si>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</si>
  <si>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</si>
  <si>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</si>
  <si>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</si>
  <si>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</si>
  <si>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</si>
  <si>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</si>
  <si>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</si>
  <si>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</si>
  <si>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</si>
  <si>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</si>
  <si>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</si>
  <si>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</si>
  <si>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</si>
  <si>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</si>
  <si>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</si>
  <si>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</si>
  <si>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</si>
  <si>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</si>
  <si>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</si>
  <si>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</si>
  <si>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</si>
  <si>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</si>
  <si>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</si>
  <si>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</si>
  <si>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</si>
  <si>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</si>
  <si>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</si>
  <si>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</si>
  <si>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</si>
  <si>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</si>
  <si>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</si>
  <si>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</si>
  <si>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</si>
  <si>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</si>
  <si>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</si>
  <si>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</si>
  <si>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</si>
  <si>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</si>
  <si>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</si>
  <si>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</si>
  <si>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</si>
  <si>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</si>
  <si>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</si>
  <si>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</si>
  <si>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</si>
  <si>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</si>
  <si>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</si>
  <si>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</si>
  <si>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</si>
  <si>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</si>
  <si>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</si>
  <si>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</si>
  <si>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</si>
  <si>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</si>
  <si>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</si>
  <si>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</si>
  <si>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</si>
  <si>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</si>
  <si>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</si>
  <si>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</si>
  <si>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</si>
  <si>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</si>
  <si>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</si>
  <si>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</si>
  <si>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</si>
  <si>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</si>
  <si>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</si>
  <si>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23024</t>
  </si>
  <si>
    <t>GOOIK</t>
  </si>
  <si>
    <t>Paarden&amp;pony's 200 - 600 kg</t>
  </si>
  <si>
    <t>Paarden&amp;pony's &lt; 200 kg</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</si>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</sst>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2E13B88A-31D1-42B4-AAB7-1508C16A125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77943.845139756799</c:v>
                </c:pt>
                <c:pt idx="1">
                  <c:v>13208.057032820827</c:v>
                </c:pt>
                <c:pt idx="2">
                  <c:v>531.76</c:v>
                </c:pt>
                <c:pt idx="3">
                  <c:v>5314.7882014188244</c:v>
                </c:pt>
                <c:pt idx="4">
                  <c:v>3838.8520386724144</c:v>
                </c:pt>
                <c:pt idx="5">
                  <c:v>70138.226568915517</c:v>
                </c:pt>
                <c:pt idx="6">
                  <c:v>2425.3655876730081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77943.845139756799</c:v>
                </c:pt>
                <c:pt idx="1">
                  <c:v>13208.057032820827</c:v>
                </c:pt>
                <c:pt idx="2">
                  <c:v>531.76</c:v>
                </c:pt>
                <c:pt idx="3">
                  <c:v>5314.7882014188244</c:v>
                </c:pt>
                <c:pt idx="4">
                  <c:v>3838.8520386724144</c:v>
                </c:pt>
                <c:pt idx="5">
                  <c:v>70138.226568915517</c:v>
                </c:pt>
                <c:pt idx="6">
                  <c:v>2425.3655876730081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16965.382651999262</c:v>
                </c:pt>
                <c:pt idx="2">
                  <c:v>2675.3779111108529</c:v>
                </c:pt>
                <c:pt idx="3">
                  <c:v>105.55267340774698</c:v>
                </c:pt>
                <c:pt idx="4">
                  <c:v>1342.9919794513378</c:v>
                </c:pt>
                <c:pt idx="5">
                  <c:v>742.56456219320944</c:v>
                </c:pt>
                <c:pt idx="6">
                  <c:v>17959.190878122063</c:v>
                </c:pt>
                <c:pt idx="7">
                  <c:v>627.17714019305333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16965.382651999262</c:v>
                </c:pt>
                <c:pt idx="2">
                  <c:v>2675.3779111108529</c:v>
                </c:pt>
                <c:pt idx="3">
                  <c:v>105.55267340774698</c:v>
                </c:pt>
                <c:pt idx="4">
                  <c:v>1342.9919794513378</c:v>
                </c:pt>
                <c:pt idx="5">
                  <c:v>742.56456219320944</c:v>
                </c:pt>
                <c:pt idx="6">
                  <c:v>17959.190878122063</c:v>
                </c:pt>
                <c:pt idx="7">
                  <c:v>627.17714019305333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23024</v>
      </c>
      <c r="B6" s="380"/>
      <c r="C6" s="381"/>
    </row>
    <row r="7" spans="1:7" s="378" customFormat="1" ht="15.75" customHeight="1">
      <c r="A7" s="382" t="str">
        <f>txtMunicipality</f>
        <v>GOOIK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0.19849682828296034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0.19849682828296034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3640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2671.05</v>
      </c>
      <c r="C14" s="322"/>
      <c r="D14" s="322"/>
      <c r="E14" s="322"/>
      <c r="F14" s="322"/>
    </row>
    <row r="15" spans="1:6">
      <c r="A15" s="1248" t="s">
        <v>177</v>
      </c>
      <c r="B15" s="1249">
        <v>51</v>
      </c>
      <c r="C15" s="322"/>
      <c r="D15" s="322"/>
      <c r="E15" s="322"/>
      <c r="F15" s="322"/>
    </row>
    <row r="16" spans="1:6">
      <c r="A16" s="1248" t="s">
        <v>6</v>
      </c>
      <c r="B16" s="1249">
        <v>1519</v>
      </c>
      <c r="C16" s="322"/>
      <c r="D16" s="322"/>
      <c r="E16" s="322"/>
      <c r="F16" s="322"/>
    </row>
    <row r="17" spans="1:6">
      <c r="A17" s="1248" t="s">
        <v>7</v>
      </c>
      <c r="B17" s="1249">
        <v>674</v>
      </c>
      <c r="C17" s="322"/>
      <c r="D17" s="322"/>
      <c r="E17" s="322"/>
      <c r="F17" s="322"/>
    </row>
    <row r="18" spans="1:6">
      <c r="A18" s="1248" t="s">
        <v>8</v>
      </c>
      <c r="B18" s="1249">
        <v>1235</v>
      </c>
      <c r="C18" s="322"/>
      <c r="D18" s="322"/>
      <c r="E18" s="322"/>
      <c r="F18" s="322"/>
    </row>
    <row r="19" spans="1:6">
      <c r="A19" s="1248" t="s">
        <v>9</v>
      </c>
      <c r="B19" s="1249">
        <v>1121</v>
      </c>
      <c r="C19" s="322"/>
      <c r="D19" s="322"/>
      <c r="E19" s="322"/>
      <c r="F19" s="322"/>
    </row>
    <row r="20" spans="1:6">
      <c r="A20" s="1248" t="s">
        <v>10</v>
      </c>
      <c r="B20" s="1249">
        <v>843</v>
      </c>
      <c r="C20" s="322"/>
      <c r="D20" s="322"/>
      <c r="E20" s="322"/>
      <c r="F20" s="322"/>
    </row>
    <row r="21" spans="1:6">
      <c r="A21" s="1248" t="s">
        <v>11</v>
      </c>
      <c r="B21" s="1249">
        <v>156</v>
      </c>
      <c r="C21" s="322"/>
      <c r="D21" s="322"/>
      <c r="E21" s="322"/>
      <c r="F21" s="322"/>
    </row>
    <row r="22" spans="1:6">
      <c r="A22" s="1248" t="s">
        <v>12</v>
      </c>
      <c r="B22" s="1249">
        <v>907</v>
      </c>
      <c r="C22" s="322"/>
      <c r="D22" s="322"/>
      <c r="E22" s="322"/>
      <c r="F22" s="322"/>
    </row>
    <row r="23" spans="1:6">
      <c r="A23" s="1248" t="s">
        <v>13</v>
      </c>
      <c r="B23" s="1249">
        <v>10</v>
      </c>
      <c r="C23" s="322"/>
      <c r="D23" s="322"/>
      <c r="E23" s="322"/>
      <c r="F23" s="322"/>
    </row>
    <row r="24" spans="1:6">
      <c r="A24" s="1248" t="s">
        <v>14</v>
      </c>
      <c r="B24" s="1249">
        <v>2</v>
      </c>
      <c r="C24" s="322"/>
      <c r="D24" s="322"/>
      <c r="E24" s="322"/>
      <c r="F24" s="322"/>
    </row>
    <row r="25" spans="1:6">
      <c r="A25" s="1248" t="s">
        <v>15</v>
      </c>
      <c r="B25" s="1249">
        <v>82</v>
      </c>
      <c r="C25" s="322"/>
      <c r="D25" s="322"/>
      <c r="E25" s="322"/>
      <c r="F25" s="322"/>
    </row>
    <row r="26" spans="1:6">
      <c r="A26" s="1248" t="s">
        <v>16</v>
      </c>
      <c r="B26" s="1249">
        <v>250</v>
      </c>
      <c r="C26" s="322"/>
      <c r="D26" s="322"/>
      <c r="E26" s="322"/>
      <c r="F26" s="322"/>
    </row>
    <row r="27" spans="1:6">
      <c r="A27" s="1248" t="s">
        <v>17</v>
      </c>
      <c r="B27" s="1249">
        <v>96</v>
      </c>
      <c r="C27" s="322"/>
      <c r="D27" s="322"/>
      <c r="E27" s="322"/>
      <c r="F27" s="322"/>
    </row>
    <row r="28" spans="1:6">
      <c r="A28" s="1248" t="s">
        <v>18</v>
      </c>
      <c r="B28" s="1250">
        <v>1548</v>
      </c>
      <c r="C28" s="322"/>
      <c r="D28" s="322"/>
      <c r="E28" s="322"/>
      <c r="F28" s="322"/>
    </row>
    <row r="29" spans="1:6">
      <c r="A29" s="1248" t="s">
        <v>884</v>
      </c>
      <c r="B29" s="1250">
        <v>165</v>
      </c>
      <c r="C29" s="322"/>
      <c r="D29" s="322"/>
      <c r="E29" s="322"/>
      <c r="F29" s="322"/>
    </row>
    <row r="30" spans="1:6">
      <c r="A30" s="1243" t="s">
        <v>885</v>
      </c>
      <c r="B30" s="1251">
        <v>40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590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1176</v>
      </c>
      <c r="D39" s="1249">
        <v>19833745</v>
      </c>
      <c r="E39" s="1249">
        <v>3437</v>
      </c>
      <c r="F39" s="1249">
        <v>14490005.271075999</v>
      </c>
    </row>
    <row r="40" spans="1:6">
      <c r="A40" s="1248" t="s">
        <v>29</v>
      </c>
      <c r="B40" s="1248" t="s">
        <v>28</v>
      </c>
      <c r="C40" s="1249">
        <v>0</v>
      </c>
      <c r="D40" s="1249">
        <v>0</v>
      </c>
      <c r="E40" s="1249">
        <v>0</v>
      </c>
      <c r="F40" s="1249">
        <v>0</v>
      </c>
    </row>
    <row r="41" spans="1:6">
      <c r="A41" s="1248" t="s">
        <v>31</v>
      </c>
      <c r="B41" s="1248" t="s">
        <v>32</v>
      </c>
      <c r="C41" s="1249">
        <v>14</v>
      </c>
      <c r="D41" s="1249">
        <v>374696</v>
      </c>
      <c r="E41" s="1249">
        <v>82</v>
      </c>
      <c r="F41" s="1249">
        <v>661666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7</v>
      </c>
      <c r="F44" s="1249">
        <v>159165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71932</v>
      </c>
    </row>
    <row r="48" spans="1:6">
      <c r="A48" s="1248" t="s">
        <v>31</v>
      </c>
      <c r="B48" s="1248" t="s">
        <v>28</v>
      </c>
      <c r="C48" s="1249">
        <v>3</v>
      </c>
      <c r="D48" s="1249">
        <v>92451</v>
      </c>
      <c r="E48" s="1249">
        <v>1</v>
      </c>
      <c r="F48" s="1249">
        <v>56526</v>
      </c>
    </row>
    <row r="49" spans="1:6">
      <c r="A49" s="1248" t="s">
        <v>31</v>
      </c>
      <c r="B49" s="1248" t="s">
        <v>39</v>
      </c>
      <c r="C49" s="1249">
        <v>0</v>
      </c>
      <c r="D49" s="1249">
        <v>0</v>
      </c>
      <c r="E49" s="1249">
        <v>0</v>
      </c>
      <c r="F49" s="1249">
        <v>0</v>
      </c>
    </row>
    <row r="50" spans="1:6">
      <c r="A50" s="1248" t="s">
        <v>31</v>
      </c>
      <c r="B50" s="1248" t="s">
        <v>40</v>
      </c>
      <c r="C50" s="1249">
        <v>0</v>
      </c>
      <c r="D50" s="1249">
        <v>0</v>
      </c>
      <c r="E50" s="1249">
        <v>22</v>
      </c>
      <c r="F50" s="1249">
        <v>953330</v>
      </c>
    </row>
    <row r="51" spans="1:6">
      <c r="A51" s="1248" t="s">
        <v>41</v>
      </c>
      <c r="B51" s="1248" t="s">
        <v>42</v>
      </c>
      <c r="C51" s="1249">
        <v>7</v>
      </c>
      <c r="D51" s="1249">
        <v>147185</v>
      </c>
      <c r="E51" s="1249">
        <v>95</v>
      </c>
      <c r="F51" s="1249">
        <v>1043985</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0</v>
      </c>
      <c r="F54" s="1249">
        <v>0</v>
      </c>
    </row>
    <row r="55" spans="1:6">
      <c r="A55" s="1248" t="s">
        <v>45</v>
      </c>
      <c r="B55" s="1248" t="s">
        <v>28</v>
      </c>
      <c r="C55" s="1249">
        <v>0</v>
      </c>
      <c r="D55" s="1249">
        <v>0</v>
      </c>
      <c r="E55" s="1249">
        <v>0</v>
      </c>
      <c r="F55" s="1249">
        <v>531760</v>
      </c>
    </row>
    <row r="56" spans="1:6">
      <c r="A56" s="1248" t="s">
        <v>47</v>
      </c>
      <c r="B56" s="1248" t="s">
        <v>28</v>
      </c>
      <c r="C56" s="1249">
        <v>24</v>
      </c>
      <c r="D56" s="1249">
        <v>549759</v>
      </c>
      <c r="E56" s="1249">
        <v>81</v>
      </c>
      <c r="F56" s="1249">
        <v>565194</v>
      </c>
    </row>
    <row r="57" spans="1:6">
      <c r="A57" s="1248" t="s">
        <v>48</v>
      </c>
      <c r="B57" s="1248" t="s">
        <v>49</v>
      </c>
      <c r="C57" s="1249">
        <v>12</v>
      </c>
      <c r="D57" s="1249">
        <v>377716</v>
      </c>
      <c r="E57" s="1249">
        <v>55</v>
      </c>
      <c r="F57" s="1249">
        <v>514789</v>
      </c>
    </row>
    <row r="58" spans="1:6">
      <c r="A58" s="1248" t="s">
        <v>48</v>
      </c>
      <c r="B58" s="1248" t="s">
        <v>50</v>
      </c>
      <c r="C58" s="1249">
        <v>7</v>
      </c>
      <c r="D58" s="1249">
        <v>782955</v>
      </c>
      <c r="E58" s="1249">
        <v>26</v>
      </c>
      <c r="F58" s="1249">
        <v>728359</v>
      </c>
    </row>
    <row r="59" spans="1:6">
      <c r="A59" s="1248" t="s">
        <v>48</v>
      </c>
      <c r="B59" s="1248" t="s">
        <v>51</v>
      </c>
      <c r="C59" s="1249">
        <v>24</v>
      </c>
      <c r="D59" s="1249">
        <v>969146</v>
      </c>
      <c r="E59" s="1249">
        <v>84</v>
      </c>
      <c r="F59" s="1249">
        <v>2223469</v>
      </c>
    </row>
    <row r="60" spans="1:6">
      <c r="A60" s="1248" t="s">
        <v>48</v>
      </c>
      <c r="B60" s="1248" t="s">
        <v>52</v>
      </c>
      <c r="C60" s="1249">
        <v>19</v>
      </c>
      <c r="D60" s="1249">
        <v>1385377</v>
      </c>
      <c r="E60" s="1249">
        <v>35</v>
      </c>
      <c r="F60" s="1249">
        <v>1036525</v>
      </c>
    </row>
    <row r="61" spans="1:6">
      <c r="A61" s="1248" t="s">
        <v>48</v>
      </c>
      <c r="B61" s="1248" t="s">
        <v>53</v>
      </c>
      <c r="C61" s="1249">
        <v>41</v>
      </c>
      <c r="D61" s="1249">
        <v>2293281</v>
      </c>
      <c r="E61" s="1249">
        <v>181</v>
      </c>
      <c r="F61" s="1249">
        <v>1627591</v>
      </c>
    </row>
    <row r="62" spans="1:6">
      <c r="A62" s="1248" t="s">
        <v>48</v>
      </c>
      <c r="B62" s="1248" t="s">
        <v>54</v>
      </c>
      <c r="C62" s="1249">
        <v>0</v>
      </c>
      <c r="D62" s="1249">
        <v>0</v>
      </c>
      <c r="E62" s="1249">
        <v>4</v>
      </c>
      <c r="F62" s="1249">
        <v>229887</v>
      </c>
    </row>
    <row r="63" spans="1:6">
      <c r="A63" s="1248" t="s">
        <v>48</v>
      </c>
      <c r="B63" s="1248" t="s">
        <v>28</v>
      </c>
      <c r="C63" s="1249">
        <v>0</v>
      </c>
      <c r="D63" s="1249">
        <v>64318</v>
      </c>
      <c r="E63" s="1249">
        <v>1</v>
      </c>
      <c r="F63" s="1249">
        <v>8212</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3780.9515989000001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161419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60169505</v>
      </c>
      <c r="E73" s="439"/>
      <c r="F73" s="322"/>
    </row>
    <row r="74" spans="1:6">
      <c r="A74" s="1248" t="s">
        <v>63</v>
      </c>
      <c r="B74" s="1248" t="s">
        <v>626</v>
      </c>
      <c r="C74" s="1261" t="s">
        <v>628</v>
      </c>
      <c r="D74" s="1249">
        <v>6883307.4338182025</v>
      </c>
      <c r="E74" s="439"/>
      <c r="F74" s="322"/>
    </row>
    <row r="75" spans="1:6">
      <c r="A75" s="1248" t="s">
        <v>64</v>
      </c>
      <c r="B75" s="1248" t="s">
        <v>625</v>
      </c>
      <c r="C75" s="1261" t="s">
        <v>629</v>
      </c>
      <c r="D75" s="1249">
        <v>14142803</v>
      </c>
      <c r="E75" s="439"/>
      <c r="F75" s="322"/>
    </row>
    <row r="76" spans="1:6">
      <c r="A76" s="1248" t="s">
        <v>64</v>
      </c>
      <c r="B76" s="1248" t="s">
        <v>626</v>
      </c>
      <c r="C76" s="1261" t="s">
        <v>630</v>
      </c>
      <c r="D76" s="1249">
        <v>451663.43381820247</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655977.13236359507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1984.2515137900302</v>
      </c>
      <c r="C91" s="322"/>
      <c r="D91" s="322"/>
      <c r="E91" s="322"/>
      <c r="F91" s="322"/>
    </row>
    <row r="92" spans="1:6">
      <c r="A92" s="1243" t="s">
        <v>68</v>
      </c>
      <c r="B92" s="1244">
        <v>713.048565176088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344</v>
      </c>
      <c r="C97" s="322"/>
      <c r="D97" s="322"/>
      <c r="E97" s="322"/>
      <c r="F97" s="322"/>
    </row>
    <row r="98" spans="1:6">
      <c r="A98" s="1248" t="s">
        <v>71</v>
      </c>
      <c r="B98" s="1249">
        <v>0</v>
      </c>
      <c r="C98" s="322"/>
      <c r="D98" s="322"/>
      <c r="E98" s="322"/>
      <c r="F98" s="322"/>
    </row>
    <row r="99" spans="1:6">
      <c r="A99" s="1248" t="s">
        <v>72</v>
      </c>
      <c r="B99" s="1249">
        <v>89</v>
      </c>
      <c r="C99" s="322"/>
      <c r="D99" s="322"/>
      <c r="E99" s="322"/>
      <c r="F99" s="322"/>
    </row>
    <row r="100" spans="1:6">
      <c r="A100" s="1248" t="s">
        <v>73</v>
      </c>
      <c r="B100" s="1249">
        <v>289</v>
      </c>
      <c r="C100" s="322"/>
      <c r="D100" s="322"/>
      <c r="E100" s="322"/>
      <c r="F100" s="322"/>
    </row>
    <row r="101" spans="1:6">
      <c r="A101" s="1248" t="s">
        <v>74</v>
      </c>
      <c r="B101" s="1249">
        <v>74</v>
      </c>
      <c r="C101" s="322"/>
      <c r="D101" s="322"/>
      <c r="E101" s="322"/>
      <c r="F101" s="322"/>
    </row>
    <row r="102" spans="1:6">
      <c r="A102" s="1248" t="s">
        <v>75</v>
      </c>
      <c r="B102" s="1249">
        <v>31</v>
      </c>
      <c r="C102" s="322"/>
      <c r="D102" s="322"/>
      <c r="E102" s="322"/>
      <c r="F102" s="322"/>
    </row>
    <row r="103" spans="1:6">
      <c r="A103" s="1248" t="s">
        <v>76</v>
      </c>
      <c r="B103" s="1249">
        <v>85</v>
      </c>
      <c r="C103" s="322"/>
      <c r="D103" s="322"/>
      <c r="E103" s="322"/>
      <c r="F103" s="322"/>
    </row>
    <row r="104" spans="1:6">
      <c r="A104" s="1248" t="s">
        <v>77</v>
      </c>
      <c r="B104" s="1249">
        <v>2326</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9</v>
      </c>
      <c r="C123" s="1249">
        <v>20</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79</v>
      </c>
      <c r="C129" s="322"/>
      <c r="D129" s="322"/>
      <c r="E129" s="322"/>
      <c r="F129" s="322"/>
    </row>
    <row r="130" spans="1:6">
      <c r="A130" s="1248" t="s">
        <v>284</v>
      </c>
      <c r="B130" s="1249">
        <v>0</v>
      </c>
      <c r="C130" s="322"/>
      <c r="D130" s="322"/>
      <c r="E130" s="322"/>
      <c r="F130" s="322"/>
    </row>
    <row r="131" spans="1:6">
      <c r="A131" s="1248" t="s">
        <v>285</v>
      </c>
      <c r="B131" s="1249">
        <v>1</v>
      </c>
      <c r="C131" s="322"/>
      <c r="D131" s="322"/>
      <c r="E131" s="322"/>
      <c r="F131" s="322"/>
    </row>
    <row r="132" spans="1:6">
      <c r="A132" s="1243" t="s">
        <v>286</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26918.426214240324</v>
      </c>
      <c r="C3" s="43" t="s">
        <v>163</v>
      </c>
      <c r="D3" s="43"/>
      <c r="E3" s="153"/>
      <c r="F3" s="43"/>
      <c r="G3" s="43"/>
      <c r="H3" s="43"/>
      <c r="I3" s="43"/>
      <c r="J3" s="43"/>
      <c r="K3" s="96"/>
    </row>
    <row r="4" spans="1:11">
      <c r="A4" s="348" t="s">
        <v>164</v>
      </c>
      <c r="B4" s="49">
        <f>IF(ISERROR('SEAP template'!B78+'SEAP template'!C78),0,'SEAP template'!B78+'SEAP template'!C78)</f>
        <v>2740.9500789661183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0.19849682828296034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62.357142857142847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531.76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531.76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0.19849682828296034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105.55267340774698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14490.005271075999</v>
      </c>
      <c r="C5" s="17">
        <f>IF(ISERROR('Eigen informatie GS &amp; warmtenet'!B57),0,'Eigen informatie GS &amp; warmtenet'!B57)</f>
        <v>0</v>
      </c>
      <c r="D5" s="30">
        <f>(SUM(HH_hh_gas_kWh,HH_rest_gas_kWh)/1000)*0.902</f>
        <v>17890.037990000001</v>
      </c>
      <c r="E5" s="17">
        <f>B32*B41</f>
        <v>1315.489004387812</v>
      </c>
      <c r="F5" s="17">
        <f>B36*B45</f>
        <v>35765.542187672938</v>
      </c>
      <c r="G5" s="18"/>
      <c r="H5" s="17"/>
      <c r="I5" s="17"/>
      <c r="J5" s="17">
        <f>B35*B44+C35*C44</f>
        <v>659.58047965990568</v>
      </c>
      <c r="K5" s="17"/>
      <c r="L5" s="17"/>
      <c r="M5" s="17"/>
      <c r="N5" s="17">
        <f>B34*B43+C34*C43</f>
        <v>5205.9386931701083</v>
      </c>
      <c r="O5" s="17">
        <f>B52*B53*B54</f>
        <v>156.33333333333334</v>
      </c>
      <c r="P5" s="17">
        <f>B60*B61*B62/1000-B60*B61*B62/1000/B63</f>
        <v>476.66666666666663</v>
      </c>
    </row>
    <row r="6" spans="1:16">
      <c r="A6" s="16" t="s">
        <v>586</v>
      </c>
      <c r="B6" s="716">
        <f>kWh_PV_kleiner_dan_10kW</f>
        <v>1984.2515137900302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16474.256784866029</v>
      </c>
      <c r="C8" s="21">
        <f>C5</f>
        <v>0</v>
      </c>
      <c r="D8" s="21">
        <f>D5</f>
        <v>17890.037990000001</v>
      </c>
      <c r="E8" s="21">
        <f>E5</f>
        <v>1315.489004387812</v>
      </c>
      <c r="F8" s="21">
        <f>F5</f>
        <v>35765.542187672938</v>
      </c>
      <c r="G8" s="21"/>
      <c r="H8" s="21"/>
      <c r="I8" s="21"/>
      <c r="J8" s="21">
        <f>J5</f>
        <v>659.58047965990568</v>
      </c>
      <c r="K8" s="21"/>
      <c r="L8" s="21">
        <f>L5</f>
        <v>0</v>
      </c>
      <c r="M8" s="21">
        <f>M5</f>
        <v>0</v>
      </c>
      <c r="N8" s="21">
        <f>N5</f>
        <v>5205.9386931701083</v>
      </c>
      <c r="O8" s="21">
        <f>O5</f>
        <v>156.33333333333334</v>
      </c>
      <c r="P8" s="21">
        <f>P5</f>
        <v>476.66666666666663</v>
      </c>
    </row>
    <row r="9" spans="1:16">
      <c r="B9" s="19"/>
      <c r="C9" s="19"/>
      <c r="D9" s="253"/>
      <c r="E9" s="19"/>
      <c r="F9" s="19"/>
      <c r="G9" s="19"/>
      <c r="H9" s="19"/>
      <c r="I9" s="19"/>
      <c r="J9" s="19"/>
      <c r="K9" s="19"/>
      <c r="L9" s="19"/>
      <c r="M9" s="19"/>
      <c r="N9" s="19"/>
      <c r="O9" s="19"/>
      <c r="P9" s="19"/>
    </row>
    <row r="10" spans="1:16">
      <c r="A10" s="24" t="s">
        <v>207</v>
      </c>
      <c r="B10" s="25">
        <f ca="1">'EF ele_warmte'!B12</f>
        <v>0.19849682828296034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3270.0877201149465</v>
      </c>
      <c r="C12" s="23">
        <f ca="1">C10*C8</f>
        <v>0</v>
      </c>
      <c r="D12" s="23">
        <f>D8*D10</f>
        <v>3613.7876739800004</v>
      </c>
      <c r="E12" s="23">
        <f>E10*E8</f>
        <v>298.61600399603333</v>
      </c>
      <c r="F12" s="23">
        <f>F10*F8</f>
        <v>9549.3997641086753</v>
      </c>
      <c r="G12" s="23"/>
      <c r="H12" s="23"/>
      <c r="I12" s="23"/>
      <c r="J12" s="23">
        <f>J10*J8</f>
        <v>233.4914897996066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3640</v>
      </c>
      <c r="C26" s="36"/>
      <c r="D26" s="224"/>
    </row>
    <row r="27" spans="1:5" s="15" customFormat="1">
      <c r="A27" s="226" t="s">
        <v>655</v>
      </c>
      <c r="B27" s="37">
        <f>SUM(HH_hh_gas_aantal,HH_rest_gas_aantal)</f>
        <v>1176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1117.2</v>
      </c>
      <c r="C31" s="34" t="s">
        <v>104</v>
      </c>
      <c r="D31" s="170"/>
    </row>
    <row r="32" spans="1:5">
      <c r="A32" s="167" t="s">
        <v>72</v>
      </c>
      <c r="B32" s="33">
        <f>IF((B21*($B$26-($B$27-0.05*$B$27)-$B$60))&lt;0,0,B21*($B$26-($B$27-0.05*$B$27)-$B$60))</f>
        <v>16.119369538960726</v>
      </c>
      <c r="C32" s="34" t="s">
        <v>104</v>
      </c>
      <c r="D32" s="170"/>
    </row>
    <row r="33" spans="1:6">
      <c r="A33" s="167" t="s">
        <v>73</v>
      </c>
      <c r="B33" s="33">
        <f>IF((B22*($B$26-($B$27-0.05*$B$27)-$B$60))&lt;0,0,B22*($B$26-($B$27-0.05*$B$27)-$B$60))</f>
        <v>561.33500441407966</v>
      </c>
      <c r="C33" s="34" t="s">
        <v>104</v>
      </c>
      <c r="D33" s="170"/>
    </row>
    <row r="34" spans="1:6">
      <c r="A34" s="167" t="s">
        <v>74</v>
      </c>
      <c r="B34" s="33">
        <f>IF((B24*($B$26-($B$27-0.05*$B$27)-$B$60))&lt;0,0,B24*($B$26-($B$27-0.05*$B$27)-$B$60))</f>
        <v>111.46962920788222</v>
      </c>
      <c r="C34" s="33">
        <f>B26*C24</f>
        <v>744.97091905114212</v>
      </c>
      <c r="D34" s="229"/>
    </row>
    <row r="35" spans="1:6">
      <c r="A35" s="167" t="s">
        <v>76</v>
      </c>
      <c r="B35" s="33">
        <f>IF((B19*($B$26-($B$27-0.05*$B$27)-$B$60))&lt;0,0,B19*($B$26-($B$27-0.05*$B$27)-$B$60))</f>
        <v>54.436235164061799</v>
      </c>
      <c r="C35" s="33">
        <f>B35/2</f>
        <v>27.218117582030899</v>
      </c>
      <c r="D35" s="229"/>
    </row>
    <row r="36" spans="1:6">
      <c r="A36" s="167" t="s">
        <v>77</v>
      </c>
      <c r="B36" s="33">
        <f>IF((B18*($B$26-($B$27-0.05*$B$27)-$B$60))&lt;0,0,B18*($B$26-($B$27-0.05*$B$27)-$B$60))</f>
        <v>1754.4397616750164</v>
      </c>
      <c r="C36" s="34" t="s">
        <v>104</v>
      </c>
      <c r="D36" s="170"/>
    </row>
    <row r="37" spans="1:6">
      <c r="A37" s="167" t="s">
        <v>78</v>
      </c>
      <c r="B37" s="33">
        <f>B60</f>
        <v>25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100</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6368.8320000000003</v>
      </c>
      <c r="C5" s="17">
        <f>IF(ISERROR('Eigen informatie GS &amp; warmtenet'!B58),0,'Eigen informatie GS &amp; warmtenet'!B58)</f>
        <v>0</v>
      </c>
      <c r="D5" s="30">
        <f>SUM(D6:D12)</f>
        <v>5297.2592860000013</v>
      </c>
      <c r="E5" s="17">
        <f>SUM(E6:E12)</f>
        <v>95.74657840147465</v>
      </c>
      <c r="F5" s="17">
        <f>SUM(F6:F12)</f>
        <v>1196.2617834184689</v>
      </c>
      <c r="G5" s="18"/>
      <c r="H5" s="17"/>
      <c r="I5" s="17"/>
      <c r="J5" s="17">
        <f>SUM(J6:J12)</f>
        <v>6.2542428365718735E-3</v>
      </c>
      <c r="K5" s="17"/>
      <c r="L5" s="17"/>
      <c r="M5" s="17"/>
      <c r="N5" s="17">
        <f>SUM(N6:N12)</f>
        <v>230.88446409137597</v>
      </c>
      <c r="O5" s="17">
        <f>B38*B39*B40</f>
        <v>0</v>
      </c>
      <c r="P5" s="17">
        <f>B46*B47*B48/1000-B46*B47*B48/1000/B49</f>
        <v>19.066666666666666</v>
      </c>
      <c r="R5" s="32"/>
    </row>
    <row r="6" spans="1:18">
      <c r="A6" s="32" t="s">
        <v>53</v>
      </c>
      <c r="B6" s="37">
        <f>B26</f>
        <v>1627.5909999999999</v>
      </c>
      <c r="C6" s="33"/>
      <c r="D6" s="37">
        <f>IF(ISERROR(TER_kantoor_gas_kWh/1000),0,TER_kantoor_gas_kWh/1000)*0.902</f>
        <v>2068.5394620000002</v>
      </c>
      <c r="E6" s="33">
        <f>$C$26*'E Balans VL '!I12/100/3.6*1000000</f>
        <v>9.2661455187070006E-19</v>
      </c>
      <c r="F6" s="33">
        <f>$C$26*('E Balans VL '!L12+'E Balans VL '!N12)/100/3.6*1000000</f>
        <v>220.02348508851304</v>
      </c>
      <c r="G6" s="34"/>
      <c r="H6" s="33"/>
      <c r="I6" s="33"/>
      <c r="J6" s="33">
        <f>$C$26*('E Balans VL '!D12+'E Balans VL '!E12)/100/3.6*1000000</f>
        <v>0</v>
      </c>
      <c r="K6" s="33"/>
      <c r="L6" s="33"/>
      <c r="M6" s="33"/>
      <c r="N6" s="33">
        <f>$C$26*'E Balans VL '!Y12/100/3.6*1000000</f>
        <v>2.0455511749293889</v>
      </c>
      <c r="O6" s="33"/>
      <c r="P6" s="33"/>
      <c r="R6" s="32"/>
    </row>
    <row r="7" spans="1:18">
      <c r="A7" s="32" t="s">
        <v>52</v>
      </c>
      <c r="B7" s="37">
        <f t="shared" ref="B7:B12" si="0">B27</f>
        <v>1036.5250000000001</v>
      </c>
      <c r="C7" s="33"/>
      <c r="D7" s="37">
        <f>IF(ISERROR(TER_horeca_gas_kWh/1000),0,TER_horeca_gas_kWh/1000)*0.902</f>
        <v>1249.610054</v>
      </c>
      <c r="E7" s="33">
        <f>$C$27*'E Balans VL '!I9/100/3.6*1000000</f>
        <v>13.23853337967596</v>
      </c>
      <c r="F7" s="33">
        <f>$C$27*('E Balans VL '!L9+'E Balans VL '!N9)/100/3.6*1000000</f>
        <v>117.07084146639411</v>
      </c>
      <c r="G7" s="34"/>
      <c r="H7" s="33"/>
      <c r="I7" s="33"/>
      <c r="J7" s="33">
        <f>$C$27*('E Balans VL '!D9+'E Balans VL '!E9)/100/3.6*1000000</f>
        <v>0</v>
      </c>
      <c r="K7" s="33"/>
      <c r="L7" s="33"/>
      <c r="M7" s="33"/>
      <c r="N7" s="33">
        <f>$C$27*'E Balans VL '!Y9/100/3.6*1000000</f>
        <v>0.2470083073013524</v>
      </c>
      <c r="O7" s="33"/>
      <c r="P7" s="33"/>
      <c r="R7" s="32"/>
    </row>
    <row r="8" spans="1:18">
      <c r="A8" s="6" t="s">
        <v>51</v>
      </c>
      <c r="B8" s="37">
        <f t="shared" si="0"/>
        <v>2223.4690000000001</v>
      </c>
      <c r="C8" s="33"/>
      <c r="D8" s="37">
        <f>IF(ISERROR(TER_handel_gas_kWh/1000),0,TER_handel_gas_kWh/1000)*0.902</f>
        <v>874.16969199999994</v>
      </c>
      <c r="E8" s="33">
        <f>$C$28*'E Balans VL '!I13/100/3.6*1000000</f>
        <v>72.614888596484718</v>
      </c>
      <c r="F8" s="33">
        <f>$C$28*('E Balans VL '!L13+'E Balans VL '!N13)/100/3.6*1000000</f>
        <v>384.97559130704752</v>
      </c>
      <c r="G8" s="34"/>
      <c r="H8" s="33"/>
      <c r="I8" s="33"/>
      <c r="J8" s="33">
        <f>$C$28*('E Balans VL '!D13+'E Balans VL '!E13)/100/3.6*1000000</f>
        <v>0</v>
      </c>
      <c r="K8" s="33"/>
      <c r="L8" s="33"/>
      <c r="M8" s="33"/>
      <c r="N8" s="33">
        <f>$C$28*'E Balans VL '!Y13/100/3.6*1000000</f>
        <v>2.6169613343817035</v>
      </c>
      <c r="O8" s="33"/>
      <c r="P8" s="33"/>
      <c r="R8" s="32"/>
    </row>
    <row r="9" spans="1:18">
      <c r="A9" s="32" t="s">
        <v>50</v>
      </c>
      <c r="B9" s="37">
        <f t="shared" si="0"/>
        <v>728.35900000000004</v>
      </c>
      <c r="C9" s="33"/>
      <c r="D9" s="37">
        <f>IF(ISERROR(TER_gezond_gas_kWh/1000),0,TER_gezond_gas_kWh/1000)*0.902</f>
        <v>706.22541000000001</v>
      </c>
      <c r="E9" s="33">
        <f>$C$29*'E Balans VL '!I10/100/3.6*1000000</f>
        <v>4.0673396696721958E-2</v>
      </c>
      <c r="F9" s="33">
        <f>$C$29*('E Balans VL '!L10+'E Balans VL '!N10)/100/3.6*1000000</f>
        <v>96.504857901934756</v>
      </c>
      <c r="G9" s="34"/>
      <c r="H9" s="33"/>
      <c r="I9" s="33"/>
      <c r="J9" s="33">
        <f>$C$29*('E Balans VL '!D10+'E Balans VL '!E10)/100/3.6*1000000</f>
        <v>0</v>
      </c>
      <c r="K9" s="33"/>
      <c r="L9" s="33"/>
      <c r="M9" s="33"/>
      <c r="N9" s="33">
        <f>$C$29*'E Balans VL '!Y10/100/3.6*1000000</f>
        <v>7.7201158471259905</v>
      </c>
      <c r="O9" s="33"/>
      <c r="P9" s="33"/>
      <c r="R9" s="32"/>
    </row>
    <row r="10" spans="1:18">
      <c r="A10" s="32" t="s">
        <v>49</v>
      </c>
      <c r="B10" s="37">
        <f t="shared" si="0"/>
        <v>514.78899999999999</v>
      </c>
      <c r="C10" s="33"/>
      <c r="D10" s="37">
        <f>IF(ISERROR(TER_ander_gas_kWh/1000),0,TER_ander_gas_kWh/1000)*0.902</f>
        <v>340.69983200000001</v>
      </c>
      <c r="E10" s="33">
        <f>$C$30*'E Balans VL '!I14/100/3.6*1000000</f>
        <v>6.6476892431696273</v>
      </c>
      <c r="F10" s="33">
        <f>$C$30*('E Balans VL '!L14+'E Balans VL '!N14)/100/3.6*1000000</f>
        <v>339.79745841751304</v>
      </c>
      <c r="G10" s="34"/>
      <c r="H10" s="33"/>
      <c r="I10" s="33"/>
      <c r="J10" s="33">
        <f>$C$30*('E Balans VL '!D14+'E Balans VL '!E14)/100/3.6*1000000</f>
        <v>6.2362642911231283E-3</v>
      </c>
      <c r="K10" s="33"/>
      <c r="L10" s="33"/>
      <c r="M10" s="33"/>
      <c r="N10" s="33">
        <f>$C$30*'E Balans VL '!Y14/100/3.6*1000000</f>
        <v>217.08442530133433</v>
      </c>
      <c r="O10" s="33"/>
      <c r="P10" s="33"/>
      <c r="R10" s="32"/>
    </row>
    <row r="11" spans="1:18">
      <c r="A11" s="32" t="s">
        <v>54</v>
      </c>
      <c r="B11" s="37">
        <f t="shared" si="0"/>
        <v>229.887</v>
      </c>
      <c r="C11" s="33"/>
      <c r="D11" s="37">
        <f>IF(ISERROR(TER_onderwijs_gas_kWh/1000),0,TER_onderwijs_gas_kWh/1000)*0.902</f>
        <v>0</v>
      </c>
      <c r="E11" s="33">
        <f>$C$31*'E Balans VL '!I11/100/3.6*1000000</f>
        <v>3.0937087258003637</v>
      </c>
      <c r="F11" s="33">
        <f>$C$31*('E Balans VL '!L11+'E Balans VL '!N11)/100/3.6*1000000</f>
        <v>35.926113766467154</v>
      </c>
      <c r="G11" s="34"/>
      <c r="H11" s="33"/>
      <c r="I11" s="33"/>
      <c r="J11" s="33">
        <f>$C$31*('E Balans VL '!D11+'E Balans VL '!E11)/100/3.6*1000000</f>
        <v>0</v>
      </c>
      <c r="K11" s="33"/>
      <c r="L11" s="33"/>
      <c r="M11" s="33"/>
      <c r="N11" s="33">
        <f>$C$31*'E Balans VL '!Y11/100/3.6*1000000</f>
        <v>0.53081997627499111</v>
      </c>
      <c r="O11" s="33"/>
      <c r="P11" s="33"/>
      <c r="R11" s="32"/>
    </row>
    <row r="12" spans="1:18">
      <c r="A12" s="32" t="s">
        <v>249</v>
      </c>
      <c r="B12" s="37">
        <f t="shared" si="0"/>
        <v>8.2119999999999997</v>
      </c>
      <c r="C12" s="33"/>
      <c r="D12" s="37">
        <f>IF(ISERROR(TER_rest_gas_kWh/1000),0,TER_rest_gas_kWh/1000)*0.902</f>
        <v>58.014836000000003</v>
      </c>
      <c r="E12" s="33">
        <f>$C$32*'E Balans VL '!I8/100/3.6*1000000</f>
        <v>0.11108505964726217</v>
      </c>
      <c r="F12" s="33">
        <f>$C$32*('E Balans VL '!L8+'E Balans VL '!N8)/100/3.6*1000000</f>
        <v>1.9634354705992154</v>
      </c>
      <c r="G12" s="34"/>
      <c r="H12" s="33"/>
      <c r="I12" s="33"/>
      <c r="J12" s="33">
        <f>$C$32*('E Balans VL '!D8+'E Balans VL '!E8)/100/3.6*1000000</f>
        <v>1.7978545448745479E-5</v>
      </c>
      <c r="K12" s="33"/>
      <c r="L12" s="33"/>
      <c r="M12" s="33"/>
      <c r="N12" s="33">
        <f>$C$32*'E Balans VL '!Y8/100/3.6*1000000</f>
        <v>0.6395821500282165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6368.8320000000003</v>
      </c>
      <c r="C16" s="21">
        <f t="shared" ca="1" si="1"/>
        <v>0</v>
      </c>
      <c r="D16" s="21">
        <f t="shared" ca="1" si="1"/>
        <v>5297.2592860000013</v>
      </c>
      <c r="E16" s="21">
        <f t="shared" si="1"/>
        <v>95.74657840147465</v>
      </c>
      <c r="F16" s="21">
        <f t="shared" ca="1" si="1"/>
        <v>1196.2617834184689</v>
      </c>
      <c r="G16" s="21">
        <f t="shared" si="1"/>
        <v>0</v>
      </c>
      <c r="H16" s="21">
        <f t="shared" si="1"/>
        <v>0</v>
      </c>
      <c r="I16" s="21">
        <f t="shared" si="1"/>
        <v>0</v>
      </c>
      <c r="J16" s="21">
        <f t="shared" si="1"/>
        <v>6.2542428365718735E-3</v>
      </c>
      <c r="K16" s="21">
        <f t="shared" si="1"/>
        <v>0</v>
      </c>
      <c r="L16" s="21">
        <f t="shared" ca="1" si="1"/>
        <v>0</v>
      </c>
      <c r="M16" s="21">
        <f t="shared" si="1"/>
        <v>0</v>
      </c>
      <c r="N16" s="21">
        <f t="shared" ca="1" si="1"/>
        <v>230.88446409137597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0.19849682828296034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1264.1929518670229</v>
      </c>
      <c r="C20" s="23">
        <f t="shared" ref="C20:P20" ca="1" si="2">C16*C18</f>
        <v>0</v>
      </c>
      <c r="D20" s="23">
        <f t="shared" ca="1" si="2"/>
        <v>1070.0463757720004</v>
      </c>
      <c r="E20" s="23">
        <f t="shared" si="2"/>
        <v>21.734473297134745</v>
      </c>
      <c r="F20" s="23">
        <f t="shared" ca="1" si="2"/>
        <v>319.4018961727312</v>
      </c>
      <c r="G20" s="23">
        <f t="shared" si="2"/>
        <v>0</v>
      </c>
      <c r="H20" s="23">
        <f t="shared" si="2"/>
        <v>0</v>
      </c>
      <c r="I20" s="23">
        <f t="shared" si="2"/>
        <v>0</v>
      </c>
      <c r="J20" s="23">
        <f t="shared" si="2"/>
        <v>2.214001964146443E-3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1627.5909999999999</v>
      </c>
      <c r="C26" s="39">
        <f>IF(ISERROR(B26*3.6/1000000/'E Balans VL '!Z12*100),0,B26*3.6/1000000/'E Balans VL '!Z12*100)</f>
        <v>4.3670238106093821E-2</v>
      </c>
      <c r="D26" s="232" t="s">
        <v>621</v>
      </c>
      <c r="F26" s="6"/>
    </row>
    <row r="27" spans="1:18">
      <c r="A27" s="227" t="s">
        <v>52</v>
      </c>
      <c r="B27" s="33">
        <f>IF(ISERROR(TER_horeca_ele_kWh/1000),0,TER_horeca_ele_kWh/1000)</f>
        <v>1036.5250000000001</v>
      </c>
      <c r="C27" s="39">
        <f>IF(ISERROR(B27*3.6/1000000/'E Balans VL '!Z9*100),0,B27*3.6/1000000/'E Balans VL '!Z9*100)</f>
        <v>8.2344670930509914E-2</v>
      </c>
      <c r="D27" s="232" t="s">
        <v>621</v>
      </c>
      <c r="F27" s="6"/>
    </row>
    <row r="28" spans="1:18">
      <c r="A28" s="167" t="s">
        <v>51</v>
      </c>
      <c r="B28" s="33">
        <f>IF(ISERROR(TER_handel_ele_kWh/1000),0,TER_handel_ele_kWh/1000)</f>
        <v>2223.4690000000001</v>
      </c>
      <c r="C28" s="39">
        <f>IF(ISERROR(B28*3.6/1000000/'E Balans VL '!Z13*100),0,B28*3.6/1000000/'E Balans VL '!Z13*100)</f>
        <v>6.5036205304977057E-2</v>
      </c>
      <c r="D28" s="232" t="s">
        <v>621</v>
      </c>
      <c r="F28" s="6"/>
    </row>
    <row r="29" spans="1:18">
      <c r="A29" s="227" t="s">
        <v>50</v>
      </c>
      <c r="B29" s="33">
        <f>IF(ISERROR(TER_gezond_ele_kWh/1000),0,TER_gezond_ele_kWh/1000)</f>
        <v>728.35900000000004</v>
      </c>
      <c r="C29" s="39">
        <f>IF(ISERROR(B29*3.6/1000000/'E Balans VL '!Z10*100),0,B29*3.6/1000000/'E Balans VL '!Z10*100)</f>
        <v>7.7305042705537452E-2</v>
      </c>
      <c r="D29" s="232" t="s">
        <v>621</v>
      </c>
      <c r="F29" s="6"/>
    </row>
    <row r="30" spans="1:18">
      <c r="A30" s="227" t="s">
        <v>49</v>
      </c>
      <c r="B30" s="33">
        <f>IF(ISERROR(TER_ander_ele_kWh/1000),0,TER_ander_ele_kWh/1000)</f>
        <v>514.78899999999999</v>
      </c>
      <c r="C30" s="39">
        <f>IF(ISERROR(B30*3.6/1000000/'E Balans VL '!Z14*100),0,B30*3.6/1000000/'E Balans VL '!Z14*100)</f>
        <v>2.3944700776496651E-2</v>
      </c>
      <c r="D30" s="232" t="s">
        <v>621</v>
      </c>
      <c r="F30" s="6"/>
    </row>
    <row r="31" spans="1:18">
      <c r="A31" s="227" t="s">
        <v>54</v>
      </c>
      <c r="B31" s="33">
        <f>IF(ISERROR(TER_onderwijs_ele_kWh/1000),0,TER_onderwijs_ele_kWh/1000)</f>
        <v>229.887</v>
      </c>
      <c r="C31" s="39">
        <f>IF(ISERROR(B31*3.6/1000000/'E Balans VL '!Z11*100),0,B31*3.6/1000000/'E Balans VL '!Z11*100)</f>
        <v>5.7535951528578953E-2</v>
      </c>
      <c r="D31" s="232" t="s">
        <v>621</v>
      </c>
    </row>
    <row r="32" spans="1:18">
      <c r="A32" s="227" t="s">
        <v>249</v>
      </c>
      <c r="B32" s="33">
        <f>IF(ISERROR(TER_rest_ele_kWh/1000),0,TER_rest_ele_kWh/1000)</f>
        <v>8.2119999999999997</v>
      </c>
      <c r="C32" s="39">
        <f>IF(ISERROR(B32*3.6/1000000/'E Balans VL '!Z8*100),0,B32*3.6/1000000/'E Balans VL '!Z8*100)</f>
        <v>6.903025129637769E-5</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1902.6190000000001</v>
      </c>
      <c r="C5" s="17">
        <f>IF(ISERROR('Eigen informatie GS &amp; warmtenet'!B59),0,'Eigen informatie GS &amp; warmtenet'!B59)</f>
        <v>0</v>
      </c>
      <c r="D5" s="30">
        <f>SUM(D6:D15)</f>
        <v>421.36659400000002</v>
      </c>
      <c r="E5" s="17">
        <f>SUM(E6:E15)</f>
        <v>202.18071322336434</v>
      </c>
      <c r="F5" s="17">
        <f>SUM(F6:F15)</f>
        <v>868.99908622052305</v>
      </c>
      <c r="G5" s="18"/>
      <c r="H5" s="17"/>
      <c r="I5" s="17"/>
      <c r="J5" s="17">
        <f>SUM(J6:J15)</f>
        <v>5.2737156828482874</v>
      </c>
      <c r="K5" s="17"/>
      <c r="L5" s="17"/>
      <c r="M5" s="17"/>
      <c r="N5" s="17">
        <f>SUM(N6:N15)</f>
        <v>438.41292954567808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159.16499999999999</v>
      </c>
      <c r="C8" s="33"/>
      <c r="D8" s="37">
        <f>IF( ISERROR(IND_metaal_Gas_kWH/1000),0,IND_metaal_Gas_kWH/1000)*0.902</f>
        <v>0</v>
      </c>
      <c r="E8" s="33">
        <f>C30*'E Balans VL '!I18/100/3.6*1000000</f>
        <v>5.7272382067653842</v>
      </c>
      <c r="F8" s="33">
        <f>C30*'E Balans VL '!L18/100/3.6*1000000+C30*'E Balans VL '!N18/100/3.6*1000000</f>
        <v>69.502195925817915</v>
      </c>
      <c r="G8" s="34"/>
      <c r="H8" s="33"/>
      <c r="I8" s="33"/>
      <c r="J8" s="40">
        <f>C30*'E Balans VL '!D18/100/3.6*1000000+C30*'E Balans VL '!E18/100/3.6*1000000</f>
        <v>0</v>
      </c>
      <c r="K8" s="33"/>
      <c r="L8" s="33"/>
      <c r="M8" s="33"/>
      <c r="N8" s="33">
        <f>C30*'E Balans VL '!Y18/100/3.6*1000000</f>
        <v>7.9772416359214766</v>
      </c>
      <c r="O8" s="33"/>
      <c r="P8" s="33"/>
      <c r="R8" s="32"/>
    </row>
    <row r="9" spans="1:18">
      <c r="A9" s="6" t="s">
        <v>32</v>
      </c>
      <c r="B9" s="37">
        <f t="shared" si="0"/>
        <v>661.66600000000005</v>
      </c>
      <c r="C9" s="33"/>
      <c r="D9" s="37">
        <f>IF( ISERROR(IND_andere_gas_kWh/1000),0,IND_andere_gas_kWh/1000)*0.902</f>
        <v>337.97579200000001</v>
      </c>
      <c r="E9" s="33">
        <f>C31*'E Balans VL '!I19/100/3.6*1000000</f>
        <v>168.84219258743875</v>
      </c>
      <c r="F9" s="33">
        <f>C31*'E Balans VL '!L19/100/3.6*1000000+C31*'E Balans VL '!N19/100/3.6*1000000</f>
        <v>569.64469324999686</v>
      </c>
      <c r="G9" s="34"/>
      <c r="H9" s="33"/>
      <c r="I9" s="33"/>
      <c r="J9" s="40">
        <f>C31*'E Balans VL '!D19/100/3.6*1000000+C31*'E Balans VL '!E19/100/3.6*1000000</f>
        <v>0</v>
      </c>
      <c r="K9" s="33"/>
      <c r="L9" s="33"/>
      <c r="M9" s="33"/>
      <c r="N9" s="33">
        <f>C31*'E Balans VL '!Y19/100/3.6*1000000</f>
        <v>52.19770477218254</v>
      </c>
      <c r="O9" s="33"/>
      <c r="P9" s="33"/>
      <c r="R9" s="32"/>
    </row>
    <row r="10" spans="1:18">
      <c r="A10" s="6" t="s">
        <v>40</v>
      </c>
      <c r="B10" s="37">
        <f t="shared" si="0"/>
        <v>953.33</v>
      </c>
      <c r="C10" s="33"/>
      <c r="D10" s="37">
        <f>IF( ISERROR(IND_voed_gas_kWh/1000),0,IND_voed_gas_kWh/1000)*0.902</f>
        <v>0</v>
      </c>
      <c r="E10" s="33">
        <f>C32*'E Balans VL '!I20/100/3.6*1000000</f>
        <v>24.234957629362754</v>
      </c>
      <c r="F10" s="33">
        <f>C32*'E Balans VL '!L20/100/3.6*1000000+C32*'E Balans VL '!N20/100/3.6*1000000</f>
        <v>215.72426828254299</v>
      </c>
      <c r="G10" s="34"/>
      <c r="H10" s="33"/>
      <c r="I10" s="33"/>
      <c r="J10" s="40">
        <f>C32*'E Balans VL '!D20/100/3.6*1000000+C32*'E Balans VL '!E20/100/3.6*1000000</f>
        <v>0</v>
      </c>
      <c r="K10" s="33"/>
      <c r="L10" s="33"/>
      <c r="M10" s="33"/>
      <c r="N10" s="33">
        <f>C32*'E Balans VL '!Y20/100/3.6*1000000</f>
        <v>357.52459102607219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71.932000000000002</v>
      </c>
      <c r="C13" s="33"/>
      <c r="D13" s="37">
        <f>IF( ISERROR(IND_papier_gas_kWh/1000),0,IND_papier_gas_kWh/1000)*0.902</f>
        <v>0</v>
      </c>
      <c r="E13" s="33">
        <f>C35*'E Balans VL '!I23/100/3.6*1000000</f>
        <v>0.30849542170199223</v>
      </c>
      <c r="F13" s="33">
        <f>C35*'E Balans VL '!L23/100/3.6*1000000+C35*'E Balans VL '!N23/100/3.6*1000000</f>
        <v>1.807874422715086</v>
      </c>
      <c r="G13" s="34"/>
      <c r="H13" s="33"/>
      <c r="I13" s="33"/>
      <c r="J13" s="40">
        <f>C35*'E Balans VL '!D23/100/3.6*1000000+C35*'E Balans VL '!E23/100/3.6*1000000</f>
        <v>4.8154528692094027</v>
      </c>
      <c r="K13" s="33"/>
      <c r="L13" s="33"/>
      <c r="M13" s="33"/>
      <c r="N13" s="33">
        <f>C35*'E Balans VL '!Y23/100/3.6*1000000</f>
        <v>17.541600133042063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56.526000000000003</v>
      </c>
      <c r="C15" s="33"/>
      <c r="D15" s="37">
        <f>IF( ISERROR(IND_rest_gas_kWh/1000),0,IND_rest_gas_kWh/1000)*0.902</f>
        <v>83.390801999999994</v>
      </c>
      <c r="E15" s="33">
        <f>C37*'E Balans VL '!I15/100/3.6*1000000</f>
        <v>3.0678293780954666</v>
      </c>
      <c r="F15" s="33">
        <f>C37*'E Balans VL '!L15/100/3.6*1000000+C37*'E Balans VL '!N15/100/3.6*1000000</f>
        <v>12.320054339450232</v>
      </c>
      <c r="G15" s="34"/>
      <c r="H15" s="33"/>
      <c r="I15" s="33"/>
      <c r="J15" s="40">
        <f>C37*'E Balans VL '!D15/100/3.6*1000000+C37*'E Balans VL '!E15/100/3.6*1000000</f>
        <v>0.45826281363888488</v>
      </c>
      <c r="K15" s="33"/>
      <c r="L15" s="33"/>
      <c r="M15" s="33"/>
      <c r="N15" s="33">
        <f>C37*'E Balans VL '!Y15/100/3.6*1000000</f>
        <v>3.1717919784598387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1902.6190000000001</v>
      </c>
      <c r="C18" s="21">
        <f>C5+C16</f>
        <v>0</v>
      </c>
      <c r="D18" s="21">
        <f>MAX((D5+D16),0)</f>
        <v>421.36659400000002</v>
      </c>
      <c r="E18" s="21">
        <f>MAX((E5+E16),0)</f>
        <v>202.18071322336434</v>
      </c>
      <c r="F18" s="21">
        <f>MAX((F5+F16),0)</f>
        <v>868.99908622052305</v>
      </c>
      <c r="G18" s="21"/>
      <c r="H18" s="21"/>
      <c r="I18" s="21"/>
      <c r="J18" s="21">
        <f>MAX((J5+J16),0)</f>
        <v>5.2737156828482874</v>
      </c>
      <c r="K18" s="21"/>
      <c r="L18" s="21">
        <f>MAX((L5+L16),0)</f>
        <v>0</v>
      </c>
      <c r="M18" s="21"/>
      <c r="N18" s="21">
        <f>MAX((N5+N16),0)</f>
        <v>438.41292954567808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0.19849682828296034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377.66383693089773</v>
      </c>
      <c r="C22" s="23">
        <f ca="1">C18*C20</f>
        <v>0</v>
      </c>
      <c r="D22" s="23">
        <f>D18*D20</f>
        <v>85.116051988000009</v>
      </c>
      <c r="E22" s="23">
        <f>E18*E20</f>
        <v>45.895021901703707</v>
      </c>
      <c r="F22" s="23">
        <f>F18*F20</f>
        <v>232.02275602087965</v>
      </c>
      <c r="G22" s="23"/>
      <c r="H22" s="23"/>
      <c r="I22" s="23"/>
      <c r="J22" s="23">
        <f>J18*J20</f>
        <v>1.8668953517282936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159.16499999999999</v>
      </c>
      <c r="C30" s="39">
        <f>IF(ISERROR(B30*3.6/1000000/'E Balans VL '!Z18*100),0,B30*3.6/1000000/'E Balans VL '!Z18*100)</f>
        <v>3.3723651092335855E-2</v>
      </c>
      <c r="D30" s="232" t="s">
        <v>621</v>
      </c>
    </row>
    <row r="31" spans="1:18">
      <c r="A31" s="6" t="s">
        <v>32</v>
      </c>
      <c r="B31" s="37">
        <f>IF( ISERROR(IND_ander_ele_kWh/1000),0,IND_ander_ele_kWh/1000)</f>
        <v>661.66600000000005</v>
      </c>
      <c r="C31" s="39">
        <f>IF(ISERROR(B31*3.6/1000000/'E Balans VL '!Z19*100),0,B31*3.6/1000000/'E Balans VL '!Z19*100)</f>
        <v>2.7851024361918011E-2</v>
      </c>
      <c r="D31" s="232" t="s">
        <v>621</v>
      </c>
    </row>
    <row r="32" spans="1:18">
      <c r="A32" s="167" t="s">
        <v>40</v>
      </c>
      <c r="B32" s="37">
        <f>IF( ISERROR(IND_voed_ele_kWh/1000),0,IND_voed_ele_kWh/1000)</f>
        <v>953.33</v>
      </c>
      <c r="C32" s="39">
        <f>IF(ISERROR(B32*3.6/1000000/'E Balans VL '!Z20*100),0,B32*3.6/1000000/'E Balans VL '!Z20*100)</f>
        <v>0.15926456268711198</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71.932000000000002</v>
      </c>
      <c r="C35" s="39">
        <f>IF(ISERROR(B35*3.6/1000000/'E Balans VL '!Z22*100),0,B35*3.6/1000000/'E Balans VL '!Z22*100)</f>
        <v>9.1177689281302689E-3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56.526000000000003</v>
      </c>
      <c r="C37" s="39">
        <f>IF(ISERROR(B37*3.6/1000000/'E Balans VL '!Z15*100),0,B37*3.6/1000000/'E Balans VL '!Z15*100)</f>
        <v>4.5635628587040313E-4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1043.9849999999999</v>
      </c>
      <c r="C5" s="17">
        <f>'Eigen informatie GS &amp; warmtenet'!B60</f>
        <v>0</v>
      </c>
      <c r="D5" s="30">
        <f>IF(ISERROR(SUM(LB_lb_gas_kWh,LB_rest_gas_kWh)/1000),0,SUM(LB_lb_gas_kWh,LB_rest_gas_kWh)/1000)*0.902</f>
        <v>132.76087000000001</v>
      </c>
      <c r="E5" s="17">
        <f>B17*'E Balans VL '!I25/3.6*1000000/100</f>
        <v>20.68224068476616</v>
      </c>
      <c r="F5" s="17">
        <f>B17*('E Balans VL '!L25/3.6*1000000+'E Balans VL '!N25/3.6*1000000)/100</f>
        <v>3807.1188476726302</v>
      </c>
      <c r="G5" s="18"/>
      <c r="H5" s="17"/>
      <c r="I5" s="17"/>
      <c r="J5" s="17">
        <f>('E Balans VL '!D25+'E Balans VL '!E25)/3.6*1000000*landbouw!B17/100</f>
        <v>247.88410020428557</v>
      </c>
      <c r="K5" s="17"/>
      <c r="L5" s="17">
        <f>L6*(-1)</f>
        <v>0</v>
      </c>
      <c r="M5" s="17"/>
      <c r="N5" s="17">
        <f>N6*(-1)</f>
        <v>124.71428571428569</v>
      </c>
      <c r="O5" s="17"/>
      <c r="P5" s="17"/>
      <c r="R5" s="32"/>
    </row>
    <row r="6" spans="1:18">
      <c r="A6" s="16" t="s">
        <v>477</v>
      </c>
      <c r="B6" s="17" t="s">
        <v>204</v>
      </c>
      <c r="C6" s="17">
        <f>'lokale energieproductie'!O39+'lokale energieproductie'!O32</f>
        <v>62.357142857142847</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1043.9849999999999</v>
      </c>
      <c r="C8" s="21">
        <f>C5+C6</f>
        <v>62.357142857142847</v>
      </c>
      <c r="D8" s="21">
        <f>MAX((D5+D6),0)</f>
        <v>132.76087000000001</v>
      </c>
      <c r="E8" s="21">
        <f>MAX((E5+E6),0)</f>
        <v>20.68224068476616</v>
      </c>
      <c r="F8" s="21">
        <f>MAX((F5+F6),0)</f>
        <v>3807.1188476726302</v>
      </c>
      <c r="G8" s="21"/>
      <c r="H8" s="21"/>
      <c r="I8" s="21"/>
      <c r="J8" s="21">
        <f>MAX((J5+J6),0)</f>
        <v>247.88410020428557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0.19849682828296034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207.22771127498632</v>
      </c>
      <c r="C12" s="23">
        <f ca="1">C8*C10</f>
        <v>0</v>
      </c>
      <c r="D12" s="23">
        <f>D8*D10</f>
        <v>26.817695740000005</v>
      </c>
      <c r="E12" s="23">
        <f>E8*E10</f>
        <v>4.6948686354419182</v>
      </c>
      <c r="F12" s="23">
        <f>F8*F10</f>
        <v>1016.5007323285923</v>
      </c>
      <c r="G12" s="23"/>
      <c r="H12" s="23"/>
      <c r="I12" s="23"/>
      <c r="J12" s="23">
        <f>J8*J10</f>
        <v>87.75097147231709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0.14720880020158131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371.20067957932872</v>
      </c>
      <c r="C26" s="242">
        <f>B26*'GWP N2O_CH4'!B5</f>
        <v>7795.2142711659035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64.551708178362233</v>
      </c>
      <c r="C27" s="242">
        <f>B27*'GWP N2O_CH4'!B5</f>
        <v>1355.5858717456069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4.9834249944204068</v>
      </c>
      <c r="C28" s="242">
        <f>B28*'GWP N2O_CH4'!B4</f>
        <v>1544.8617482703262</v>
      </c>
      <c r="D28" s="50"/>
    </row>
    <row r="29" spans="1:4">
      <c r="A29" s="41" t="s">
        <v>266</v>
      </c>
      <c r="B29" s="242">
        <f>B34*'ha_N2O bodem landbouw'!B4</f>
        <v>17.621132179016207</v>
      </c>
      <c r="C29" s="242">
        <f>B29*'GWP N2O_CH4'!B4</f>
        <v>5462.5509754950244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3.9657123004561007E-3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6.7175947868901729E-5</v>
      </c>
      <c r="C5" s="427" t="s">
        <v>204</v>
      </c>
      <c r="D5" s="412">
        <f>SUM(D6:D11)</f>
        <v>1.1204431034618896E-4</v>
      </c>
      <c r="E5" s="412">
        <f>SUM(E6:E11)</f>
        <v>5.0473466234184192E-4</v>
      </c>
      <c r="F5" s="425" t="s">
        <v>204</v>
      </c>
      <c r="G5" s="412">
        <f>SUM(G6:G11)</f>
        <v>0.20552558256032047</v>
      </c>
      <c r="H5" s="412">
        <f>SUM(H6:H11)</f>
        <v>3.8663512795194616E-2</v>
      </c>
      <c r="I5" s="427" t="s">
        <v>204</v>
      </c>
      <c r="J5" s="427" t="s">
        <v>204</v>
      </c>
      <c r="K5" s="427" t="s">
        <v>204</v>
      </c>
      <c r="L5" s="427" t="s">
        <v>204</v>
      </c>
      <c r="M5" s="412">
        <f>SUM(M6:M11)</f>
        <v>7.62456537202383E-3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5.0782236297932646E-5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8.0019064939218696E-5</v>
      </c>
      <c r="E6" s="818">
        <f>vkm_GW_PW*SUMIFS(TableVerdeelsleutelVkm[LPG],TableVerdeelsleutelVkm[Voertuigtype],"Lichte voertuigen")*SUMIFS(TableECFTransport[EnergieConsumptieFactor (PJ per km)],TableECFTransport[Index],CONCATENATE($A6,"_LPG_LPG"))</f>
        <v>3.6526819161798079E-4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9.8623122618659492E-2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2.7848261600241671E-2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3.9373090352386592E-3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1.9207680689194561E-6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6.6206694822042472E-2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1.3450453873313161E-6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2.0828708369814617E-3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1.4346908059071415E-5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3.2025245406970257E-5</v>
      </c>
      <c r="E8" s="415">
        <f>vkm_NGW_PW*SUMIFS(TableVerdeelsleutelVkm[LPG],TableVerdeelsleutelVkm[Voertuigtype],"Lichte voertuigen")*SUMIFS(TableECFTransport[EnergieConsumptieFactor (PJ per km)],TableECFTransport[Index],CONCATENATE($A8,"_LPG_LPG"))</f>
        <v>1.3946647072386108E-4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3.5110024694371716E-2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1.0813799619756091E-2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1.4286576209822763E-3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1.2603544297821526E-7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5.5857404252467775E-3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1.0652980952183921E-7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1.7572787882143303E-4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18.659985519139369</v>
      </c>
      <c r="C14" s="21"/>
      <c r="D14" s="21">
        <f t="shared" ref="D14:M14" si="0">((D5)*10^9/3600)+D12</f>
        <v>31.123419540608044</v>
      </c>
      <c r="E14" s="21">
        <f t="shared" si="0"/>
        <v>140.20407287273386</v>
      </c>
      <c r="F14" s="21"/>
      <c r="G14" s="21">
        <f t="shared" si="0"/>
        <v>57090.439600089019</v>
      </c>
      <c r="H14" s="21">
        <f t="shared" si="0"/>
        <v>10739.864665331839</v>
      </c>
      <c r="I14" s="21"/>
      <c r="J14" s="21"/>
      <c r="K14" s="21"/>
      <c r="L14" s="21"/>
      <c r="M14" s="21">
        <f t="shared" si="0"/>
        <v>2117.9348255621749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0.19849682828296034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3.7039479413551337</v>
      </c>
      <c r="C18" s="23"/>
      <c r="D18" s="23">
        <f t="shared" ref="D18:M18" si="1">D14*D16</f>
        <v>6.2869307472028249</v>
      </c>
      <c r="E18" s="23">
        <f t="shared" si="1"/>
        <v>31.826324542110587</v>
      </c>
      <c r="F18" s="23"/>
      <c r="G18" s="23">
        <f t="shared" si="1"/>
        <v>15243.147373223768</v>
      </c>
      <c r="H18" s="23">
        <f t="shared" si="1"/>
        <v>2674.2263016676279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4.7229997878565014E-5</v>
      </c>
      <c r="C50" s="311">
        <f t="shared" ref="C50:P50" si="2">SUM(C51:C52)</f>
        <v>0</v>
      </c>
      <c r="D50" s="311">
        <f t="shared" si="2"/>
        <v>0</v>
      </c>
      <c r="E50" s="311">
        <f t="shared" si="2"/>
        <v>0</v>
      </c>
      <c r="F50" s="311">
        <f t="shared" si="2"/>
        <v>0</v>
      </c>
      <c r="G50" s="311">
        <f t="shared" si="2"/>
        <v>8.421208613918674E-3</v>
      </c>
      <c r="H50" s="311">
        <f t="shared" si="2"/>
        <v>0</v>
      </c>
      <c r="I50" s="311">
        <f t="shared" si="2"/>
        <v>0</v>
      </c>
      <c r="J50" s="311">
        <f t="shared" si="2"/>
        <v>0</v>
      </c>
      <c r="K50" s="311">
        <f t="shared" si="2"/>
        <v>0</v>
      </c>
      <c r="L50" s="311">
        <f t="shared" si="2"/>
        <v>0</v>
      </c>
      <c r="M50" s="311">
        <f t="shared" si="2"/>
        <v>2.6287750382559123E-4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4.7229997878565014E-5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8.421208613918674E-3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2.6287750382559123E-4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13.119443855156948</v>
      </c>
      <c r="C54" s="21">
        <f t="shared" ref="C54:P54" si="3">(C50)*10^9/3600</f>
        <v>0</v>
      </c>
      <c r="D54" s="21">
        <f t="shared" si="3"/>
        <v>0</v>
      </c>
      <c r="E54" s="21">
        <f t="shared" si="3"/>
        <v>0</v>
      </c>
      <c r="F54" s="21">
        <f t="shared" si="3"/>
        <v>0</v>
      </c>
      <c r="G54" s="21">
        <f t="shared" si="3"/>
        <v>2339.2246149774091</v>
      </c>
      <c r="H54" s="21">
        <f t="shared" si="3"/>
        <v>0</v>
      </c>
      <c r="I54" s="21">
        <f t="shared" si="3"/>
        <v>0</v>
      </c>
      <c r="J54" s="21">
        <f t="shared" si="3"/>
        <v>0</v>
      </c>
      <c r="K54" s="21">
        <f t="shared" si="3"/>
        <v>0</v>
      </c>
      <c r="L54" s="21">
        <f t="shared" si="3"/>
        <v>0</v>
      </c>
      <c r="M54" s="21">
        <f t="shared" si="3"/>
        <v>73.021528840442016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0.19849682828296034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2.604167994085028</v>
      </c>
      <c r="C58" s="23">
        <f t="shared" ref="C58:P58" ca="1" si="4">C54*C56</f>
        <v>0</v>
      </c>
      <c r="D58" s="23">
        <f t="shared" si="4"/>
        <v>0</v>
      </c>
      <c r="E58" s="23">
        <f t="shared" si="4"/>
        <v>0</v>
      </c>
      <c r="F58" s="23">
        <f t="shared" si="4"/>
        <v>0</v>
      </c>
      <c r="G58" s="23">
        <f t="shared" si="4"/>
        <v>624.57297219896827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2697.3000789661182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43.649999999999991</v>
      </c>
      <c r="C8" s="534">
        <f>B48</f>
        <v>0</v>
      </c>
      <c r="D8" s="961"/>
      <c r="E8" s="961">
        <f>E48</f>
        <v>0</v>
      </c>
      <c r="F8" s="962"/>
      <c r="G8" s="535"/>
      <c r="H8" s="961">
        <f>I48</f>
        <v>0</v>
      </c>
      <c r="I8" s="961">
        <f>G48+F48</f>
        <v>0</v>
      </c>
      <c r="J8" s="961">
        <f>H48+D48+C48</f>
        <v>51.35294117647058</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2740.9500789661183</v>
      </c>
      <c r="C10" s="547">
        <f t="shared" ref="C10:L10" si="0">SUM(C8:C9)</f>
        <v>0</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62.357142857142847</v>
      </c>
      <c r="C17" s="559">
        <f>B49</f>
        <v>0</v>
      </c>
      <c r="D17" s="560"/>
      <c r="E17" s="560">
        <f>E49</f>
        <v>0</v>
      </c>
      <c r="F17" s="967"/>
      <c r="G17" s="561"/>
      <c r="H17" s="559">
        <f>I49</f>
        <v>0</v>
      </c>
      <c r="I17" s="560">
        <f>G49+F49</f>
        <v>0</v>
      </c>
      <c r="J17" s="560">
        <f>H49+D49+C49</f>
        <v>73.361344537815114</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62.357142857142847</v>
      </c>
      <c r="C20" s="546">
        <f>SUM(C17:C19)</f>
        <v>0</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23024</v>
      </c>
      <c r="C28" s="724">
        <v>1755</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9.6999999999999993</v>
      </c>
      <c r="N29" s="574">
        <f>SUM(N28:N28)</f>
        <v>43.649999999999991</v>
      </c>
      <c r="O29" s="574">
        <f>SUM(O28:O28)</f>
        <v>62.357142857142847</v>
      </c>
      <c r="P29" s="574">
        <f>SUM(P28:P28)</f>
        <v>0</v>
      </c>
      <c r="Q29" s="574">
        <f>SUM(Q28:Q28)</f>
        <v>124.71428571428569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9.6999999999999993</v>
      </c>
      <c r="N32" s="579">
        <f>SUMIF($AA$28:$AA$28,"landbouw",N28:N28)</f>
        <v>43.649999999999991</v>
      </c>
      <c r="O32" s="579">
        <f>SUMIF($AA$28:$AA$28,"landbouw",O28:O28)</f>
        <v>62.357142857142847</v>
      </c>
      <c r="P32" s="579">
        <f>SUMIF($AA$28:$AA$28,"landbouw",P28:P28)</f>
        <v>0</v>
      </c>
      <c r="Q32" s="579">
        <f>SUMIF($AA$28:$AA$28,"landbouw",Q28:Q28)</f>
        <v>124.71428571428569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51.35294117647058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73.361344537815114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6900.5920000000006</v>
      </c>
      <c r="D10" s="930">
        <f ca="1">tertiair!C16</f>
        <v>0</v>
      </c>
      <c r="E10" s="930">
        <f ca="1">tertiair!D16</f>
        <v>5297.2592860000013</v>
      </c>
      <c r="F10" s="930">
        <f>tertiair!E16</f>
        <v>95.74657840147465</v>
      </c>
      <c r="G10" s="930">
        <f ca="1">tertiair!F16</f>
        <v>1196.2617834184689</v>
      </c>
      <c r="H10" s="930">
        <f>tertiair!G16</f>
        <v>0</v>
      </c>
      <c r="I10" s="930">
        <f>tertiair!H16</f>
        <v>0</v>
      </c>
      <c r="J10" s="930">
        <f>tertiair!I16</f>
        <v>0</v>
      </c>
      <c r="K10" s="930">
        <f>tertiair!J16</f>
        <v>6.2542428365718735E-3</v>
      </c>
      <c r="L10" s="930">
        <f>tertiair!K16</f>
        <v>0</v>
      </c>
      <c r="M10" s="930">
        <f ca="1">tertiair!L16</f>
        <v>0</v>
      </c>
      <c r="N10" s="930">
        <f>tertiair!M16</f>
        <v>0</v>
      </c>
      <c r="O10" s="930">
        <f ca="1">tertiair!N16</f>
        <v>230.88446409137597</v>
      </c>
      <c r="P10" s="930">
        <f>tertiair!O16</f>
        <v>0</v>
      </c>
      <c r="Q10" s="931">
        <f>tertiair!P16</f>
        <v>19.066666666666666</v>
      </c>
      <c r="R10" s="628">
        <f ca="1">SUM(C10:Q10)</f>
        <v>13739.817032820825</v>
      </c>
      <c r="S10" s="67"/>
    </row>
    <row r="11" spans="1:19" s="437" customFormat="1">
      <c r="A11" s="736" t="s">
        <v>214</v>
      </c>
      <c r="B11" s="741"/>
      <c r="C11" s="930">
        <f>huishoudens!B8</f>
        <v>16474.256784866029</v>
      </c>
      <c r="D11" s="930">
        <f>huishoudens!C8</f>
        <v>0</v>
      </c>
      <c r="E11" s="930">
        <f>huishoudens!D8</f>
        <v>17890.037990000001</v>
      </c>
      <c r="F11" s="930">
        <f>huishoudens!E8</f>
        <v>1315.489004387812</v>
      </c>
      <c r="G11" s="930">
        <f>huishoudens!F8</f>
        <v>35765.542187672938</v>
      </c>
      <c r="H11" s="930">
        <f>huishoudens!G8</f>
        <v>0</v>
      </c>
      <c r="I11" s="930">
        <f>huishoudens!H8</f>
        <v>0</v>
      </c>
      <c r="J11" s="930">
        <f>huishoudens!I8</f>
        <v>0</v>
      </c>
      <c r="K11" s="930">
        <f>huishoudens!J8</f>
        <v>659.58047965990568</v>
      </c>
      <c r="L11" s="930">
        <f>huishoudens!K8</f>
        <v>0</v>
      </c>
      <c r="M11" s="930">
        <f>huishoudens!L8</f>
        <v>0</v>
      </c>
      <c r="N11" s="930">
        <f>huishoudens!M8</f>
        <v>0</v>
      </c>
      <c r="O11" s="930">
        <f>huishoudens!N8</f>
        <v>5205.9386931701083</v>
      </c>
      <c r="P11" s="930">
        <f>huishoudens!O8</f>
        <v>156.33333333333334</v>
      </c>
      <c r="Q11" s="931">
        <f>huishoudens!P8</f>
        <v>476.66666666666663</v>
      </c>
      <c r="R11" s="628">
        <f>SUM(C11:Q11)</f>
        <v>77943.845139756799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1902.6190000000001</v>
      </c>
      <c r="D13" s="930">
        <f>industrie!C18</f>
        <v>0</v>
      </c>
      <c r="E13" s="930">
        <f>industrie!D18</f>
        <v>421.36659400000002</v>
      </c>
      <c r="F13" s="930">
        <f>industrie!E18</f>
        <v>202.18071322336434</v>
      </c>
      <c r="G13" s="930">
        <f>industrie!F18</f>
        <v>868.99908622052305</v>
      </c>
      <c r="H13" s="930">
        <f>industrie!G18</f>
        <v>0</v>
      </c>
      <c r="I13" s="930">
        <f>industrie!H18</f>
        <v>0</v>
      </c>
      <c r="J13" s="930">
        <f>industrie!I18</f>
        <v>0</v>
      </c>
      <c r="K13" s="930">
        <f>industrie!J18</f>
        <v>5.2737156828482874</v>
      </c>
      <c r="L13" s="930">
        <f>industrie!K18</f>
        <v>0</v>
      </c>
      <c r="M13" s="930">
        <f>industrie!L18</f>
        <v>0</v>
      </c>
      <c r="N13" s="930">
        <f>industrie!M18</f>
        <v>0</v>
      </c>
      <c r="O13" s="930">
        <f>industrie!N18</f>
        <v>438.41292954567808</v>
      </c>
      <c r="P13" s="930">
        <f>industrie!O18</f>
        <v>0</v>
      </c>
      <c r="Q13" s="931">
        <f>industrie!P18</f>
        <v>0</v>
      </c>
      <c r="R13" s="628">
        <f>SUM(C13:Q13)</f>
        <v>3838.8520386724144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25277.467784866029</v>
      </c>
      <c r="D16" s="660">
        <f t="shared" ref="D16:R16" ca="1" si="0">SUM(D9:D15)</f>
        <v>0</v>
      </c>
      <c r="E16" s="660">
        <f t="shared" ca="1" si="0"/>
        <v>23608.66387</v>
      </c>
      <c r="F16" s="660">
        <f t="shared" si="0"/>
        <v>1613.4162960126509</v>
      </c>
      <c r="G16" s="660">
        <f t="shared" ca="1" si="0"/>
        <v>37830.803057311932</v>
      </c>
      <c r="H16" s="660">
        <f t="shared" si="0"/>
        <v>0</v>
      </c>
      <c r="I16" s="660">
        <f t="shared" si="0"/>
        <v>0</v>
      </c>
      <c r="J16" s="660">
        <f t="shared" si="0"/>
        <v>0</v>
      </c>
      <c r="K16" s="660">
        <f t="shared" si="0"/>
        <v>664.86044958559057</v>
      </c>
      <c r="L16" s="660">
        <f t="shared" si="0"/>
        <v>0</v>
      </c>
      <c r="M16" s="660">
        <f t="shared" ca="1" si="0"/>
        <v>0</v>
      </c>
      <c r="N16" s="660">
        <f t="shared" si="0"/>
        <v>0</v>
      </c>
      <c r="O16" s="660">
        <f t="shared" ca="1" si="0"/>
        <v>5875.2360868071619</v>
      </c>
      <c r="P16" s="660">
        <f t="shared" si="0"/>
        <v>156.33333333333334</v>
      </c>
      <c r="Q16" s="660">
        <f t="shared" si="0"/>
        <v>495.73333333333329</v>
      </c>
      <c r="R16" s="660">
        <f t="shared" ca="1" si="0"/>
        <v>95522.514211250033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13.119443855156948</v>
      </c>
      <c r="D19" s="930">
        <f>transport!C54</f>
        <v>0</v>
      </c>
      <c r="E19" s="930">
        <f>transport!D54</f>
        <v>0</v>
      </c>
      <c r="F19" s="930">
        <f>transport!E54</f>
        <v>0</v>
      </c>
      <c r="G19" s="930">
        <f>transport!F54</f>
        <v>0</v>
      </c>
      <c r="H19" s="930">
        <f>transport!G54</f>
        <v>2339.2246149774091</v>
      </c>
      <c r="I19" s="930">
        <f>transport!H54</f>
        <v>0</v>
      </c>
      <c r="J19" s="930">
        <f>transport!I54</f>
        <v>0</v>
      </c>
      <c r="K19" s="930">
        <f>transport!J54</f>
        <v>0</v>
      </c>
      <c r="L19" s="930">
        <f>transport!K54</f>
        <v>0</v>
      </c>
      <c r="M19" s="930">
        <f>transport!L54</f>
        <v>0</v>
      </c>
      <c r="N19" s="930">
        <f>transport!M54</f>
        <v>73.021528840442016</v>
      </c>
      <c r="O19" s="930">
        <f>transport!N54</f>
        <v>0</v>
      </c>
      <c r="P19" s="930">
        <f>transport!O54</f>
        <v>0</v>
      </c>
      <c r="Q19" s="931">
        <f>transport!P54</f>
        <v>0</v>
      </c>
      <c r="R19" s="628">
        <f>SUM(C19:Q19)</f>
        <v>2425.3655876730081</v>
      </c>
      <c r="S19" s="67"/>
    </row>
    <row r="20" spans="1:19" s="437" customFormat="1">
      <c r="A20" s="736" t="s">
        <v>296</v>
      </c>
      <c r="B20" s="741"/>
      <c r="C20" s="930">
        <f>transport!B14</f>
        <v>18.659985519139369</v>
      </c>
      <c r="D20" s="930">
        <f>transport!C14</f>
        <v>0</v>
      </c>
      <c r="E20" s="930">
        <f>transport!D14</f>
        <v>31.123419540608044</v>
      </c>
      <c r="F20" s="930">
        <f>transport!E14</f>
        <v>140.20407287273386</v>
      </c>
      <c r="G20" s="930">
        <f>transport!F14</f>
        <v>0</v>
      </c>
      <c r="H20" s="930">
        <f>transport!G14</f>
        <v>57090.439600089019</v>
      </c>
      <c r="I20" s="930">
        <f>transport!H14</f>
        <v>10739.864665331839</v>
      </c>
      <c r="J20" s="930">
        <f>transport!I14</f>
        <v>0</v>
      </c>
      <c r="K20" s="930">
        <f>transport!J14</f>
        <v>0</v>
      </c>
      <c r="L20" s="930">
        <f>transport!K14</f>
        <v>0</v>
      </c>
      <c r="M20" s="930">
        <f>transport!L14</f>
        <v>0</v>
      </c>
      <c r="N20" s="930">
        <f>transport!M14</f>
        <v>2117.9348255621749</v>
      </c>
      <c r="O20" s="930">
        <f>transport!N14</f>
        <v>0</v>
      </c>
      <c r="P20" s="930">
        <f>transport!O14</f>
        <v>0</v>
      </c>
      <c r="Q20" s="931">
        <f>transport!P14</f>
        <v>0</v>
      </c>
      <c r="R20" s="628">
        <f>SUM(C20:Q20)</f>
        <v>70138.226568915517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31.779429374296317</v>
      </c>
      <c r="D22" s="739">
        <f t="shared" ref="D22:R22" si="1">SUM(D18:D21)</f>
        <v>0</v>
      </c>
      <c r="E22" s="739">
        <f t="shared" si="1"/>
        <v>31.123419540608044</v>
      </c>
      <c r="F22" s="739">
        <f t="shared" si="1"/>
        <v>140.20407287273386</v>
      </c>
      <c r="G22" s="739">
        <f t="shared" si="1"/>
        <v>0</v>
      </c>
      <c r="H22" s="739">
        <f t="shared" si="1"/>
        <v>59429.664215066427</v>
      </c>
      <c r="I22" s="739">
        <f t="shared" si="1"/>
        <v>10739.864665331839</v>
      </c>
      <c r="J22" s="739">
        <f t="shared" si="1"/>
        <v>0</v>
      </c>
      <c r="K22" s="739">
        <f t="shared" si="1"/>
        <v>0</v>
      </c>
      <c r="L22" s="739">
        <f t="shared" si="1"/>
        <v>0</v>
      </c>
      <c r="M22" s="739">
        <f t="shared" si="1"/>
        <v>0</v>
      </c>
      <c r="N22" s="739">
        <f t="shared" si="1"/>
        <v>2190.9563544026169</v>
      </c>
      <c r="O22" s="739">
        <f t="shared" si="1"/>
        <v>0</v>
      </c>
      <c r="P22" s="739">
        <f t="shared" si="1"/>
        <v>0</v>
      </c>
      <c r="Q22" s="739">
        <f t="shared" si="1"/>
        <v>0</v>
      </c>
      <c r="R22" s="739">
        <f t="shared" si="1"/>
        <v>72563.592156588522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1043.9849999999999</v>
      </c>
      <c r="D24" s="930">
        <f>+landbouw!C8</f>
        <v>62.357142857142847</v>
      </c>
      <c r="E24" s="930">
        <f>+landbouw!D8</f>
        <v>132.76087000000001</v>
      </c>
      <c r="F24" s="930">
        <f>+landbouw!E8</f>
        <v>20.68224068476616</v>
      </c>
      <c r="G24" s="930">
        <f>+landbouw!F8</f>
        <v>3807.1188476726302</v>
      </c>
      <c r="H24" s="930">
        <f>+landbouw!G8</f>
        <v>0</v>
      </c>
      <c r="I24" s="930">
        <f>+landbouw!H8</f>
        <v>0</v>
      </c>
      <c r="J24" s="930">
        <f>+landbouw!I8</f>
        <v>0</v>
      </c>
      <c r="K24" s="930">
        <f>+landbouw!J8</f>
        <v>247.88410020428557</v>
      </c>
      <c r="L24" s="930">
        <f>+landbouw!K8</f>
        <v>0</v>
      </c>
      <c r="M24" s="930">
        <f>+landbouw!L8</f>
        <v>0</v>
      </c>
      <c r="N24" s="930">
        <f>+landbouw!M8</f>
        <v>0</v>
      </c>
      <c r="O24" s="930">
        <f>+landbouw!N8</f>
        <v>0</v>
      </c>
      <c r="P24" s="930">
        <f>+landbouw!O8</f>
        <v>0</v>
      </c>
      <c r="Q24" s="931">
        <f>+landbouw!P8</f>
        <v>0</v>
      </c>
      <c r="R24" s="628">
        <f>SUM(C24:Q24)</f>
        <v>5314.7882014188244</v>
      </c>
      <c r="S24" s="67"/>
    </row>
    <row r="25" spans="1:19" s="437" customFormat="1" ht="15" thickBot="1">
      <c r="A25" s="758" t="s">
        <v>788</v>
      </c>
      <c r="B25" s="933"/>
      <c r="C25" s="934">
        <f>IF(Onbekend_ele_kWh="---",0,Onbekend_ele_kWh)/1000+IF(REST_rest_ele_kWh="---",0,REST_rest_ele_kWh)/1000</f>
        <v>565.19399999999996</v>
      </c>
      <c r="D25" s="934"/>
      <c r="E25" s="934">
        <f>IF(onbekend_gas_kWh="---",0,onbekend_gas_kWh)/1000+IF(REST_rest_gas_kWh="---",0,REST_rest_gas_kWh)/1000</f>
        <v>549.75900000000001</v>
      </c>
      <c r="F25" s="934"/>
      <c r="G25" s="934"/>
      <c r="H25" s="934"/>
      <c r="I25" s="934"/>
      <c r="J25" s="934"/>
      <c r="K25" s="934"/>
      <c r="L25" s="934"/>
      <c r="M25" s="934"/>
      <c r="N25" s="934"/>
      <c r="O25" s="934"/>
      <c r="P25" s="934"/>
      <c r="Q25" s="935"/>
      <c r="R25" s="628">
        <f>SUM(C25:Q25)</f>
        <v>1114.953</v>
      </c>
      <c r="S25" s="67"/>
    </row>
    <row r="26" spans="1:19" s="437" customFormat="1" ht="15.75" thickBot="1">
      <c r="A26" s="633" t="s">
        <v>789</v>
      </c>
      <c r="B26" s="744"/>
      <c r="C26" s="739">
        <f>SUM(C24:C25)</f>
        <v>1609.1789999999999</v>
      </c>
      <c r="D26" s="739">
        <f t="shared" ref="D26:R26" si="2">SUM(D24:D25)</f>
        <v>62.357142857142847</v>
      </c>
      <c r="E26" s="739">
        <f t="shared" si="2"/>
        <v>682.51987000000008</v>
      </c>
      <c r="F26" s="739">
        <f t="shared" si="2"/>
        <v>20.68224068476616</v>
      </c>
      <c r="G26" s="739">
        <f t="shared" si="2"/>
        <v>3807.1188476726302</v>
      </c>
      <c r="H26" s="739">
        <f t="shared" si="2"/>
        <v>0</v>
      </c>
      <c r="I26" s="739">
        <f t="shared" si="2"/>
        <v>0</v>
      </c>
      <c r="J26" s="739">
        <f t="shared" si="2"/>
        <v>0</v>
      </c>
      <c r="K26" s="739">
        <f t="shared" si="2"/>
        <v>247.88410020428557</v>
      </c>
      <c r="L26" s="739">
        <f t="shared" si="2"/>
        <v>0</v>
      </c>
      <c r="M26" s="739">
        <f t="shared" si="2"/>
        <v>0</v>
      </c>
      <c r="N26" s="739">
        <f t="shared" si="2"/>
        <v>0</v>
      </c>
      <c r="O26" s="739">
        <f t="shared" si="2"/>
        <v>0</v>
      </c>
      <c r="P26" s="739">
        <f t="shared" si="2"/>
        <v>0</v>
      </c>
      <c r="Q26" s="739">
        <f t="shared" si="2"/>
        <v>0</v>
      </c>
      <c r="R26" s="739">
        <f t="shared" si="2"/>
        <v>6429.7412014188249</v>
      </c>
      <c r="S26" s="67"/>
    </row>
    <row r="27" spans="1:19" s="437" customFormat="1" ht="17.25" thickTop="1" thickBot="1">
      <c r="A27" s="634" t="s">
        <v>109</v>
      </c>
      <c r="B27" s="732"/>
      <c r="C27" s="635">
        <f ca="1">C22+C16+C26</f>
        <v>26918.426214240324</v>
      </c>
      <c r="D27" s="635">
        <f t="shared" ref="D27:R27" ca="1" si="3">D22+D16+D26</f>
        <v>62.357142857142847</v>
      </c>
      <c r="E27" s="635">
        <f t="shared" ca="1" si="3"/>
        <v>24322.307159540607</v>
      </c>
      <c r="F27" s="635">
        <f t="shared" si="3"/>
        <v>1774.3026095701509</v>
      </c>
      <c r="G27" s="635">
        <f t="shared" ca="1" si="3"/>
        <v>41637.921904984563</v>
      </c>
      <c r="H27" s="635">
        <f t="shared" si="3"/>
        <v>59429.664215066427</v>
      </c>
      <c r="I27" s="635">
        <f t="shared" si="3"/>
        <v>10739.864665331839</v>
      </c>
      <c r="J27" s="635">
        <f t="shared" si="3"/>
        <v>0</v>
      </c>
      <c r="K27" s="635">
        <f t="shared" si="3"/>
        <v>912.74454978987615</v>
      </c>
      <c r="L27" s="635">
        <f t="shared" si="3"/>
        <v>0</v>
      </c>
      <c r="M27" s="635">
        <f t="shared" ca="1" si="3"/>
        <v>0</v>
      </c>
      <c r="N27" s="635">
        <f t="shared" si="3"/>
        <v>2190.9563544026169</v>
      </c>
      <c r="O27" s="635">
        <f t="shared" ca="1" si="3"/>
        <v>5875.2360868071619</v>
      </c>
      <c r="P27" s="635">
        <f t="shared" si="3"/>
        <v>156.33333333333334</v>
      </c>
      <c r="Q27" s="635">
        <f t="shared" si="3"/>
        <v>495.73333333333329</v>
      </c>
      <c r="R27" s="635">
        <f t="shared" ca="1" si="3"/>
        <v>174515.8475692574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1369.74562527477</v>
      </c>
      <c r="D40" s="930">
        <f ca="1">tertiair!C20</f>
        <v>0</v>
      </c>
      <c r="E40" s="930">
        <f ca="1">tertiair!D20</f>
        <v>1070.0463757720004</v>
      </c>
      <c r="F40" s="930">
        <f>tertiair!E20</f>
        <v>21.734473297134745</v>
      </c>
      <c r="G40" s="930">
        <f ca="1">tertiair!F20</f>
        <v>319.4018961727312</v>
      </c>
      <c r="H40" s="930">
        <f>tertiair!G20</f>
        <v>0</v>
      </c>
      <c r="I40" s="930">
        <f>tertiair!H20</f>
        <v>0</v>
      </c>
      <c r="J40" s="930">
        <f>tertiair!I20</f>
        <v>0</v>
      </c>
      <c r="K40" s="930">
        <f>tertiair!J20</f>
        <v>2.214001964146443E-3</v>
      </c>
      <c r="L40" s="930">
        <f>tertiair!K20</f>
        <v>0</v>
      </c>
      <c r="M40" s="930">
        <f ca="1">tertiair!L20</f>
        <v>0</v>
      </c>
      <c r="N40" s="930">
        <f>tertiair!M20</f>
        <v>0</v>
      </c>
      <c r="O40" s="930">
        <f ca="1">tertiair!N20</f>
        <v>0</v>
      </c>
      <c r="P40" s="930">
        <f>tertiair!O20</f>
        <v>0</v>
      </c>
      <c r="Q40" s="702">
        <f>tertiair!P20</f>
        <v>0</v>
      </c>
      <c r="R40" s="777">
        <f t="shared" ca="1" si="4"/>
        <v>2780.9305845186004</v>
      </c>
    </row>
    <row r="41" spans="1:18">
      <c r="A41" s="749" t="s">
        <v>214</v>
      </c>
      <c r="B41" s="756"/>
      <c r="C41" s="930">
        <f ca="1">huishoudens!B12</f>
        <v>3270.0877201149465</v>
      </c>
      <c r="D41" s="930">
        <f ca="1">huishoudens!C12</f>
        <v>0</v>
      </c>
      <c r="E41" s="930">
        <f>huishoudens!D12</f>
        <v>3613.7876739800004</v>
      </c>
      <c r="F41" s="930">
        <f>huishoudens!E12</f>
        <v>298.61600399603333</v>
      </c>
      <c r="G41" s="930">
        <f>huishoudens!F12</f>
        <v>9549.3997641086753</v>
      </c>
      <c r="H41" s="930">
        <f>huishoudens!G12</f>
        <v>0</v>
      </c>
      <c r="I41" s="930">
        <f>huishoudens!H12</f>
        <v>0</v>
      </c>
      <c r="J41" s="930">
        <f>huishoudens!I12</f>
        <v>0</v>
      </c>
      <c r="K41" s="930">
        <f>huishoudens!J12</f>
        <v>233.4914897996066</v>
      </c>
      <c r="L41" s="930">
        <f>huishoudens!K12</f>
        <v>0</v>
      </c>
      <c r="M41" s="930">
        <f>huishoudens!L12</f>
        <v>0</v>
      </c>
      <c r="N41" s="930">
        <f>huishoudens!M12</f>
        <v>0</v>
      </c>
      <c r="O41" s="930">
        <f>huishoudens!N12</f>
        <v>0</v>
      </c>
      <c r="P41" s="930">
        <f>huishoudens!O12</f>
        <v>0</v>
      </c>
      <c r="Q41" s="702">
        <f>huishoudens!P12</f>
        <v>0</v>
      </c>
      <c r="R41" s="777">
        <f t="shared" ca="1" si="4"/>
        <v>16965.382651999262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377.66383693089773</v>
      </c>
      <c r="D43" s="930">
        <f ca="1">industrie!C22</f>
        <v>0</v>
      </c>
      <c r="E43" s="930">
        <f>industrie!D22</f>
        <v>85.116051988000009</v>
      </c>
      <c r="F43" s="930">
        <f>industrie!E22</f>
        <v>45.895021901703707</v>
      </c>
      <c r="G43" s="930">
        <f>industrie!F22</f>
        <v>232.02275602087965</v>
      </c>
      <c r="H43" s="930">
        <f>industrie!G22</f>
        <v>0</v>
      </c>
      <c r="I43" s="930">
        <f>industrie!H22</f>
        <v>0</v>
      </c>
      <c r="J43" s="930">
        <f>industrie!I22</f>
        <v>0</v>
      </c>
      <c r="K43" s="930">
        <f>industrie!J22</f>
        <v>1.8668953517282936</v>
      </c>
      <c r="L43" s="930">
        <f>industrie!K22</f>
        <v>0</v>
      </c>
      <c r="M43" s="930">
        <f>industrie!L22</f>
        <v>0</v>
      </c>
      <c r="N43" s="930">
        <f>industrie!M22</f>
        <v>0</v>
      </c>
      <c r="O43" s="930">
        <f>industrie!N22</f>
        <v>0</v>
      </c>
      <c r="P43" s="930">
        <f>industrie!O22</f>
        <v>0</v>
      </c>
      <c r="Q43" s="702">
        <f>industrie!P22</f>
        <v>0</v>
      </c>
      <c r="R43" s="776">
        <f t="shared" ca="1" si="4"/>
        <v>742.56456219320944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5017.4971823206142</v>
      </c>
      <c r="D46" s="660">
        <f t="shared" ref="D46:Q46" ca="1" si="5">SUM(D39:D45)</f>
        <v>0</v>
      </c>
      <c r="E46" s="660">
        <f t="shared" ca="1" si="5"/>
        <v>4768.9501017400007</v>
      </c>
      <c r="F46" s="660">
        <f t="shared" si="5"/>
        <v>366.2454991948718</v>
      </c>
      <c r="G46" s="660">
        <f t="shared" ca="1" si="5"/>
        <v>10100.824416302286</v>
      </c>
      <c r="H46" s="660">
        <f t="shared" si="5"/>
        <v>0</v>
      </c>
      <c r="I46" s="660">
        <f t="shared" si="5"/>
        <v>0</v>
      </c>
      <c r="J46" s="660">
        <f t="shared" si="5"/>
        <v>0</v>
      </c>
      <c r="K46" s="660">
        <f t="shared" si="5"/>
        <v>235.36059915329903</v>
      </c>
      <c r="L46" s="660">
        <f t="shared" si="5"/>
        <v>0</v>
      </c>
      <c r="M46" s="660">
        <f t="shared" ca="1" si="5"/>
        <v>0</v>
      </c>
      <c r="N46" s="660">
        <f t="shared" si="5"/>
        <v>0</v>
      </c>
      <c r="O46" s="660">
        <f t="shared" ca="1" si="5"/>
        <v>0</v>
      </c>
      <c r="P46" s="660">
        <f t="shared" si="5"/>
        <v>0</v>
      </c>
      <c r="Q46" s="660">
        <f t="shared" si="5"/>
        <v>0</v>
      </c>
      <c r="R46" s="660">
        <f ca="1">SUM(R39:R45)</f>
        <v>20488.87779871107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2.604167994085028</v>
      </c>
      <c r="D49" s="930">
        <f ca="1">transport!C58</f>
        <v>0</v>
      </c>
      <c r="E49" s="930">
        <f>transport!D58</f>
        <v>0</v>
      </c>
      <c r="F49" s="930">
        <f>transport!E58</f>
        <v>0</v>
      </c>
      <c r="G49" s="930">
        <f>transport!F58</f>
        <v>0</v>
      </c>
      <c r="H49" s="930">
        <f>transport!G58</f>
        <v>624.57297219896827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627.17714019305333</v>
      </c>
    </row>
    <row r="50" spans="1:18">
      <c r="A50" s="752" t="s">
        <v>296</v>
      </c>
      <c r="B50" s="762"/>
      <c r="C50" s="631">
        <f ca="1">transport!B18</f>
        <v>3.7039479413551337</v>
      </c>
      <c r="D50" s="631">
        <f>transport!C18</f>
        <v>0</v>
      </c>
      <c r="E50" s="631">
        <f>transport!D18</f>
        <v>6.2869307472028249</v>
      </c>
      <c r="F50" s="631">
        <f>transport!E18</f>
        <v>31.826324542110587</v>
      </c>
      <c r="G50" s="631">
        <f>transport!F18</f>
        <v>0</v>
      </c>
      <c r="H50" s="631">
        <f>transport!G18</f>
        <v>15243.147373223768</v>
      </c>
      <c r="I50" s="631">
        <f>transport!H18</f>
        <v>2674.2263016676279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17959.190878122063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6.3081159354401617</v>
      </c>
      <c r="D52" s="660">
        <f t="shared" ref="D52:Q52" ca="1" si="6">SUM(D48:D51)</f>
        <v>0</v>
      </c>
      <c r="E52" s="660">
        <f t="shared" si="6"/>
        <v>6.2869307472028249</v>
      </c>
      <c r="F52" s="660">
        <f t="shared" si="6"/>
        <v>31.826324542110587</v>
      </c>
      <c r="G52" s="660">
        <f t="shared" si="6"/>
        <v>0</v>
      </c>
      <c r="H52" s="660">
        <f t="shared" si="6"/>
        <v>15867.720345422737</v>
      </c>
      <c r="I52" s="660">
        <f t="shared" si="6"/>
        <v>2674.2263016676279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18586.368018315115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207.22771127498632</v>
      </c>
      <c r="D54" s="631">
        <f ca="1">+landbouw!C12</f>
        <v>0</v>
      </c>
      <c r="E54" s="631">
        <f>+landbouw!D12</f>
        <v>26.817695740000005</v>
      </c>
      <c r="F54" s="631">
        <f>+landbouw!E12</f>
        <v>4.6948686354419182</v>
      </c>
      <c r="G54" s="631">
        <f>+landbouw!F12</f>
        <v>1016.5007323285923</v>
      </c>
      <c r="H54" s="631">
        <f>+landbouw!G12</f>
        <v>0</v>
      </c>
      <c r="I54" s="631">
        <f>+landbouw!H12</f>
        <v>0</v>
      </c>
      <c r="J54" s="631">
        <f>+landbouw!I12</f>
        <v>0</v>
      </c>
      <c r="K54" s="631">
        <f>+landbouw!J12</f>
        <v>87.75097147231709</v>
      </c>
      <c r="L54" s="631">
        <f>+landbouw!K12</f>
        <v>0</v>
      </c>
      <c r="M54" s="631">
        <f>+landbouw!L12</f>
        <v>0</v>
      </c>
      <c r="N54" s="631">
        <f>+landbouw!M12</f>
        <v>0</v>
      </c>
      <c r="O54" s="631">
        <f>+landbouw!N12</f>
        <v>0</v>
      </c>
      <c r="P54" s="631">
        <f>+landbouw!O12</f>
        <v>0</v>
      </c>
      <c r="Q54" s="632">
        <f>+landbouw!P12</f>
        <v>0</v>
      </c>
      <c r="R54" s="659">
        <f ca="1">SUM(C54:Q54)</f>
        <v>1342.9919794513378</v>
      </c>
    </row>
    <row r="55" spans="1:18" ht="15" thickBot="1">
      <c r="A55" s="752" t="s">
        <v>788</v>
      </c>
      <c r="B55" s="762"/>
      <c r="C55" s="631">
        <f ca="1">C25*'EF ele_warmte'!B12</f>
        <v>112.18921636455947</v>
      </c>
      <c r="D55" s="631"/>
      <c r="E55" s="631">
        <f>E25*EF_CO2_aardgas</f>
        <v>111.05131800000001</v>
      </c>
      <c r="F55" s="631"/>
      <c r="G55" s="631"/>
      <c r="H55" s="631"/>
      <c r="I55" s="631"/>
      <c r="J55" s="631"/>
      <c r="K55" s="631"/>
      <c r="L55" s="631"/>
      <c r="M55" s="631"/>
      <c r="N55" s="631"/>
      <c r="O55" s="631"/>
      <c r="P55" s="631"/>
      <c r="Q55" s="632"/>
      <c r="R55" s="659">
        <f ca="1">SUM(C55:Q55)</f>
        <v>223.24053436455949</v>
      </c>
    </row>
    <row r="56" spans="1:18" ht="15.75" thickBot="1">
      <c r="A56" s="750" t="s">
        <v>789</v>
      </c>
      <c r="B56" s="763"/>
      <c r="C56" s="660">
        <f ca="1">SUM(C54:C55)</f>
        <v>319.4169276395458</v>
      </c>
      <c r="D56" s="660">
        <f t="shared" ref="D56:Q56" ca="1" si="7">SUM(D54:D55)</f>
        <v>0</v>
      </c>
      <c r="E56" s="660">
        <f t="shared" si="7"/>
        <v>137.86901374000001</v>
      </c>
      <c r="F56" s="660">
        <f t="shared" si="7"/>
        <v>4.6948686354419182</v>
      </c>
      <c r="G56" s="660">
        <f t="shared" si="7"/>
        <v>1016.5007323285923</v>
      </c>
      <c r="H56" s="660">
        <f t="shared" si="7"/>
        <v>0</v>
      </c>
      <c r="I56" s="660">
        <f t="shared" si="7"/>
        <v>0</v>
      </c>
      <c r="J56" s="660">
        <f t="shared" si="7"/>
        <v>0</v>
      </c>
      <c r="K56" s="660">
        <f t="shared" si="7"/>
        <v>87.75097147231709</v>
      </c>
      <c r="L56" s="660">
        <f t="shared" si="7"/>
        <v>0</v>
      </c>
      <c r="M56" s="660">
        <f t="shared" si="7"/>
        <v>0</v>
      </c>
      <c r="N56" s="660">
        <f t="shared" si="7"/>
        <v>0</v>
      </c>
      <c r="O56" s="660">
        <f t="shared" si="7"/>
        <v>0</v>
      </c>
      <c r="P56" s="660">
        <f t="shared" si="7"/>
        <v>0</v>
      </c>
      <c r="Q56" s="661">
        <f t="shared" si="7"/>
        <v>0</v>
      </c>
      <c r="R56" s="662">
        <f ca="1">SUM(R54:R55)</f>
        <v>1566.2325138158972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5343.2222258956008</v>
      </c>
      <c r="D61" s="668">
        <f t="shared" ref="D61:Q61" ca="1" si="8">D46+D52+D56</f>
        <v>0</v>
      </c>
      <c r="E61" s="668">
        <f t="shared" ca="1" si="8"/>
        <v>4913.1060462272035</v>
      </c>
      <c r="F61" s="668">
        <f t="shared" si="8"/>
        <v>402.7666923724243</v>
      </c>
      <c r="G61" s="668">
        <f t="shared" ca="1" si="8"/>
        <v>11117.325148630878</v>
      </c>
      <c r="H61" s="668">
        <f t="shared" si="8"/>
        <v>15867.720345422737</v>
      </c>
      <c r="I61" s="668">
        <f t="shared" si="8"/>
        <v>2674.2263016676279</v>
      </c>
      <c r="J61" s="668">
        <f t="shared" si="8"/>
        <v>0</v>
      </c>
      <c r="K61" s="668">
        <f t="shared" si="8"/>
        <v>323.11157062561614</v>
      </c>
      <c r="L61" s="668">
        <f t="shared" si="8"/>
        <v>0</v>
      </c>
      <c r="M61" s="668">
        <f t="shared" ca="1" si="8"/>
        <v>0</v>
      </c>
      <c r="N61" s="668">
        <f t="shared" si="8"/>
        <v>0</v>
      </c>
      <c r="O61" s="668">
        <f t="shared" ca="1" si="8"/>
        <v>0</v>
      </c>
      <c r="P61" s="668">
        <f t="shared" si="8"/>
        <v>0</v>
      </c>
      <c r="Q61" s="668">
        <f t="shared" si="8"/>
        <v>0</v>
      </c>
      <c r="R61" s="668">
        <f ca="1">R46+R52+R56</f>
        <v>40641.478330842081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0.19849682828296036</v>
      </c>
      <c r="D63" s="709">
        <f t="shared" ca="1" si="9"/>
        <v>0</v>
      </c>
      <c r="E63" s="941">
        <f t="shared" ca="1" si="9"/>
        <v>0.20200000000000004</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2697.3000789661182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43.649999999999991</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51.35294117647058</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2740.9500789661183</v>
      </c>
      <c r="C78" s="683">
        <f>SUM(C72:C77)</f>
        <v>0</v>
      </c>
      <c r="D78" s="684">
        <f t="shared" ref="D78:H78" si="10">SUM(D76:D77)</f>
        <v>0</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62.357142857142847</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0</v>
      </c>
      <c r="D90" s="683">
        <f t="shared" ref="D90:H90" si="12">SUM(D87:D89)</f>
        <v>0</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16474.256784866029</v>
      </c>
      <c r="C4" s="441">
        <f>huishoudens!C8</f>
        <v>0</v>
      </c>
      <c r="D4" s="441">
        <f>huishoudens!D8</f>
        <v>17890.037990000001</v>
      </c>
      <c r="E4" s="441">
        <f>huishoudens!E8</f>
        <v>1315.489004387812</v>
      </c>
      <c r="F4" s="441">
        <f>huishoudens!F8</f>
        <v>35765.542187672938</v>
      </c>
      <c r="G4" s="441">
        <f>huishoudens!G8</f>
        <v>0</v>
      </c>
      <c r="H4" s="441">
        <f>huishoudens!H8</f>
        <v>0</v>
      </c>
      <c r="I4" s="441">
        <f>huishoudens!I8</f>
        <v>0</v>
      </c>
      <c r="J4" s="441">
        <f>huishoudens!J8</f>
        <v>659.58047965990568</v>
      </c>
      <c r="K4" s="441">
        <f>huishoudens!K8</f>
        <v>0</v>
      </c>
      <c r="L4" s="441">
        <f>huishoudens!L8</f>
        <v>0</v>
      </c>
      <c r="M4" s="441">
        <f>huishoudens!M8</f>
        <v>0</v>
      </c>
      <c r="N4" s="441">
        <f>huishoudens!N8</f>
        <v>5205.9386931701083</v>
      </c>
      <c r="O4" s="441">
        <f>huishoudens!O8</f>
        <v>156.33333333333334</v>
      </c>
      <c r="P4" s="442">
        <f>huishoudens!P8</f>
        <v>476.66666666666663</v>
      </c>
      <c r="Q4" s="443">
        <f>SUM(B4:P4)</f>
        <v>77943.845139756799</v>
      </c>
    </row>
    <row r="5" spans="1:17">
      <c r="A5" s="440" t="s">
        <v>149</v>
      </c>
      <c r="B5" s="441">
        <f ca="1">tertiair!B16</f>
        <v>6368.8320000000003</v>
      </c>
      <c r="C5" s="441">
        <f ca="1">tertiair!C16</f>
        <v>0</v>
      </c>
      <c r="D5" s="441">
        <f ca="1">tertiair!D16</f>
        <v>5297.2592860000013</v>
      </c>
      <c r="E5" s="441">
        <f>tertiair!E16</f>
        <v>95.74657840147465</v>
      </c>
      <c r="F5" s="441">
        <f ca="1">tertiair!F16</f>
        <v>1196.2617834184689</v>
      </c>
      <c r="G5" s="441">
        <f>tertiair!G16</f>
        <v>0</v>
      </c>
      <c r="H5" s="441">
        <f>tertiair!H16</f>
        <v>0</v>
      </c>
      <c r="I5" s="441">
        <f>tertiair!I16</f>
        <v>0</v>
      </c>
      <c r="J5" s="441">
        <f>tertiair!J16</f>
        <v>6.2542428365718735E-3</v>
      </c>
      <c r="K5" s="441">
        <f>tertiair!K16</f>
        <v>0</v>
      </c>
      <c r="L5" s="441">
        <f ca="1">tertiair!L16</f>
        <v>0</v>
      </c>
      <c r="M5" s="441">
        <f>tertiair!M16</f>
        <v>0</v>
      </c>
      <c r="N5" s="441">
        <f ca="1">tertiair!N16</f>
        <v>230.88446409137597</v>
      </c>
      <c r="O5" s="441">
        <f>tertiair!O16</f>
        <v>0</v>
      </c>
      <c r="P5" s="442">
        <f>tertiair!P16</f>
        <v>19.066666666666666</v>
      </c>
      <c r="Q5" s="440">
        <f t="shared" ref="Q5:Q14" ca="1" si="0">SUM(B5:P5)</f>
        <v>13208.057032820827</v>
      </c>
    </row>
    <row r="6" spans="1:17">
      <c r="A6" s="440" t="s">
        <v>187</v>
      </c>
      <c r="B6" s="441">
        <f>'openbare verlichting'!B8</f>
        <v>531.76</v>
      </c>
      <c r="C6" s="441"/>
      <c r="D6" s="441"/>
      <c r="E6" s="441"/>
      <c r="F6" s="441"/>
      <c r="G6" s="441"/>
      <c r="H6" s="441"/>
      <c r="I6" s="441"/>
      <c r="J6" s="441"/>
      <c r="K6" s="441"/>
      <c r="L6" s="441"/>
      <c r="M6" s="441"/>
      <c r="N6" s="441"/>
      <c r="O6" s="441"/>
      <c r="P6" s="442"/>
      <c r="Q6" s="440">
        <f t="shared" si="0"/>
        <v>531.76</v>
      </c>
    </row>
    <row r="7" spans="1:17">
      <c r="A7" s="440" t="s">
        <v>105</v>
      </c>
      <c r="B7" s="441">
        <f>landbouw!B8</f>
        <v>1043.9849999999999</v>
      </c>
      <c r="C7" s="441">
        <f>landbouw!C8</f>
        <v>62.357142857142847</v>
      </c>
      <c r="D7" s="441">
        <f>landbouw!D8</f>
        <v>132.76087000000001</v>
      </c>
      <c r="E7" s="441">
        <f>landbouw!E8</f>
        <v>20.68224068476616</v>
      </c>
      <c r="F7" s="441">
        <f>landbouw!F8</f>
        <v>3807.1188476726302</v>
      </c>
      <c r="G7" s="441">
        <f>landbouw!G8</f>
        <v>0</v>
      </c>
      <c r="H7" s="441">
        <f>landbouw!H8</f>
        <v>0</v>
      </c>
      <c r="I7" s="441">
        <f>landbouw!I8</f>
        <v>0</v>
      </c>
      <c r="J7" s="441">
        <f>landbouw!J8</f>
        <v>247.88410020428557</v>
      </c>
      <c r="K7" s="441">
        <f>landbouw!K8</f>
        <v>0</v>
      </c>
      <c r="L7" s="441">
        <f>landbouw!L8</f>
        <v>0</v>
      </c>
      <c r="M7" s="441">
        <f>landbouw!M8</f>
        <v>0</v>
      </c>
      <c r="N7" s="441">
        <f>landbouw!N8</f>
        <v>0</v>
      </c>
      <c r="O7" s="441">
        <f>landbouw!O8</f>
        <v>0</v>
      </c>
      <c r="P7" s="442">
        <f>landbouw!P8</f>
        <v>0</v>
      </c>
      <c r="Q7" s="440">
        <f t="shared" si="0"/>
        <v>5314.7882014188244</v>
      </c>
    </row>
    <row r="8" spans="1:17">
      <c r="A8" s="440" t="s">
        <v>600</v>
      </c>
      <c r="B8" s="441">
        <f>industrie!B18</f>
        <v>1902.6190000000001</v>
      </c>
      <c r="C8" s="441">
        <f>industrie!C18</f>
        <v>0</v>
      </c>
      <c r="D8" s="441">
        <f>industrie!D18</f>
        <v>421.36659400000002</v>
      </c>
      <c r="E8" s="441">
        <f>industrie!E18</f>
        <v>202.18071322336434</v>
      </c>
      <c r="F8" s="441">
        <f>industrie!F18</f>
        <v>868.99908622052305</v>
      </c>
      <c r="G8" s="441">
        <f>industrie!G18</f>
        <v>0</v>
      </c>
      <c r="H8" s="441">
        <f>industrie!H18</f>
        <v>0</v>
      </c>
      <c r="I8" s="441">
        <f>industrie!I18</f>
        <v>0</v>
      </c>
      <c r="J8" s="441">
        <f>industrie!J18</f>
        <v>5.2737156828482874</v>
      </c>
      <c r="K8" s="441">
        <f>industrie!K18</f>
        <v>0</v>
      </c>
      <c r="L8" s="441">
        <f>industrie!L18</f>
        <v>0</v>
      </c>
      <c r="M8" s="441">
        <f>industrie!M18</f>
        <v>0</v>
      </c>
      <c r="N8" s="441">
        <f>industrie!N18</f>
        <v>438.41292954567808</v>
      </c>
      <c r="O8" s="441">
        <f>industrie!O18</f>
        <v>0</v>
      </c>
      <c r="P8" s="442">
        <f>industrie!P18</f>
        <v>0</v>
      </c>
      <c r="Q8" s="440">
        <f t="shared" si="0"/>
        <v>3838.8520386724144</v>
      </c>
    </row>
    <row r="9" spans="1:17" s="446" customFormat="1">
      <c r="A9" s="444" t="s">
        <v>549</v>
      </c>
      <c r="B9" s="445">
        <f>transport!B14</f>
        <v>18.659985519139369</v>
      </c>
      <c r="C9" s="445">
        <f>transport!C14</f>
        <v>0</v>
      </c>
      <c r="D9" s="445">
        <f>transport!D14</f>
        <v>31.123419540608044</v>
      </c>
      <c r="E9" s="445">
        <f>transport!E14</f>
        <v>140.20407287273386</v>
      </c>
      <c r="F9" s="445">
        <f>transport!F14</f>
        <v>0</v>
      </c>
      <c r="G9" s="445">
        <f>transport!G14</f>
        <v>57090.439600089019</v>
      </c>
      <c r="H9" s="445">
        <f>transport!H14</f>
        <v>10739.864665331839</v>
      </c>
      <c r="I9" s="445">
        <f>transport!I14</f>
        <v>0</v>
      </c>
      <c r="J9" s="445">
        <f>transport!J14</f>
        <v>0</v>
      </c>
      <c r="K9" s="445">
        <f>transport!K14</f>
        <v>0</v>
      </c>
      <c r="L9" s="445">
        <f>transport!L14</f>
        <v>0</v>
      </c>
      <c r="M9" s="445">
        <f>transport!M14</f>
        <v>2117.9348255621749</v>
      </c>
      <c r="N9" s="445">
        <f>transport!N14</f>
        <v>0</v>
      </c>
      <c r="O9" s="445">
        <f>transport!O14</f>
        <v>0</v>
      </c>
      <c r="P9" s="445">
        <f>transport!P14</f>
        <v>0</v>
      </c>
      <c r="Q9" s="444">
        <f>SUM(B9:P9)</f>
        <v>70138.226568915517</v>
      </c>
    </row>
    <row r="10" spans="1:17">
      <c r="A10" s="440" t="s">
        <v>539</v>
      </c>
      <c r="B10" s="441">
        <f>transport!B54</f>
        <v>13.119443855156948</v>
      </c>
      <c r="C10" s="441">
        <f>transport!C54</f>
        <v>0</v>
      </c>
      <c r="D10" s="441">
        <f>transport!D54</f>
        <v>0</v>
      </c>
      <c r="E10" s="441">
        <f>transport!E54</f>
        <v>0</v>
      </c>
      <c r="F10" s="441">
        <f>transport!F54</f>
        <v>0</v>
      </c>
      <c r="G10" s="441">
        <f>transport!G54</f>
        <v>2339.2246149774091</v>
      </c>
      <c r="H10" s="441">
        <f>transport!H54</f>
        <v>0</v>
      </c>
      <c r="I10" s="441">
        <f>transport!I54</f>
        <v>0</v>
      </c>
      <c r="J10" s="441">
        <f>transport!J54</f>
        <v>0</v>
      </c>
      <c r="K10" s="441">
        <f>transport!K54</f>
        <v>0</v>
      </c>
      <c r="L10" s="441">
        <f>transport!L54</f>
        <v>0</v>
      </c>
      <c r="M10" s="441">
        <f>transport!M54</f>
        <v>73.021528840442016</v>
      </c>
      <c r="N10" s="441">
        <f>transport!N54</f>
        <v>0</v>
      </c>
      <c r="O10" s="441">
        <f>transport!O54</f>
        <v>0</v>
      </c>
      <c r="P10" s="442">
        <f>transport!P54</f>
        <v>0</v>
      </c>
      <c r="Q10" s="440">
        <f t="shared" si="0"/>
        <v>2425.3655876730081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565.19399999999996</v>
      </c>
      <c r="C14" s="448"/>
      <c r="D14" s="448">
        <f>'SEAP template'!E25</f>
        <v>549.75900000000001</v>
      </c>
      <c r="E14" s="448"/>
      <c r="F14" s="448"/>
      <c r="G14" s="448"/>
      <c r="H14" s="448"/>
      <c r="I14" s="448"/>
      <c r="J14" s="448"/>
      <c r="K14" s="448"/>
      <c r="L14" s="448"/>
      <c r="M14" s="448"/>
      <c r="N14" s="448"/>
      <c r="O14" s="448"/>
      <c r="P14" s="449"/>
      <c r="Q14" s="440">
        <f t="shared" si="0"/>
        <v>1114.953</v>
      </c>
    </row>
    <row r="15" spans="1:17" s="450" customFormat="1">
      <c r="A15" s="956" t="s">
        <v>543</v>
      </c>
      <c r="B15" s="896">
        <f ca="1">SUM(B4:B14)</f>
        <v>26918.42621424032</v>
      </c>
      <c r="C15" s="896">
        <f t="shared" ref="C15:Q15" ca="1" si="1">SUM(C4:C14)</f>
        <v>62.357142857142847</v>
      </c>
      <c r="D15" s="896">
        <f t="shared" ca="1" si="1"/>
        <v>24322.307159540607</v>
      </c>
      <c r="E15" s="896">
        <f t="shared" si="1"/>
        <v>1774.3026095701509</v>
      </c>
      <c r="F15" s="896">
        <f t="shared" ca="1" si="1"/>
        <v>41637.921904984563</v>
      </c>
      <c r="G15" s="896">
        <f t="shared" si="1"/>
        <v>59429.664215066427</v>
      </c>
      <c r="H15" s="896">
        <f t="shared" si="1"/>
        <v>10739.864665331839</v>
      </c>
      <c r="I15" s="896">
        <f t="shared" si="1"/>
        <v>0</v>
      </c>
      <c r="J15" s="896">
        <f t="shared" si="1"/>
        <v>912.74454978987615</v>
      </c>
      <c r="K15" s="896">
        <f t="shared" si="1"/>
        <v>0</v>
      </c>
      <c r="L15" s="896">
        <f t="shared" ca="1" si="1"/>
        <v>0</v>
      </c>
      <c r="M15" s="896">
        <f t="shared" si="1"/>
        <v>2190.9563544026169</v>
      </c>
      <c r="N15" s="896">
        <f t="shared" ca="1" si="1"/>
        <v>5875.2360868071619</v>
      </c>
      <c r="O15" s="896">
        <f t="shared" si="1"/>
        <v>156.33333333333334</v>
      </c>
      <c r="P15" s="896">
        <f t="shared" si="1"/>
        <v>495.73333333333329</v>
      </c>
      <c r="Q15" s="896">
        <f t="shared" ca="1" si="1"/>
        <v>174515.84756925737</v>
      </c>
    </row>
    <row r="17" spans="1:17">
      <c r="A17" s="451" t="s">
        <v>544</v>
      </c>
      <c r="B17" s="714">
        <f ca="1">huishoudens!B10</f>
        <v>0.19849682828296034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3270.0877201149465</v>
      </c>
      <c r="C22" s="441">
        <f t="shared" ref="C22:C32" ca="1" si="3">C4*$C$17</f>
        <v>0</v>
      </c>
      <c r="D22" s="441">
        <f t="shared" ref="D22:D32" si="4">D4*$D$17</f>
        <v>3613.7876739800004</v>
      </c>
      <c r="E22" s="441">
        <f t="shared" ref="E22:E32" si="5">E4*$E$17</f>
        <v>298.61600399603333</v>
      </c>
      <c r="F22" s="441">
        <f t="shared" ref="F22:F32" si="6">F4*$F$17</f>
        <v>9549.3997641086753</v>
      </c>
      <c r="G22" s="441">
        <f t="shared" ref="G22:G32" si="7">G4*$G$17</f>
        <v>0</v>
      </c>
      <c r="H22" s="441">
        <f t="shared" ref="H22:H32" si="8">H4*$H$17</f>
        <v>0</v>
      </c>
      <c r="I22" s="441">
        <f t="shared" ref="I22:I32" si="9">I4*$I$17</f>
        <v>0</v>
      </c>
      <c r="J22" s="441">
        <f t="shared" ref="J22:J32" si="10">J4*$J$17</f>
        <v>233.4914897996066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16965.382651999262</v>
      </c>
    </row>
    <row r="23" spans="1:17">
      <c r="A23" s="440" t="s">
        <v>149</v>
      </c>
      <c r="B23" s="441">
        <f t="shared" ca="1" si="2"/>
        <v>1264.1929518670229</v>
      </c>
      <c r="C23" s="441">
        <f t="shared" ca="1" si="3"/>
        <v>0</v>
      </c>
      <c r="D23" s="441">
        <f t="shared" ca="1" si="4"/>
        <v>1070.0463757720004</v>
      </c>
      <c r="E23" s="441">
        <f t="shared" si="5"/>
        <v>21.734473297134745</v>
      </c>
      <c r="F23" s="441">
        <f t="shared" ca="1" si="6"/>
        <v>319.4018961727312</v>
      </c>
      <c r="G23" s="441">
        <f t="shared" si="7"/>
        <v>0</v>
      </c>
      <c r="H23" s="441">
        <f t="shared" si="8"/>
        <v>0</v>
      </c>
      <c r="I23" s="441">
        <f t="shared" si="9"/>
        <v>0</v>
      </c>
      <c r="J23" s="441">
        <f t="shared" si="10"/>
        <v>2.214001964146443E-3</v>
      </c>
      <c r="K23" s="441">
        <f t="shared" si="11"/>
        <v>0</v>
      </c>
      <c r="L23" s="441">
        <f t="shared" ca="1" si="12"/>
        <v>0</v>
      </c>
      <c r="M23" s="441">
        <f t="shared" si="13"/>
        <v>0</v>
      </c>
      <c r="N23" s="441">
        <f t="shared" ca="1" si="14"/>
        <v>0</v>
      </c>
      <c r="O23" s="441">
        <f t="shared" si="15"/>
        <v>0</v>
      </c>
      <c r="P23" s="442">
        <f t="shared" si="16"/>
        <v>0</v>
      </c>
      <c r="Q23" s="440">
        <f t="shared" ref="Q23:Q32" ca="1" si="17">SUM(B23:P23)</f>
        <v>2675.3779111108529</v>
      </c>
    </row>
    <row r="24" spans="1:17">
      <c r="A24" s="440" t="s">
        <v>187</v>
      </c>
      <c r="B24" s="441">
        <f t="shared" ca="1" si="2"/>
        <v>105.55267340774698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105.55267340774698</v>
      </c>
    </row>
    <row r="25" spans="1:17">
      <c r="A25" s="440" t="s">
        <v>105</v>
      </c>
      <c r="B25" s="441">
        <f t="shared" ca="1" si="2"/>
        <v>207.22771127498632</v>
      </c>
      <c r="C25" s="441">
        <f t="shared" ca="1" si="3"/>
        <v>0</v>
      </c>
      <c r="D25" s="441">
        <f t="shared" si="4"/>
        <v>26.817695740000005</v>
      </c>
      <c r="E25" s="441">
        <f t="shared" si="5"/>
        <v>4.6948686354419182</v>
      </c>
      <c r="F25" s="441">
        <f t="shared" si="6"/>
        <v>1016.5007323285923</v>
      </c>
      <c r="G25" s="441">
        <f t="shared" si="7"/>
        <v>0</v>
      </c>
      <c r="H25" s="441">
        <f t="shared" si="8"/>
        <v>0</v>
      </c>
      <c r="I25" s="441">
        <f t="shared" si="9"/>
        <v>0</v>
      </c>
      <c r="J25" s="441">
        <f t="shared" si="10"/>
        <v>87.75097147231709</v>
      </c>
      <c r="K25" s="441">
        <f t="shared" si="11"/>
        <v>0</v>
      </c>
      <c r="L25" s="441">
        <f t="shared" si="12"/>
        <v>0</v>
      </c>
      <c r="M25" s="441">
        <f t="shared" si="13"/>
        <v>0</v>
      </c>
      <c r="N25" s="441">
        <f t="shared" si="14"/>
        <v>0</v>
      </c>
      <c r="O25" s="441">
        <f t="shared" si="15"/>
        <v>0</v>
      </c>
      <c r="P25" s="442">
        <f t="shared" si="16"/>
        <v>0</v>
      </c>
      <c r="Q25" s="440">
        <f t="shared" ca="1" si="17"/>
        <v>1342.9919794513378</v>
      </c>
    </row>
    <row r="26" spans="1:17">
      <c r="A26" s="440" t="s">
        <v>600</v>
      </c>
      <c r="B26" s="441">
        <f t="shared" ca="1" si="2"/>
        <v>377.66383693089773</v>
      </c>
      <c r="C26" s="441">
        <f t="shared" ca="1" si="3"/>
        <v>0</v>
      </c>
      <c r="D26" s="441">
        <f t="shared" si="4"/>
        <v>85.116051988000009</v>
      </c>
      <c r="E26" s="441">
        <f t="shared" si="5"/>
        <v>45.895021901703707</v>
      </c>
      <c r="F26" s="441">
        <f t="shared" si="6"/>
        <v>232.02275602087965</v>
      </c>
      <c r="G26" s="441">
        <f t="shared" si="7"/>
        <v>0</v>
      </c>
      <c r="H26" s="441">
        <f t="shared" si="8"/>
        <v>0</v>
      </c>
      <c r="I26" s="441">
        <f t="shared" si="9"/>
        <v>0</v>
      </c>
      <c r="J26" s="441">
        <f t="shared" si="10"/>
        <v>1.8668953517282936</v>
      </c>
      <c r="K26" s="441">
        <f t="shared" si="11"/>
        <v>0</v>
      </c>
      <c r="L26" s="441">
        <f t="shared" si="12"/>
        <v>0</v>
      </c>
      <c r="M26" s="441">
        <f t="shared" si="13"/>
        <v>0</v>
      </c>
      <c r="N26" s="441">
        <f t="shared" si="14"/>
        <v>0</v>
      </c>
      <c r="O26" s="441">
        <f t="shared" si="15"/>
        <v>0</v>
      </c>
      <c r="P26" s="442">
        <f t="shared" si="16"/>
        <v>0</v>
      </c>
      <c r="Q26" s="440">
        <f t="shared" ca="1" si="17"/>
        <v>742.56456219320944</v>
      </c>
    </row>
    <row r="27" spans="1:17" s="446" customFormat="1">
      <c r="A27" s="444" t="s">
        <v>549</v>
      </c>
      <c r="B27" s="708">
        <f t="shared" ca="1" si="2"/>
        <v>3.7039479413551337</v>
      </c>
      <c r="C27" s="445">
        <f t="shared" ca="1" si="3"/>
        <v>0</v>
      </c>
      <c r="D27" s="445">
        <f t="shared" si="4"/>
        <v>6.2869307472028249</v>
      </c>
      <c r="E27" s="445">
        <f t="shared" si="5"/>
        <v>31.826324542110587</v>
      </c>
      <c r="F27" s="445">
        <f t="shared" si="6"/>
        <v>0</v>
      </c>
      <c r="G27" s="445">
        <f t="shared" si="7"/>
        <v>15243.147373223768</v>
      </c>
      <c r="H27" s="445">
        <f t="shared" si="8"/>
        <v>2674.2263016676279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17959.190878122063</v>
      </c>
    </row>
    <row r="28" spans="1:17">
      <c r="A28" s="440" t="s">
        <v>539</v>
      </c>
      <c r="B28" s="441">
        <f t="shared" ca="1" si="2"/>
        <v>2.604167994085028</v>
      </c>
      <c r="C28" s="441">
        <f t="shared" ca="1" si="3"/>
        <v>0</v>
      </c>
      <c r="D28" s="441">
        <f t="shared" si="4"/>
        <v>0</v>
      </c>
      <c r="E28" s="441">
        <f t="shared" si="5"/>
        <v>0</v>
      </c>
      <c r="F28" s="441">
        <f t="shared" si="6"/>
        <v>0</v>
      </c>
      <c r="G28" s="441">
        <f t="shared" si="7"/>
        <v>624.57297219896827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627.17714019305333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112.18921636455947</v>
      </c>
      <c r="C32" s="441">
        <f t="shared" ca="1" si="3"/>
        <v>0</v>
      </c>
      <c r="D32" s="441">
        <f t="shared" si="4"/>
        <v>111.05131800000001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223.24053436455949</v>
      </c>
    </row>
    <row r="33" spans="1:17" s="450" customFormat="1">
      <c r="A33" s="956" t="s">
        <v>543</v>
      </c>
      <c r="B33" s="896">
        <f ca="1">SUM(B22:B32)</f>
        <v>5343.2222258955999</v>
      </c>
      <c r="C33" s="896">
        <f t="shared" ref="C33:Q33" ca="1" si="18">SUM(C22:C32)</f>
        <v>0</v>
      </c>
      <c r="D33" s="896">
        <f t="shared" ca="1" si="18"/>
        <v>4913.1060462272035</v>
      </c>
      <c r="E33" s="896">
        <f t="shared" si="18"/>
        <v>402.7666923724243</v>
      </c>
      <c r="F33" s="896">
        <f t="shared" ca="1" si="18"/>
        <v>11117.325148630878</v>
      </c>
      <c r="G33" s="896">
        <f t="shared" si="18"/>
        <v>15867.720345422737</v>
      </c>
      <c r="H33" s="896">
        <f t="shared" si="18"/>
        <v>2674.2263016676279</v>
      </c>
      <c r="I33" s="896">
        <f t="shared" si="18"/>
        <v>0</v>
      </c>
      <c r="J33" s="896">
        <f t="shared" si="18"/>
        <v>323.11157062561614</v>
      </c>
      <c r="K33" s="896">
        <f t="shared" si="18"/>
        <v>0</v>
      </c>
      <c r="L33" s="896">
        <f t="shared" ca="1" si="18"/>
        <v>0</v>
      </c>
      <c r="M33" s="896">
        <f t="shared" si="18"/>
        <v>0</v>
      </c>
      <c r="N33" s="896">
        <f t="shared" ca="1" si="18"/>
        <v>0</v>
      </c>
      <c r="O33" s="896">
        <f t="shared" si="18"/>
        <v>0</v>
      </c>
      <c r="P33" s="896">
        <f t="shared" si="18"/>
        <v>0</v>
      </c>
      <c r="Q33" s="896">
        <f t="shared" ca="1" si="18"/>
        <v>40641.478330842081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2697.3000789661182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43.649999999999991</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51.35294117647058</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2740.9500789661183</v>
      </c>
      <c r="C10" s="977">
        <f>SUM(C4:C9)</f>
        <v>0</v>
      </c>
      <c r="D10" s="977">
        <f t="shared" ref="D10:H10" si="0">SUM(D8:D9)</f>
        <v>0</v>
      </c>
      <c r="E10" s="977">
        <f t="shared" si="0"/>
        <v>0</v>
      </c>
      <c r="F10" s="977">
        <f t="shared" si="0"/>
        <v>0</v>
      </c>
      <c r="G10" s="977">
        <f t="shared" si="0"/>
        <v>0</v>
      </c>
      <c r="H10" s="977">
        <f t="shared" si="0"/>
        <v>0</v>
      </c>
      <c r="I10" s="977">
        <f>SUM(I8:I9)</f>
        <v>0</v>
      </c>
      <c r="J10" s="977">
        <f>SUM(J8:J9)</f>
        <v>51.35294117647058</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0.19849682828296034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62.357142857142847</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73.361344537815114</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62.357142857142847</v>
      </c>
      <c r="C20" s="977">
        <f>SUM(C17:C19)</f>
        <v>0</v>
      </c>
      <c r="D20" s="977">
        <f t="shared" ref="D20:H20" si="2">SUM(D17:D19)</f>
        <v>0</v>
      </c>
      <c r="E20" s="977">
        <f t="shared" si="2"/>
        <v>0</v>
      </c>
      <c r="F20" s="977">
        <f t="shared" si="2"/>
        <v>0</v>
      </c>
      <c r="G20" s="977">
        <f t="shared" si="2"/>
        <v>0</v>
      </c>
      <c r="H20" s="977">
        <f t="shared" si="2"/>
        <v>0</v>
      </c>
      <c r="I20" s="977">
        <f>SUM(I17:I19)</f>
        <v>0</v>
      </c>
      <c r="J20" s="977">
        <f>SUM(J17:J19)</f>
        <v>73.361344537815114</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0.19849682828296034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2022-07-26T11:01:42Z</dcterms:modified>
</cp:coreProperties>
</file>