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CEBDC95-C88E-4E4F-9F3C-8C01BBE12BA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<sst xmlns="http://schemas.openxmlformats.org/spreadsheetml/2006/main" count="2406" uniqueCount="887">
  <si>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</si>
  <si>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</si>
  <si>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</si>
  <si>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</si>
  <si>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</si>
  <si>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</si>
  <si>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</si>
  <si>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</si>
  <si>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</si>
  <si>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</si>
  <si>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</si>
  <si>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</si>
  <si>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</si>
  <si>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</si>
  <si>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</si>
  <si>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</si>
  <si>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</si>
  <si>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</si>
  <si>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</si>
  <si>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</si>
  <si>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</si>
  <si>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</si>
  <si>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</si>
  <si>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</si>
  <si>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</si>
  <si>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</si>
  <si>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</si>
  <si>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</si>
  <si>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</si>
  <si>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</si>
  <si>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</si>
  <si>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</si>
  <si>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</si>
  <si>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</si>
  <si>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</si>
  <si>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</si>
  <si>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</si>
  <si>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</si>
  <si>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</si>
  <si>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</si>
  <si>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</si>
  <si>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</si>
  <si>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</si>
  <si>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</si>
  <si>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</si>
  <si>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</si>
  <si>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</si>
  <si>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</si>
  <si>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</si>
  <si>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</si>
  <si>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</si>
  <si>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</si>
  <si>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</si>
  <si>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</si>
  <si>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</si>
  <si>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</si>
  <si>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</si>
  <si>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</si>
  <si>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</si>
  <si>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</si>
  <si>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</si>
  <si>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</si>
  <si>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</si>
  <si>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</si>
  <si>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</si>
  <si>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</si>
  <si>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</si>
  <si>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</si>
  <si>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</si>
  <si>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</si>
  <si>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</si>
  <si>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</si>
  <si>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</si>
  <si>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</si>
  <si>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</si>
  <si>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</si>
  <si>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</si>
  <si>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</si>
  <si>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</si>
  <si>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</si>
  <si>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</si>
  <si>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</si>
  <si>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</si>
  <si>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</si>
  <si>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</si>
  <si>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</si>
  <si>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</si>
  <si>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</si>
  <si>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</si>
  <si>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</si>
  <si>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</si>
  <si>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</si>
  <si>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</si>
  <si>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</si>
  <si>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</si>
  <si>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</si>
  <si>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</si>
  <si>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</si>
  <si>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</si>
  <si>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</si>
  <si>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</si>
  <si>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</si>
  <si>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</si>
  <si>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</si>
  <si>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</si>
  <si>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</si>
  <si>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</si>
  <si>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</si>
  <si>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</si>
  <si>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</si>
  <si>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</si>
  <si>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</si>
  <si>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</si>
  <si>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</si>
  <si>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</si>
  <si>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</si>
  <si>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</si>
  <si>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</si>
  <si>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</si>
  <si>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</si>
  <si>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</si>
  <si>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</si>
  <si>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</si>
  <si>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</si>
  <si>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</si>
  <si>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</si>
  <si>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</si>
  <si>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</si>
  <si>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</si>
  <si>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</si>
  <si>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</si>
  <si>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</si>
  <si>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</si>
  <si>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</si>
  <si>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</si>
  <si>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</si>
  <si>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</si>
  <si>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</si>
  <si>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</si>
  <si>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</si>
  <si>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</si>
  <si>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</si>
  <si>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</si>
  <si>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</si>
  <si>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</si>
  <si>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</si>
  <si>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</si>
  <si>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</si>
  <si>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</si>
  <si>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</si>
  <si>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</si>
  <si>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</si>
  <si>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</si>
  <si>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</si>
  <si>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</si>
  <si>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</si>
  <si>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</si>
  <si>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</si>
  <si>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</si>
  <si>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</si>
  <si>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</si>
  <si>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</si>
  <si>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</si>
  <si>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</si>
  <si>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</si>
  <si>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</si>
  <si>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</si>
  <si>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</si>
  <si>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</si>
  <si>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</si>
  <si>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</si>
  <si>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</si>
  <si>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</si>
  <si>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</si>
  <si>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</si>
  <si>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</si>
  <si>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</si>
  <si>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</si>
  <si>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</si>
  <si>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</si>
  <si>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</si>
  <si>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</si>
  <si>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</si>
  <si>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</si>
  <si>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</si>
  <si>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</si>
  <si>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</si>
  <si>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</si>
  <si>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</si>
  <si>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</si>
  <si>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</si>
  <si>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</si>
  <si>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</si>
  <si>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</si>
  <si>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</si>
  <si>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</si>
  <si>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</si>
  <si>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</si>
  <si>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</si>
  <si>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</si>
  <si>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</si>
  <si>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</si>
  <si>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</si>
  <si>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</si>
  <si>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</si>
  <si>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</si>
  <si>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</si>
  <si>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</si>
  <si>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</si>
  <si>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</si>
  <si>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</si>
  <si>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</si>
  <si>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</si>
  <si>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</si>
  <si>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</si>
  <si>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</si>
  <si>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</si>
  <si>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</si>
  <si>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</si>
  <si>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</si>
  <si>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</si>
  <si>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</si>
  <si>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</si>
  <si>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</si>
  <si>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</si>
  <si>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</si>
  <si>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</si>
  <si>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</si>
  <si>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</si>
  <si>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</si>
  <si>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</si>
  <si>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</si>
  <si>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</si>
  <si>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</si>
  <si>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</si>
  <si>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</si>
  <si>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</si>
  <si>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</si>
  <si>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</si>
  <si>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</si>
  <si>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</si>
  <si>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</si>
  <si>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</si>
  <si>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</si>
  <si>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</si>
  <si>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</si>
  <si>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</si>
  <si>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</si>
  <si>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</si>
  <si>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</si>
  <si>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</si>
  <si>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</si>
  <si>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</si>
  <si>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</si>
  <si>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</si>
  <si>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</si>
  <si>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</si>
  <si>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</si>
  <si>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</si>
  <si>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</si>
  <si>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</si>
  <si>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</si>
  <si>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</si>
  <si>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</si>
  <si>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</si>
  <si>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</si>
  <si>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</si>
  <si>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</si>
  <si>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</si>
  <si>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</si>
  <si>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</si>
  <si>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</si>
  <si>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</si>
  <si>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</si>
  <si>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</si>
  <si>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</si>
  <si>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</si>
  <si>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</si>
  <si>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</si>
  <si>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</si>
  <si>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</si>
  <si>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</si>
  <si>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</si>
  <si>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</si>
  <si>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</si>
  <si>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</si>
  <si>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</si>
  <si>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</si>
  <si>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</si>
  <si>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</si>
  <si>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</si>
  <si>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</si>
  <si>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</si>
  <si>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</si>
  <si>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</si>
  <si>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</si>
  <si>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</si>
  <si>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</si>
  <si>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</si>
  <si>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</si>
  <si>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</si>
  <si>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</si>
  <si>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</si>
  <si>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</si>
  <si>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</si>
  <si>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</si>
  <si>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</si>
  <si>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</si>
  <si>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</si>
  <si>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</si>
  <si>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</si>
  <si>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</si>
  <si>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</si>
  <si>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</si>
  <si>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</si>
  <si>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</si>
  <si>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</si>
  <si>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</si>
  <si>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</si>
  <si>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</si>
  <si>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</si>
  <si>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</si>
  <si>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</si>
  <si>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</si>
  <si>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</si>
  <si>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</si>
  <si>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</si>
  <si>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</si>
  <si>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</si>
  <si>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</si>
  <si>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</si>
  <si>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</si>
  <si>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</si>
  <si>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</si>
  <si>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</si>
  <si>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</si>
  <si>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</si>
  <si>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</si>
  <si>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</si>
  <si>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</si>
  <si>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</si>
  <si>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</si>
  <si>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</si>
  <si>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</si>
  <si>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</si>
  <si>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</si>
  <si>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</si>
  <si>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</si>
  <si>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</si>
  <si>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</si>
  <si>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</si>
  <si>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</si>
  <si>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</si>
  <si>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</si>
  <si>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</si>
  <si>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</si>
  <si>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</si>
  <si>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</si>
  <si>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</si>
  <si>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</si>
  <si>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</si>
  <si>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</si>
  <si>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</si>
  <si>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</si>
  <si>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</si>
  <si>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</si>
  <si>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</si>
  <si>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</si>
  <si>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</si>
  <si>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</si>
  <si>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</si>
  <si>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</si>
  <si>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</si>
  <si>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</si>
  <si>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</si>
  <si>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</si>
  <si>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</si>
  <si>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</si>
  <si>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</si>
  <si>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</si>
  <si>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</si>
  <si>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</si>
  <si>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</si>
  <si>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</si>
  <si>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</si>
  <si>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</si>
  <si>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</si>
  <si>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</si>
  <si>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</si>
  <si>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</si>
  <si>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</si>
  <si>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</si>
  <si>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</si>
  <si>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</si>
  <si>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</si>
  <si>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</si>
  <si>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</si>
  <si>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</si>
  <si>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</si>
  <si>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</si>
  <si>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</si>
  <si>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</si>
  <si>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</si>
  <si>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</si>
  <si>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</si>
  <si>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</si>
  <si>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</si>
  <si>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</si>
  <si>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</si>
  <si>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</si>
  <si>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</si>
  <si>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</si>
  <si>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</si>
  <si>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</si>
  <si>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</si>
  <si>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</si>
  <si>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</si>
  <si>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</si>
  <si>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</si>
  <si>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</si>
  <si>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</si>
  <si>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</si>
  <si>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</si>
  <si>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</si>
  <si>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</si>
  <si>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</si>
  <si>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</si>
  <si>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</si>
  <si>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</si>
  <si>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</si>
  <si>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</si>
  <si>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</si>
  <si>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</si>
  <si>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</si>
  <si>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</si>
  <si>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</si>
  <si>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</si>
  <si>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</si>
  <si>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</si>
  <si>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</si>
  <si>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</si>
  <si>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</si>
  <si>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</si>
  <si>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</si>
  <si>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</si>
  <si>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</si>
  <si>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</si>
  <si>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</si>
  <si>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</si>
  <si>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</si>
  <si>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</si>
  <si>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</si>
  <si>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</si>
  <si>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</si>
  <si>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</si>
  <si>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</si>
  <si>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</si>
  <si>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</si>
  <si>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</si>
  <si>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</si>
  <si>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</si>
  <si>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</si>
  <si>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</si>
  <si>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</si>
  <si>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</si>
  <si>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</si>
  <si>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</si>
  <si>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</si>
  <si>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</si>
  <si>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</si>
  <si>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</si>
  <si>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</si>
  <si>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</si>
  <si>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</si>
  <si>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</si>
  <si>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</si>
  <si>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</si>
  <si>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</si>
  <si>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</si>
  <si>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</si>
  <si>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</si>
  <si>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</si>
  <si>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</si>
  <si>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</si>
  <si>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</si>
  <si>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</si>
  <si>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</si>
  <si>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</si>
  <si>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</si>
  <si>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</si>
  <si>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</si>
  <si>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</si>
  <si>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</si>
  <si>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</si>
  <si>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</si>
  <si>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</si>
  <si>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</si>
  <si>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</si>
  <si>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</si>
  <si>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</si>
  <si>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</si>
  <si>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</si>
  <si>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</si>
  <si>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</si>
  <si>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</si>
  <si>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</si>
  <si>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</si>
  <si>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</si>
  <si>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</si>
  <si>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</si>
  <si>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</si>
  <si>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</si>
  <si>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</si>
  <si>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</si>
  <si>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</si>
  <si>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</si>
  <si>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</si>
  <si>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</si>
  <si>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</si>
  <si>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</si>
  <si>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</si>
  <si>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</si>
  <si>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</si>
  <si>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</si>
  <si>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</si>
  <si>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</si>
  <si>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</si>
  <si>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</si>
  <si>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</si>
  <si>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</si>
  <si>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</si>
  <si>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</si>
  <si>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</si>
  <si>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</si>
  <si>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</si>
  <si>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</si>
  <si>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</si>
  <si>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</si>
  <si>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</si>
  <si>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</si>
  <si>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</si>
  <si>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</si>
  <si>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</si>
  <si>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</si>
  <si>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</si>
  <si>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</si>
  <si>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</si>
  <si>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</si>
  <si>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</si>
  <si>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</si>
  <si>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</si>
  <si>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</si>
  <si>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</si>
  <si>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</si>
  <si>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</si>
  <si>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</si>
  <si>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</si>
  <si>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</si>
  <si>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</si>
  <si>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</si>
  <si>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</si>
  <si>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</si>
  <si>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</si>
  <si>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</si>
  <si>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</si>
  <si>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</si>
  <si>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</si>
  <si>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</si>
  <si>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</si>
  <si>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</si>
  <si>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</si>
  <si>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</si>
  <si>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</si>
  <si>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</si>
  <si>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</si>
  <si>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</si>
  <si>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</si>
  <si>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</si>
  <si>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</si>
  <si>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</si>
  <si>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</si>
  <si>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</si>
  <si>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</si>
  <si>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</si>
  <si>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</si>
  <si>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</si>
  <si>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</si>
  <si>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</si>
  <si>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</si>
  <si>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</si>
  <si>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</si>
  <si>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</si>
  <si>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</si>
  <si>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</si>
  <si>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</si>
  <si>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</si>
  <si>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</si>
  <si>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</si>
  <si>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</si>
  <si>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</si>
  <si>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</si>
  <si>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</si>
  <si>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</si>
  <si>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</si>
  <si>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</si>
  <si>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</si>
  <si>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</si>
  <si>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</si>
  <si>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</si>
  <si>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</si>
  <si>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</si>
  <si>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</si>
  <si>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</si>
  <si>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</si>
  <si>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</si>
  <si>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</si>
  <si>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</si>
  <si>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</si>
  <si>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</si>
  <si>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</si>
  <si>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</si>
  <si>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</si>
  <si>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</si>
  <si>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</si>
  <si>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</si>
  <si>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</si>
  <si>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</si>
  <si>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</si>
  <si>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</si>
  <si>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</si>
  <si>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</si>
  <si>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</si>
  <si>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</si>
  <si>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</si>
  <si>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</si>
  <si>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</si>
  <si>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</si>
  <si>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</si>
  <si>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</si>
  <si>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</si>
  <si>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</si>
  <si>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</si>
  <si>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</si>
  <si>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</si>
  <si>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</si>
  <si>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</si>
  <si>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</si>
  <si>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</si>
  <si>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</si>
  <si>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</si>
  <si>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</si>
  <si>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</si>
  <si>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</si>
  <si>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</si>
  <si>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</si>
  <si>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</si>
  <si>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</si>
  <si>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</si>
  <si>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</si>
  <si>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</si>
  <si>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</si>
  <si>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</si>
  <si>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</si>
  <si>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</si>
  <si>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</si>
  <si>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</si>
  <si>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</si>
  <si>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</si>
  <si>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</si>
  <si>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</si>
  <si>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</si>
  <si>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</si>
  <si>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</si>
  <si>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</si>
  <si>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</si>
  <si>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</si>
  <si>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</si>
  <si>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</si>
  <si>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</si>
  <si>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</si>
  <si>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</si>
  <si>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</si>
  <si>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</si>
  <si>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</si>
  <si>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</si>
  <si>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</si>
  <si>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</si>
  <si>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</si>
  <si>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</si>
  <si>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</si>
  <si>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</si>
  <si>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</si>
  <si>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</si>
  <si>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</si>
  <si>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</si>
  <si>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</si>
  <si>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</si>
  <si>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</si>
  <si>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</si>
  <si>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</si>
  <si>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</si>
  <si>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</si>
  <si>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</si>
  <si>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</si>
  <si>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</si>
  <si>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</si>
  <si>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</si>
  <si>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</si>
  <si>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</si>
  <si>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</si>
  <si>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</si>
  <si>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</si>
  <si>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</si>
  <si>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</si>
  <si>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</si>
  <si>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</si>
  <si>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</si>
  <si>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</si>
  <si>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</si>
  <si>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</si>
  <si>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</si>
  <si>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</si>
  <si>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</si>
  <si>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</si>
  <si>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</si>
  <si>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</si>
  <si>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</si>
  <si>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</si>
  <si>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</si>
  <si>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</si>
  <si>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</si>
  <si>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</si>
  <si>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</si>
  <si>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</si>
  <si>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</si>
  <si>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</si>
  <si>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</si>
  <si>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</si>
  <si>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</si>
  <si>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</si>
  <si>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</si>
  <si>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</si>
  <si>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</si>
  <si>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</si>
  <si>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</si>
  <si>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</si>
  <si>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</si>
  <si>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</si>
  <si>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</si>
  <si>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</si>
  <si>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</si>
  <si>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</si>
  <si>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</si>
  <si>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</si>
  <si>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</si>
  <si>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</si>
  <si>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</si>
  <si>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</si>
  <si>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</si>
  <si>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</si>
  <si>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</si>
  <si>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</si>
  <si>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</si>
  <si>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</si>
  <si>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</si>
  <si>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</si>
  <si>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</si>
  <si>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</si>
  <si>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</si>
  <si>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</si>
  <si>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</si>
  <si>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</si>
  <si>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</si>
  <si>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</si>
  <si>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</si>
  <si>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</si>
  <si>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</si>
  <si>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</si>
  <si>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</si>
  <si>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</si>
  <si>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</si>
  <si>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</si>
  <si>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</si>
  <si>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</si>
  <si>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</si>
  <si>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</si>
  <si>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</si>
  <si>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</si>
  <si>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</si>
  <si>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</si>
  <si>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</si>
  <si>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</si>
  <si>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</si>
  <si>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</si>
  <si>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</si>
  <si>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</si>
  <si>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</si>
  <si>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</si>
  <si>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</si>
  <si>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</si>
  <si>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</si>
  <si>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</si>
  <si>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</si>
  <si>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</si>
  <si>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</si>
  <si>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</si>
  <si>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</si>
  <si>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</si>
  <si>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</si>
  <si>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</si>
  <si>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</si>
  <si>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</si>
  <si>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</si>
  <si>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</si>
  <si>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</si>
  <si>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</si>
  <si>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</si>
  <si>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</si>
  <si>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</si>
  <si>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</si>
  <si>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</si>
  <si>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</si>
  <si>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</si>
  <si>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</si>
  <si>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</si>
  <si>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</si>
  <si>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</si>
  <si>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</si>
  <si>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</si>
  <si>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</si>
  <si>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</si>
  <si>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</si>
  <si>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</si>
  <si>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</si>
  <si>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</si>
  <si>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</si>
  <si>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</si>
  <si>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</si>
  <si>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</si>
  <si>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</si>
  <si>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</si>
  <si>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</si>
  <si>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</si>
  <si>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</si>
  <si>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</si>
  <si>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</si>
  <si>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</si>
  <si>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</si>
  <si>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</si>
  <si>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</si>
  <si>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</si>
  <si>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</si>
  <si>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</si>
  <si>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</si>
  <si>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</si>
  <si>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</si>
  <si>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</si>
  <si>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</si>
  <si>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</si>
  <si>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</si>
  <si>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</si>
  <si>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</si>
  <si>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</si>
  <si>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</si>
  <si>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</si>
  <si>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</si>
  <si>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</si>
  <si>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</si>
  <si>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</si>
  <si>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</si>
  <si>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</si>
  <si>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</si>
  <si>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</si>
  <si>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</si>
  <si>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</si>
  <si>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</si>
  <si>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</si>
  <si>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</si>
  <si>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</si>
  <si>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</si>
  <si>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</si>
  <si>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</si>
  <si>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23009</t>
  </si>
  <si>
    <t>BEVER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</si>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</sst>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A63342A-63EA-411B-B7A8-A0CFA9728A7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18660.730582020398</c:v>
                </c:pt>
                <c:pt idx="1">
                  <c:v>1748.6584338690841</c:v>
                </c:pt>
                <c:pt idx="2">
                  <c:v>170.55699999999999</c:v>
                </c:pt>
                <c:pt idx="3">
                  <c:v>2268.4512022904587</c:v>
                </c:pt>
                <c:pt idx="4">
                  <c:v>159.67242665776629</c:v>
                </c:pt>
                <c:pt idx="5">
                  <c:v>7833.5859996817908</c:v>
                </c:pt>
                <c:pt idx="6">
                  <c:v>134.73319170310944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18660.730582020398</c:v>
                </c:pt>
                <c:pt idx="1">
                  <c:v>1748.6584338690841</c:v>
                </c:pt>
                <c:pt idx="2">
                  <c:v>170.55699999999999</c:v>
                </c:pt>
                <c:pt idx="3">
                  <c:v>2268.4512022904587</c:v>
                </c:pt>
                <c:pt idx="4">
                  <c:v>159.67242665776629</c:v>
                </c:pt>
                <c:pt idx="5">
                  <c:v>7833.5859996817908</c:v>
                </c:pt>
                <c:pt idx="6">
                  <c:v>134.73319170310944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4165.1544482728459</c:v>
                </c:pt>
                <c:pt idx="2">
                  <c:v>349.03366129754198</c:v>
                </c:pt>
                <c:pt idx="3">
                  <c:v>33.365001602055131</c:v>
                </c:pt>
                <c:pt idx="4">
                  <c:v>580.6912021252466</c:v>
                </c:pt>
                <c:pt idx="5">
                  <c:v>32.139756972103839</c:v>
                </c:pt>
                <c:pt idx="6">
                  <c:v>1998.7468568078725</c:v>
                </c:pt>
                <c:pt idx="7">
                  <c:v>34.838665059216915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4165.1544482728459</c:v>
                </c:pt>
                <c:pt idx="2">
                  <c:v>349.03366129754198</c:v>
                </c:pt>
                <c:pt idx="3">
                  <c:v>33.365001602055131</c:v>
                </c:pt>
                <c:pt idx="4">
                  <c:v>580.6912021252466</c:v>
                </c:pt>
                <c:pt idx="5">
                  <c:v>32.139756972103839</c:v>
                </c:pt>
                <c:pt idx="6">
                  <c:v>1998.7468568078725</c:v>
                </c:pt>
                <c:pt idx="7">
                  <c:v>34.838665059216915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23009</v>
      </c>
      <c r="B6" s="380"/>
      <c r="C6" s="381"/>
    </row>
    <row r="7" spans="1:7" s="378" customFormat="1" ht="15.75" customHeight="1">
      <c r="A7" s="382" t="str">
        <f>txtMunicipality</f>
        <v>BEVER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0.1956237598108265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0.1956237598108265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872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1468.05</v>
      </c>
      <c r="C14" s="322"/>
      <c r="D14" s="322"/>
      <c r="E14" s="322"/>
      <c r="F14" s="322"/>
    </row>
    <row r="15" spans="1:6">
      <c r="A15" s="1248" t="s">
        <v>177</v>
      </c>
      <c r="B15" s="1249">
        <v>11</v>
      </c>
      <c r="C15" s="322"/>
      <c r="D15" s="322"/>
      <c r="E15" s="322"/>
      <c r="F15" s="322"/>
    </row>
    <row r="16" spans="1:6">
      <c r="A16" s="1248" t="s">
        <v>6</v>
      </c>
      <c r="B16" s="1249">
        <v>301</v>
      </c>
      <c r="C16" s="322"/>
      <c r="D16" s="322"/>
      <c r="E16" s="322"/>
      <c r="F16" s="322"/>
    </row>
    <row r="17" spans="1:6">
      <c r="A17" s="1248" t="s">
        <v>7</v>
      </c>
      <c r="B17" s="1249">
        <v>795</v>
      </c>
      <c r="C17" s="322"/>
      <c r="D17" s="322"/>
      <c r="E17" s="322"/>
      <c r="F17" s="322"/>
    </row>
    <row r="18" spans="1:6">
      <c r="A18" s="1248" t="s">
        <v>8</v>
      </c>
      <c r="B18" s="1249">
        <v>842</v>
      </c>
      <c r="C18" s="322"/>
      <c r="D18" s="322"/>
      <c r="E18" s="322"/>
      <c r="F18" s="322"/>
    </row>
    <row r="19" spans="1:6">
      <c r="A19" s="1248" t="s">
        <v>9</v>
      </c>
      <c r="B19" s="1249">
        <v>727</v>
      </c>
      <c r="C19" s="322"/>
      <c r="D19" s="322"/>
      <c r="E19" s="322"/>
      <c r="F19" s="322"/>
    </row>
    <row r="20" spans="1:6">
      <c r="A20" s="1248" t="s">
        <v>10</v>
      </c>
      <c r="B20" s="1249">
        <v>554</v>
      </c>
      <c r="C20" s="322"/>
      <c r="D20" s="322"/>
      <c r="E20" s="322"/>
      <c r="F20" s="322"/>
    </row>
    <row r="21" spans="1:6">
      <c r="A21" s="1248" t="s">
        <v>11</v>
      </c>
      <c r="B21" s="1249">
        <v>6</v>
      </c>
      <c r="C21" s="322"/>
      <c r="D21" s="322"/>
      <c r="E21" s="322"/>
      <c r="F21" s="322"/>
    </row>
    <row r="22" spans="1:6">
      <c r="A22" s="1248" t="s">
        <v>12</v>
      </c>
      <c r="B22" s="1249">
        <v>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7</v>
      </c>
      <c r="C26" s="322"/>
      <c r="D26" s="322"/>
      <c r="E26" s="322"/>
      <c r="F26" s="322"/>
    </row>
    <row r="27" spans="1:6">
      <c r="A27" s="1248" t="s">
        <v>17</v>
      </c>
      <c r="B27" s="1249">
        <v>0</v>
      </c>
      <c r="C27" s="322"/>
      <c r="D27" s="322"/>
      <c r="E27" s="322"/>
      <c r="F27" s="322"/>
    </row>
    <row r="28" spans="1:6">
      <c r="A28" s="1248" t="s">
        <v>18</v>
      </c>
      <c r="B28" s="1250">
        <v>25771</v>
      </c>
      <c r="C28" s="322"/>
      <c r="D28" s="322"/>
      <c r="E28" s="322"/>
      <c r="F28" s="322"/>
    </row>
    <row r="29" spans="1:6">
      <c r="A29" s="1248" t="s">
        <v>884</v>
      </c>
      <c r="B29" s="1250">
        <v>37</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141</v>
      </c>
      <c r="D39" s="1249">
        <v>2237044.9652999998</v>
      </c>
      <c r="E39" s="1249">
        <v>777</v>
      </c>
      <c r="F39" s="1249">
        <v>3734614.0310999998</v>
      </c>
    </row>
    <row r="40" spans="1:6">
      <c r="A40" s="1248" t="s">
        <v>29</v>
      </c>
      <c r="B40" s="1248" t="s">
        <v>28</v>
      </c>
      <c r="C40" s="1249">
        <v>0</v>
      </c>
      <c r="D40" s="1249">
        <v>0</v>
      </c>
      <c r="E40" s="1249">
        <v>0</v>
      </c>
      <c r="F40" s="1249">
        <v>0</v>
      </c>
    </row>
    <row r="41" spans="1:6">
      <c r="A41" s="1248" t="s">
        <v>31</v>
      </c>
      <c r="B41" s="1248" t="s">
        <v>32</v>
      </c>
      <c r="C41" s="1249">
        <v>0</v>
      </c>
      <c r="D41" s="1249">
        <v>0</v>
      </c>
      <c r="E41" s="1249">
        <v>0</v>
      </c>
      <c r="F41" s="1249">
        <v>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0</v>
      </c>
      <c r="E48" s="1249">
        <v>12</v>
      </c>
      <c r="F48" s="1249">
        <v>119475.41744999999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28</v>
      </c>
      <c r="F51" s="1249">
        <v>380727.82747000002</v>
      </c>
    </row>
    <row r="52" spans="1:6">
      <c r="A52" s="1248" t="s">
        <v>41</v>
      </c>
      <c r="B52" s="1248" t="s">
        <v>28</v>
      </c>
      <c r="C52" s="1249">
        <v>2</v>
      </c>
      <c r="D52" s="1249">
        <v>23546.180737999999</v>
      </c>
      <c r="E52" s="1249">
        <v>5</v>
      </c>
      <c r="F52" s="1249">
        <v>77515.790722000005</v>
      </c>
    </row>
    <row r="53" spans="1:6">
      <c r="A53" s="1248" t="s">
        <v>43</v>
      </c>
      <c r="B53" s="1248" t="s">
        <v>44</v>
      </c>
      <c r="C53" s="1249">
        <v>5</v>
      </c>
      <c r="D53" s="1249">
        <v>39653.185767000003</v>
      </c>
      <c r="E53" s="1249">
        <v>31</v>
      </c>
      <c r="F53" s="1249">
        <v>225175.37437000001</v>
      </c>
    </row>
    <row r="54" spans="1:6">
      <c r="A54" s="1248" t="s">
        <v>45</v>
      </c>
      <c r="B54" s="1248" t="s">
        <v>46</v>
      </c>
      <c r="C54" s="1249">
        <v>0</v>
      </c>
      <c r="D54" s="1249">
        <v>0</v>
      </c>
      <c r="E54" s="1249">
        <v>1</v>
      </c>
      <c r="F54" s="1249">
        <v>170557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3</v>
      </c>
      <c r="F57" s="1249">
        <v>12481.015880000001</v>
      </c>
    </row>
    <row r="58" spans="1:6">
      <c r="A58" s="1248" t="s">
        <v>48</v>
      </c>
      <c r="B58" s="1248" t="s">
        <v>50</v>
      </c>
      <c r="C58" s="1249">
        <v>0</v>
      </c>
      <c r="D58" s="1249">
        <v>0</v>
      </c>
      <c r="E58" s="1249">
        <v>3</v>
      </c>
      <c r="F58" s="1249">
        <v>5160.8521656000003</v>
      </c>
    </row>
    <row r="59" spans="1:6">
      <c r="A59" s="1248" t="s">
        <v>48</v>
      </c>
      <c r="B59" s="1248" t="s">
        <v>51</v>
      </c>
      <c r="C59" s="1249">
        <v>0</v>
      </c>
      <c r="D59" s="1249">
        <v>0</v>
      </c>
      <c r="E59" s="1249">
        <v>0</v>
      </c>
      <c r="F59" s="1249">
        <v>0</v>
      </c>
    </row>
    <row r="60" spans="1:6">
      <c r="A60" s="1248" t="s">
        <v>48</v>
      </c>
      <c r="B60" s="1248" t="s">
        <v>52</v>
      </c>
      <c r="C60" s="1249">
        <v>0</v>
      </c>
      <c r="D60" s="1249">
        <v>0</v>
      </c>
      <c r="E60" s="1249">
        <v>6</v>
      </c>
      <c r="F60" s="1249">
        <v>97488.173439000006</v>
      </c>
    </row>
    <row r="61" spans="1:6">
      <c r="A61" s="1248" t="s">
        <v>48</v>
      </c>
      <c r="B61" s="1248" t="s">
        <v>53</v>
      </c>
      <c r="C61" s="1249">
        <v>11</v>
      </c>
      <c r="D61" s="1249">
        <v>311994.84756000002</v>
      </c>
      <c r="E61" s="1249">
        <v>4</v>
      </c>
      <c r="F61" s="1249">
        <v>9148.7842603999998</v>
      </c>
    </row>
    <row r="62" spans="1:6">
      <c r="A62" s="1248" t="s">
        <v>48</v>
      </c>
      <c r="B62" s="1248" t="s">
        <v>54</v>
      </c>
      <c r="C62" s="1249">
        <v>0</v>
      </c>
      <c r="D62" s="1249">
        <v>0</v>
      </c>
      <c r="E62" s="1249">
        <v>0</v>
      </c>
      <c r="F62" s="1249">
        <v>0</v>
      </c>
    </row>
    <row r="63" spans="1:6">
      <c r="A63" s="1248" t="s">
        <v>48</v>
      </c>
      <c r="B63" s="1248" t="s">
        <v>28</v>
      </c>
      <c r="C63" s="1249">
        <v>18</v>
      </c>
      <c r="D63" s="1249">
        <v>573960.17773999996</v>
      </c>
      <c r="E63" s="1249">
        <v>45</v>
      </c>
      <c r="F63" s="1249">
        <v>599259.71936999995</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2709.6172090999999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6216439</v>
      </c>
      <c r="E73" s="439"/>
      <c r="F73" s="322"/>
    </row>
    <row r="74" spans="1:6">
      <c r="A74" s="1248" t="s">
        <v>63</v>
      </c>
      <c r="B74" s="1248" t="s">
        <v>626</v>
      </c>
      <c r="C74" s="1261" t="s">
        <v>628</v>
      </c>
      <c r="D74" s="1249">
        <v>210463.67619050838</v>
      </c>
      <c r="E74" s="439"/>
      <c r="F74" s="322"/>
    </row>
    <row r="75" spans="1:6">
      <c r="A75" s="1248" t="s">
        <v>64</v>
      </c>
      <c r="B75" s="1248" t="s">
        <v>625</v>
      </c>
      <c r="C75" s="1261" t="s">
        <v>629</v>
      </c>
      <c r="D75" s="1249">
        <v>3707165</v>
      </c>
      <c r="E75" s="439"/>
      <c r="F75" s="322"/>
    </row>
    <row r="76" spans="1:6">
      <c r="A76" s="1248" t="s">
        <v>64</v>
      </c>
      <c r="B76" s="1248" t="s">
        <v>626</v>
      </c>
      <c r="C76" s="1261" t="s">
        <v>630</v>
      </c>
      <c r="D76" s="1249">
        <v>9985.6761905083913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36440.647618983217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390.26834842595889</v>
      </c>
      <c r="C91" s="322"/>
      <c r="D91" s="322"/>
      <c r="E91" s="322"/>
      <c r="F91" s="322"/>
    </row>
    <row r="92" spans="1:6">
      <c r="A92" s="1243" t="s">
        <v>68</v>
      </c>
      <c r="B92" s="1244">
        <v>278.59884827381751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v>
      </c>
      <c r="C97" s="322"/>
      <c r="D97" s="322"/>
      <c r="E97" s="322"/>
      <c r="F97" s="322"/>
    </row>
    <row r="98" spans="1:6">
      <c r="A98" s="1248" t="s">
        <v>71</v>
      </c>
      <c r="B98" s="1249">
        <v>0</v>
      </c>
      <c r="C98" s="322"/>
      <c r="D98" s="322"/>
      <c r="E98" s="322"/>
      <c r="F98" s="322"/>
    </row>
    <row r="99" spans="1:6">
      <c r="A99" s="1248" t="s">
        <v>72</v>
      </c>
      <c r="B99" s="1249">
        <v>86</v>
      </c>
      <c r="C99" s="322"/>
      <c r="D99" s="322"/>
      <c r="E99" s="322"/>
      <c r="F99" s="322"/>
    </row>
    <row r="100" spans="1:6">
      <c r="A100" s="1248" t="s">
        <v>73</v>
      </c>
      <c r="B100" s="1249">
        <v>49</v>
      </c>
      <c r="C100" s="322"/>
      <c r="D100" s="322"/>
      <c r="E100" s="322"/>
      <c r="F100" s="322"/>
    </row>
    <row r="101" spans="1:6">
      <c r="A101" s="1248" t="s">
        <v>74</v>
      </c>
      <c r="B101" s="1249">
        <v>41</v>
      </c>
      <c r="C101" s="322"/>
      <c r="D101" s="322"/>
      <c r="E101" s="322"/>
      <c r="F101" s="322"/>
    </row>
    <row r="102" spans="1:6">
      <c r="A102" s="1248" t="s">
        <v>75</v>
      </c>
      <c r="B102" s="1249">
        <v>11</v>
      </c>
      <c r="C102" s="322"/>
      <c r="D102" s="322"/>
      <c r="E102" s="322"/>
      <c r="F102" s="322"/>
    </row>
    <row r="103" spans="1:6">
      <c r="A103" s="1248" t="s">
        <v>76</v>
      </c>
      <c r="B103" s="1249">
        <v>38</v>
      </c>
      <c r="C103" s="322"/>
      <c r="D103" s="322"/>
      <c r="E103" s="322"/>
      <c r="F103" s="322"/>
    </row>
    <row r="104" spans="1:6">
      <c r="A104" s="1248" t="s">
        <v>77</v>
      </c>
      <c r="B104" s="1249">
        <v>523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5825.1202451069294</v>
      </c>
      <c r="C3" s="43" t="s">
        <v>163</v>
      </c>
      <c r="D3" s="43"/>
      <c r="E3" s="153"/>
      <c r="F3" s="43"/>
      <c r="G3" s="43"/>
      <c r="H3" s="43"/>
      <c r="I3" s="43"/>
      <c r="J3" s="43"/>
      <c r="K3" s="96"/>
    </row>
    <row r="4" spans="1:11">
      <c r="A4" s="348" t="s">
        <v>164</v>
      </c>
      <c r="B4" s="49">
        <f>IF(ISERROR('SEAP template'!B78+'SEAP template'!C78),0,'SEAP template'!B78+'SEAP template'!C78)</f>
        <v>668.8671966997764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0.1956237598108265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170.55699999999999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170.55699999999999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0.1956237598108265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33.365001602055131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3734.6140310999999</v>
      </c>
      <c r="C5" s="17">
        <f>IF(ISERROR('Eigen informatie GS &amp; warmtenet'!B57),0,'Eigen informatie GS &amp; warmtenet'!B57)</f>
        <v>0</v>
      </c>
      <c r="D5" s="30">
        <f>(SUM(HH_hh_gas_kWh,HH_rest_gas_kWh)/1000)*0.902</f>
        <v>2017.8145587005997</v>
      </c>
      <c r="E5" s="17">
        <f>B32*B41</f>
        <v>385.01410707731196</v>
      </c>
      <c r="F5" s="17">
        <f>B36*B45</f>
        <v>10467.771485426496</v>
      </c>
      <c r="G5" s="18"/>
      <c r="H5" s="17"/>
      <c r="I5" s="17"/>
      <c r="J5" s="17">
        <f>B35*B44+C35*C44</f>
        <v>193.04440293673392</v>
      </c>
      <c r="K5" s="17"/>
      <c r="L5" s="17"/>
      <c r="M5" s="17"/>
      <c r="N5" s="17">
        <f>B34*B43+C34*C43</f>
        <v>1302.7803150199663</v>
      </c>
      <c r="O5" s="17">
        <f>B52*B53*B54</f>
        <v>35.956666666666671</v>
      </c>
      <c r="P5" s="17">
        <f>B60*B61*B62/1000-B60*B61*B62/1000/B63</f>
        <v>133.46666666666667</v>
      </c>
    </row>
    <row r="6" spans="1:16">
      <c r="A6" s="16" t="s">
        <v>586</v>
      </c>
      <c r="B6" s="716">
        <f>kWh_PV_kleiner_dan_10kW</f>
        <v>390.26834842595889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4124.8823795259586</v>
      </c>
      <c r="C8" s="21">
        <f>C5</f>
        <v>0</v>
      </c>
      <c r="D8" s="21">
        <f>D5</f>
        <v>2017.8145587005997</v>
      </c>
      <c r="E8" s="21">
        <f>E5</f>
        <v>385.01410707731196</v>
      </c>
      <c r="F8" s="21">
        <f>F5</f>
        <v>10467.771485426496</v>
      </c>
      <c r="G8" s="21"/>
      <c r="H8" s="21"/>
      <c r="I8" s="21"/>
      <c r="J8" s="21">
        <f>J5</f>
        <v>193.04440293673392</v>
      </c>
      <c r="K8" s="21"/>
      <c r="L8" s="21">
        <f>L5</f>
        <v>0</v>
      </c>
      <c r="M8" s="21">
        <f>M5</f>
        <v>0</v>
      </c>
      <c r="N8" s="21">
        <f>N5</f>
        <v>1302.7803150199663</v>
      </c>
      <c r="O8" s="21">
        <f>O5</f>
        <v>35.956666666666671</v>
      </c>
      <c r="P8" s="21">
        <f>P5</f>
        <v>133.46666666666667</v>
      </c>
    </row>
    <row r="9" spans="1:16">
      <c r="B9" s="19"/>
      <c r="C9" s="19"/>
      <c r="D9" s="253"/>
      <c r="E9" s="19"/>
      <c r="F9" s="19"/>
      <c r="G9" s="19"/>
      <c r="H9" s="19"/>
      <c r="I9" s="19"/>
      <c r="J9" s="19"/>
      <c r="K9" s="19"/>
      <c r="L9" s="19"/>
      <c r="M9" s="19"/>
      <c r="N9" s="19"/>
      <c r="O9" s="19"/>
      <c r="P9" s="19"/>
    </row>
    <row r="10" spans="1:16">
      <c r="A10" s="24" t="s">
        <v>207</v>
      </c>
      <c r="B10" s="25">
        <f ca="1">'EF ele_warmte'!B12</f>
        <v>0.1956237598108265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806.92499986029657</v>
      </c>
      <c r="C12" s="23">
        <f ca="1">C10*C8</f>
        <v>0</v>
      </c>
      <c r="D12" s="23">
        <f>D8*D10</f>
        <v>407.59854085752119</v>
      </c>
      <c r="E12" s="23">
        <f>E10*E8</f>
        <v>87.39820230654982</v>
      </c>
      <c r="F12" s="23">
        <f>F10*F8</f>
        <v>2794.8949866088747</v>
      </c>
      <c r="G12" s="23"/>
      <c r="H12" s="23"/>
      <c r="I12" s="23"/>
      <c r="J12" s="23">
        <f>J10*J8</f>
        <v>68.337718639603807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872</v>
      </c>
      <c r="C26" s="36"/>
      <c r="D26" s="224"/>
    </row>
    <row r="27" spans="1:5" s="15" customFormat="1">
      <c r="A27" s="226" t="s">
        <v>655</v>
      </c>
      <c r="B27" s="37">
        <f>SUM(HH_hh_gas_aantal,HH_rest_gas_aantal)</f>
        <v>141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133.94999999999999</v>
      </c>
      <c r="C31" s="34" t="s">
        <v>104</v>
      </c>
      <c r="D31" s="170"/>
    </row>
    <row r="32" spans="1:5">
      <c r="A32" s="167" t="s">
        <v>72</v>
      </c>
      <c r="B32" s="33">
        <f>IF((B21*($B$26-($B$27-0.05*$B$27)-$B$60))&lt;0,0,B21*($B$26-($B$27-0.05*$B$27)-$B$60))</f>
        <v>4.7177776849456468</v>
      </c>
      <c r="C32" s="34" t="s">
        <v>104</v>
      </c>
      <c r="D32" s="170"/>
    </row>
    <row r="33" spans="1:6">
      <c r="A33" s="167" t="s">
        <v>73</v>
      </c>
      <c r="B33" s="33">
        <f>IF((B22*($B$26-($B$27-0.05*$B$27)-$B$60))&lt;0,0,B22*($B$26-($B$27-0.05*$B$27)-$B$60))</f>
        <v>164.29015732921488</v>
      </c>
      <c r="C33" s="34" t="s">
        <v>104</v>
      </c>
      <c r="D33" s="170"/>
    </row>
    <row r="34" spans="1:6">
      <c r="A34" s="167" t="s">
        <v>74</v>
      </c>
      <c r="B34" s="33">
        <f>IF((B24*($B$26-($B$27-0.05*$B$27)-$B$60))&lt;0,0,B24*($B$26-($B$27-0.05*$B$27)-$B$60))</f>
        <v>32.624658672600802</v>
      </c>
      <c r="C34" s="33">
        <f>B26*C24</f>
        <v>178.46556082763624</v>
      </c>
      <c r="D34" s="229"/>
    </row>
    <row r="35" spans="1:6">
      <c r="A35" s="167" t="s">
        <v>76</v>
      </c>
      <c r="B35" s="33">
        <f>IF((B19*($B$26-($B$27-0.05*$B$27)-$B$60))&lt;0,0,B19*($B$26-($B$27-0.05*$B$27)-$B$60))</f>
        <v>15.932264279240682</v>
      </c>
      <c r="C35" s="33">
        <f>B35/2</f>
        <v>7.9661321396203411</v>
      </c>
      <c r="D35" s="229"/>
    </row>
    <row r="36" spans="1:6">
      <c r="A36" s="167" t="s">
        <v>77</v>
      </c>
      <c r="B36" s="33">
        <f>IF((B18*($B$26-($B$27-0.05*$B$27)-$B$60))&lt;0,0,B18*($B$26-($B$27-0.05*$B$27)-$B$60))</f>
        <v>513.48514203399816</v>
      </c>
      <c r="C36" s="34" t="s">
        <v>104</v>
      </c>
      <c r="D36" s="170"/>
    </row>
    <row r="37" spans="1:6">
      <c r="A37" s="167" t="s">
        <v>78</v>
      </c>
      <c r="B37" s="33">
        <f>B60</f>
        <v>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723.53854511500003</v>
      </c>
      <c r="C5" s="17">
        <f>IF(ISERROR('Eigen informatie GS &amp; warmtenet'!B58),0,'Eigen informatie GS &amp; warmtenet'!B58)</f>
        <v>0</v>
      </c>
      <c r="D5" s="30">
        <f>SUM(D6:D12)</f>
        <v>799.13143282060014</v>
      </c>
      <c r="E5" s="17">
        <f>SUM(E6:E12)</f>
        <v>9.5128668954394335</v>
      </c>
      <c r="F5" s="17">
        <f>SUM(F6:F12)</f>
        <v>164.44884854354598</v>
      </c>
      <c r="G5" s="18"/>
      <c r="H5" s="17"/>
      <c r="I5" s="17"/>
      <c r="J5" s="17">
        <f>SUM(J6:J12)</f>
        <v>1.4631580158889471E-3</v>
      </c>
      <c r="K5" s="17"/>
      <c r="L5" s="17"/>
      <c r="M5" s="17"/>
      <c r="N5" s="17">
        <f>SUM(N6:N12)</f>
        <v>52.025277336482546</v>
      </c>
      <c r="O5" s="17">
        <f>B38*B39*B40</f>
        <v>0</v>
      </c>
      <c r="P5" s="17">
        <f>B46*B47*B48/1000-B46*B47*B48/1000/B49</f>
        <v>0</v>
      </c>
      <c r="R5" s="32"/>
    </row>
    <row r="6" spans="1:18">
      <c r="A6" s="32" t="s">
        <v>53</v>
      </c>
      <c r="B6" s="37">
        <f>B26</f>
        <v>9.1487842603999994</v>
      </c>
      <c r="C6" s="33"/>
      <c r="D6" s="37">
        <f>IF(ISERROR(TER_kantoor_gas_kWh/1000),0,TER_kantoor_gas_kWh/1000)*0.902</f>
        <v>281.41935249912007</v>
      </c>
      <c r="E6" s="33">
        <f>$C$26*'E Balans VL '!I12/100/3.6*1000000</f>
        <v>5.2085546231284512E-21</v>
      </c>
      <c r="F6" s="33">
        <f>$C$26*('E Balans VL '!L12+'E Balans VL '!N12)/100/3.6*1000000</f>
        <v>1.2367648858319702</v>
      </c>
      <c r="G6" s="34"/>
      <c r="H6" s="33"/>
      <c r="I6" s="33"/>
      <c r="J6" s="33">
        <f>$C$26*('E Balans VL '!D12+'E Balans VL '!E12)/100/3.6*1000000</f>
        <v>0</v>
      </c>
      <c r="K6" s="33"/>
      <c r="L6" s="33"/>
      <c r="M6" s="33"/>
      <c r="N6" s="33">
        <f>$C$26*'E Balans VL '!Y12/100/3.6*1000000</f>
        <v>1.1498162863420057E-2</v>
      </c>
      <c r="O6" s="33"/>
      <c r="P6" s="33"/>
      <c r="R6" s="32"/>
    </row>
    <row r="7" spans="1:18">
      <c r="A7" s="32" t="s">
        <v>52</v>
      </c>
      <c r="B7" s="37">
        <f t="shared" ref="B7:B12" si="0">B27</f>
        <v>97.488173439000008</v>
      </c>
      <c r="C7" s="33"/>
      <c r="D7" s="37">
        <f>IF(ISERROR(TER_horeca_gas_kWh/1000),0,TER_horeca_gas_kWh/1000)*0.902</f>
        <v>0</v>
      </c>
      <c r="E7" s="33">
        <f>$C$27*'E Balans VL '!I9/100/3.6*1000000</f>
        <v>1.2451223445607593</v>
      </c>
      <c r="F7" s="33">
        <f>$C$27*('E Balans VL '!L9+'E Balans VL '!N9)/100/3.6*1000000</f>
        <v>11.010851158945036</v>
      </c>
      <c r="G7" s="34"/>
      <c r="H7" s="33"/>
      <c r="I7" s="33"/>
      <c r="J7" s="33">
        <f>$C$27*('E Balans VL '!D9+'E Balans VL '!E9)/100/3.6*1000000</f>
        <v>0</v>
      </c>
      <c r="K7" s="33"/>
      <c r="L7" s="33"/>
      <c r="M7" s="33"/>
      <c r="N7" s="33">
        <f>$C$27*'E Balans VL '!Y9/100/3.6*1000000</f>
        <v>2.3231845544553247E-2</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5.1608521656000006</v>
      </c>
      <c r="C9" s="33"/>
      <c r="D9" s="37">
        <f>IF(ISERROR(TER_gezond_gas_kWh/1000),0,TER_gezond_gas_kWh/1000)*0.902</f>
        <v>0</v>
      </c>
      <c r="E9" s="33">
        <f>$C$29*'E Balans VL '!I10/100/3.6*1000000</f>
        <v>2.8819495252284307E-4</v>
      </c>
      <c r="F9" s="33">
        <f>$C$29*('E Balans VL '!L10+'E Balans VL '!N10)/100/3.6*1000000</f>
        <v>0.68379371284506718</v>
      </c>
      <c r="G9" s="34"/>
      <c r="H9" s="33"/>
      <c r="I9" s="33"/>
      <c r="J9" s="33">
        <f>$C$29*('E Balans VL '!D10+'E Balans VL '!E10)/100/3.6*1000000</f>
        <v>0</v>
      </c>
      <c r="K9" s="33"/>
      <c r="L9" s="33"/>
      <c r="M9" s="33"/>
      <c r="N9" s="33">
        <f>$C$29*'E Balans VL '!Y10/100/3.6*1000000</f>
        <v>5.470156418513817E-2</v>
      </c>
      <c r="O9" s="33"/>
      <c r="P9" s="33"/>
      <c r="R9" s="32"/>
    </row>
    <row r="10" spans="1:18">
      <c r="A10" s="32" t="s">
        <v>49</v>
      </c>
      <c r="B10" s="37">
        <f t="shared" si="0"/>
        <v>12.481015880000001</v>
      </c>
      <c r="C10" s="33"/>
      <c r="D10" s="37">
        <f>IF(ISERROR(TER_ander_gas_kWh/1000),0,TER_ander_gas_kWh/1000)*0.902</f>
        <v>0</v>
      </c>
      <c r="E10" s="33">
        <f>$C$30*'E Balans VL '!I14/100/3.6*1000000</f>
        <v>0.16117266493515855</v>
      </c>
      <c r="F10" s="33">
        <f>$C$30*('E Balans VL '!L14+'E Balans VL '!N14)/100/3.6*1000000</f>
        <v>8.2383607157352277</v>
      </c>
      <c r="G10" s="34"/>
      <c r="H10" s="33"/>
      <c r="I10" s="33"/>
      <c r="J10" s="33">
        <f>$C$30*('E Balans VL '!D14+'E Balans VL '!E14)/100/3.6*1000000</f>
        <v>1.5119770167852217E-4</v>
      </c>
      <c r="K10" s="33"/>
      <c r="L10" s="33"/>
      <c r="M10" s="33"/>
      <c r="N10" s="33">
        <f>$C$30*'E Balans VL '!Y14/100/3.6*1000000</f>
        <v>5.2631935792851605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599.25971936999997</v>
      </c>
      <c r="C12" s="33"/>
      <c r="D12" s="37">
        <f>IF(ISERROR(TER_rest_gas_kWh/1000),0,TER_rest_gas_kWh/1000)*0.902</f>
        <v>517.71208032148002</v>
      </c>
      <c r="E12" s="33">
        <f>$C$32*'E Balans VL '!I8/100/3.6*1000000</f>
        <v>8.1062836909909937</v>
      </c>
      <c r="F12" s="33">
        <f>$C$32*('E Balans VL '!L8+'E Balans VL '!N8)/100/3.6*1000000</f>
        <v>143.27907807018869</v>
      </c>
      <c r="G12" s="34"/>
      <c r="H12" s="33"/>
      <c r="I12" s="33"/>
      <c r="J12" s="33">
        <f>$C$32*('E Balans VL '!D8+'E Balans VL '!E8)/100/3.6*1000000</f>
        <v>1.3119603142104249E-3</v>
      </c>
      <c r="K12" s="33"/>
      <c r="L12" s="33"/>
      <c r="M12" s="33"/>
      <c r="N12" s="33">
        <f>$C$32*'E Balans VL '!Y8/100/3.6*1000000</f>
        <v>46.672652184604274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723.53854511500003</v>
      </c>
      <c r="C16" s="21">
        <f t="shared" ca="1" si="1"/>
        <v>0</v>
      </c>
      <c r="D16" s="21">
        <f t="shared" ca="1" si="1"/>
        <v>799.13143282060014</v>
      </c>
      <c r="E16" s="21">
        <f t="shared" si="1"/>
        <v>9.5128668954394335</v>
      </c>
      <c r="F16" s="21">
        <f t="shared" ca="1" si="1"/>
        <v>164.44884854354598</v>
      </c>
      <c r="G16" s="21">
        <f t="shared" si="1"/>
        <v>0</v>
      </c>
      <c r="H16" s="21">
        <f t="shared" si="1"/>
        <v>0</v>
      </c>
      <c r="I16" s="21">
        <f t="shared" si="1"/>
        <v>0</v>
      </c>
      <c r="J16" s="21">
        <f t="shared" si="1"/>
        <v>1.4631580158889471E-3</v>
      </c>
      <c r="K16" s="21">
        <f t="shared" si="1"/>
        <v>0</v>
      </c>
      <c r="L16" s="21">
        <f t="shared" ca="1" si="1"/>
        <v>0</v>
      </c>
      <c r="M16" s="21">
        <f t="shared" si="1"/>
        <v>0</v>
      </c>
      <c r="N16" s="21">
        <f t="shared" ca="1" si="1"/>
        <v>52.025277336482546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0.1956237598108265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141.54133056345162</v>
      </c>
      <c r="C20" s="23">
        <f t="shared" ref="C20:P20" ca="1" si="2">C16*C18</f>
        <v>0</v>
      </c>
      <c r="D20" s="23">
        <f t="shared" ca="1" si="2"/>
        <v>161.42454942976124</v>
      </c>
      <c r="E20" s="23">
        <f t="shared" si="2"/>
        <v>2.1594207852647513</v>
      </c>
      <c r="F20" s="23">
        <f t="shared" ca="1" si="2"/>
        <v>43.907842561126778</v>
      </c>
      <c r="G20" s="23">
        <f t="shared" si="2"/>
        <v>0</v>
      </c>
      <c r="H20" s="23">
        <f t="shared" si="2"/>
        <v>0</v>
      </c>
      <c r="I20" s="23">
        <f t="shared" si="2"/>
        <v>0</v>
      </c>
      <c r="J20" s="23">
        <f t="shared" si="2"/>
        <v>5.1795793762468719E-4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9.1487842603999994</v>
      </c>
      <c r="C26" s="39">
        <f>IF(ISERROR(B26*3.6/1000000/'E Balans VL '!Z12*100),0,B26*3.6/1000000/'E Balans VL '!Z12*100)</f>
        <v>2.4547296405113531E-4</v>
      </c>
      <c r="D26" s="232" t="s">
        <v>621</v>
      </c>
      <c r="F26" s="6"/>
    </row>
    <row r="27" spans="1:18">
      <c r="A27" s="227" t="s">
        <v>52</v>
      </c>
      <c r="B27" s="33">
        <f>IF(ISERROR(TER_horeca_ele_kWh/1000),0,TER_horeca_ele_kWh/1000)</f>
        <v>97.488173439000008</v>
      </c>
      <c r="C27" s="39">
        <f>IF(ISERROR(B27*3.6/1000000/'E Balans VL '!Z9*100),0,B27*3.6/1000000/'E Balans VL '!Z9*100)</f>
        <v>7.7447544067445872E-3</v>
      </c>
      <c r="D27" s="232" t="s">
        <v>621</v>
      </c>
      <c r="F27" s="6"/>
    </row>
    <row r="28" spans="1:18">
      <c r="A28" s="167" t="s">
        <v>51</v>
      </c>
      <c r="B28" s="33">
        <f>IF(ISERROR(TER_handel_ele_kWh/1000),0,TER_handel_ele_kWh/1000)</f>
        <v>0</v>
      </c>
      <c r="C28" s="39">
        <f>IF(ISERROR(B28*3.6/1000000/'E Balans VL '!Z13*100),0,B28*3.6/1000000/'E Balans VL '!Z13*100)</f>
        <v>0</v>
      </c>
      <c r="D28" s="232" t="s">
        <v>621</v>
      </c>
      <c r="F28" s="6"/>
    </row>
    <row r="29" spans="1:18">
      <c r="A29" s="227" t="s">
        <v>50</v>
      </c>
      <c r="B29" s="33">
        <f>IF(ISERROR(TER_gezond_ele_kWh/1000),0,TER_gezond_ele_kWh/1000)</f>
        <v>5.1608521656000006</v>
      </c>
      <c r="C29" s="39">
        <f>IF(ISERROR(B29*3.6/1000000/'E Balans VL '!Z10*100),0,B29*3.6/1000000/'E Balans VL '!Z10*100)</f>
        <v>5.4775172278872576E-4</v>
      </c>
      <c r="D29" s="232" t="s">
        <v>621</v>
      </c>
      <c r="F29" s="6"/>
    </row>
    <row r="30" spans="1:18">
      <c r="A30" s="227" t="s">
        <v>49</v>
      </c>
      <c r="B30" s="33">
        <f>IF(ISERROR(TER_ander_ele_kWh/1000),0,TER_ander_ele_kWh/1000)</f>
        <v>12.481015880000001</v>
      </c>
      <c r="C30" s="39">
        <f>IF(ISERROR(B30*3.6/1000000/'E Balans VL '!Z14*100),0,B30*3.6/1000000/'E Balans VL '!Z14*100)</f>
        <v>5.8053725047214129E-4</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599.25971936999997</v>
      </c>
      <c r="C32" s="39">
        <f>IF(ISERROR(B32*3.6/1000000/'E Balans VL '!Z8*100),0,B32*3.6/1000000/'E Balans VL '!Z8*100)</f>
        <v>5.037390284937637E-3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119.47541744999999</v>
      </c>
      <c r="C5" s="17">
        <f>IF(ISERROR('Eigen informatie GS &amp; warmtenet'!B59),0,'Eigen informatie GS &amp; warmtenet'!B59)</f>
        <v>0</v>
      </c>
      <c r="D5" s="30">
        <f>SUM(D6:D15)</f>
        <v>0</v>
      </c>
      <c r="E5" s="17">
        <f>SUM(E6:E15)</f>
        <v>6.4842761846465296</v>
      </c>
      <c r="F5" s="17">
        <f>SUM(F6:F15)</f>
        <v>26.040116675733294</v>
      </c>
      <c r="G5" s="18"/>
      <c r="H5" s="17"/>
      <c r="I5" s="17"/>
      <c r="J5" s="17">
        <f>SUM(J6:J15)</f>
        <v>0.96860101477757676</v>
      </c>
      <c r="K5" s="17"/>
      <c r="L5" s="17"/>
      <c r="M5" s="17"/>
      <c r="N5" s="17">
        <f>SUM(N6:N15)</f>
        <v>6.7040153326088978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119.47541744999999</v>
      </c>
      <c r="C15" s="33"/>
      <c r="D15" s="37">
        <f>IF( ISERROR(IND_rest_gas_kWh/1000),0,IND_rest_gas_kWh/1000)*0.902</f>
        <v>0</v>
      </c>
      <c r="E15" s="33">
        <f>C37*'E Balans VL '!I15/100/3.6*1000000</f>
        <v>6.4842761846465296</v>
      </c>
      <c r="F15" s="33">
        <f>C37*'E Balans VL '!L15/100/3.6*1000000+C37*'E Balans VL '!N15/100/3.6*1000000</f>
        <v>26.040116675733294</v>
      </c>
      <c r="G15" s="34"/>
      <c r="H15" s="33"/>
      <c r="I15" s="33"/>
      <c r="J15" s="40">
        <f>C37*'E Balans VL '!D15/100/3.6*1000000+C37*'E Balans VL '!E15/100/3.6*1000000</f>
        <v>0.96860101477757676</v>
      </c>
      <c r="K15" s="33"/>
      <c r="L15" s="33"/>
      <c r="M15" s="33"/>
      <c r="N15" s="33">
        <f>C37*'E Balans VL '!Y15/100/3.6*1000000</f>
        <v>6.7040153326088978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119.47541744999999</v>
      </c>
      <c r="C18" s="21">
        <f>C5+C16</f>
        <v>0</v>
      </c>
      <c r="D18" s="21">
        <f>MAX((D5+D16),0)</f>
        <v>0</v>
      </c>
      <c r="E18" s="21">
        <f>MAX((E5+E16),0)</f>
        <v>6.4842761846465296</v>
      </c>
      <c r="F18" s="21">
        <f>MAX((F5+F16),0)</f>
        <v>26.040116675733294</v>
      </c>
      <c r="G18" s="21"/>
      <c r="H18" s="21"/>
      <c r="I18" s="21"/>
      <c r="J18" s="21">
        <f>MAX((J5+J16),0)</f>
        <v>0.96860101477757676</v>
      </c>
      <c r="K18" s="21"/>
      <c r="L18" s="21">
        <f>MAX((L5+L16),0)</f>
        <v>0</v>
      </c>
      <c r="M18" s="21"/>
      <c r="N18" s="21">
        <f>MAX((N5+N16),0)</f>
        <v>6.7040153326088978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0.1956237598108265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23.372230366537028</v>
      </c>
      <c r="C22" s="23">
        <f ca="1">C18*C20</f>
        <v>0</v>
      </c>
      <c r="D22" s="23">
        <f>D18*D20</f>
        <v>0</v>
      </c>
      <c r="E22" s="23">
        <f>E18*E20</f>
        <v>1.4719306939147623</v>
      </c>
      <c r="F22" s="23">
        <f>F18*F20</f>
        <v>6.9527111524207896</v>
      </c>
      <c r="G22" s="23"/>
      <c r="H22" s="23"/>
      <c r="I22" s="23"/>
      <c r="J22" s="23">
        <f>J18*J20</f>
        <v>0.34288475923126216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0</v>
      </c>
      <c r="C31" s="39">
        <f>IF(ISERROR(B31*3.6/1000000/'E Balans VL '!Z19*100),0,B31*3.6/1000000/'E Balans VL '!Z19*100)</f>
        <v>0</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119.47541744999999</v>
      </c>
      <c r="C37" s="39">
        <f>IF(ISERROR(B37*3.6/1000000/'E Balans VL '!Z15*100),0,B37*3.6/1000000/'E Balans VL '!Z15*100)</f>
        <v>9.6457130807589325E-4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458.24361819200004</v>
      </c>
      <c r="C5" s="17">
        <f>'Eigen informatie GS &amp; warmtenet'!B60</f>
        <v>0</v>
      </c>
      <c r="D5" s="30">
        <f>IF(ISERROR(SUM(LB_lb_gas_kWh,LB_rest_gas_kWh)/1000),0,SUM(LB_lb_gas_kWh,LB_rest_gas_kWh)/1000)*0.902</f>
        <v>21.238655025676</v>
      </c>
      <c r="E5" s="17">
        <f>B17*'E Balans VL '!I25/3.6*1000000/100</f>
        <v>9.0782001692601284</v>
      </c>
      <c r="F5" s="17">
        <f>B17*('E Balans VL '!L25/3.6*1000000+'E Balans VL '!N25/3.6*1000000)/100</f>
        <v>1671.0852317269539</v>
      </c>
      <c r="G5" s="18"/>
      <c r="H5" s="17"/>
      <c r="I5" s="17"/>
      <c r="J5" s="17">
        <f>('E Balans VL '!D25+'E Balans VL '!E25)/3.6*1000000*landbouw!B17/100</f>
        <v>108.80549717656874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458.24361819200004</v>
      </c>
      <c r="C8" s="21">
        <f>C5+C6</f>
        <v>0</v>
      </c>
      <c r="D8" s="21">
        <f>MAX((D5+D6),0)</f>
        <v>21.238655025676</v>
      </c>
      <c r="E8" s="21">
        <f>MAX((E5+E6),0)</f>
        <v>9.0782001692601284</v>
      </c>
      <c r="F8" s="21">
        <f>MAX((F5+F6),0)</f>
        <v>1671.0852317269539</v>
      </c>
      <c r="G8" s="21"/>
      <c r="H8" s="21"/>
      <c r="I8" s="21"/>
      <c r="J8" s="21">
        <f>MAX((J5+J6),0)</f>
        <v>108.80549717656874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0.1956237598108265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89.643339500035893</v>
      </c>
      <c r="C12" s="23">
        <f ca="1">C8*C10</f>
        <v>0</v>
      </c>
      <c r="D12" s="23">
        <f>D8*D10</f>
        <v>4.2902083151865522</v>
      </c>
      <c r="E12" s="23">
        <f>E8*E10</f>
        <v>2.0607514384220491</v>
      </c>
      <c r="F12" s="23">
        <f>F8*F10</f>
        <v>446.17975687109674</v>
      </c>
      <c r="G12" s="23"/>
      <c r="H12" s="23"/>
      <c r="I12" s="23"/>
      <c r="J12" s="23">
        <f>J8*J10</f>
        <v>38.517146000505328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6.4615385502737918E-2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177.75243004946574</v>
      </c>
      <c r="C26" s="242">
        <f>B26*'GWP N2O_CH4'!B5</f>
        <v>3732.8010310387808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18.1705556260451</v>
      </c>
      <c r="C27" s="242">
        <f>B27*'GWP N2O_CH4'!B5</f>
        <v>381.5816681469471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2.932339012317545</v>
      </c>
      <c r="C28" s="242">
        <f>B28*'GWP N2O_CH4'!B4</f>
        <v>909.0250938184389</v>
      </c>
      <c r="D28" s="50"/>
    </row>
    <row r="29" spans="1:4">
      <c r="A29" s="41" t="s">
        <v>266</v>
      </c>
      <c r="B29" s="242">
        <f>B34*'ha_N2O bodem landbouw'!B4</f>
        <v>9.6848441981261075</v>
      </c>
      <c r="C29" s="242">
        <f>B29*'GWP N2O_CH4'!B4</f>
        <v>3002.3017014190932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2.1796162343215505E-3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9.0687707627782801E-6</v>
      </c>
      <c r="C5" s="427" t="s">
        <v>204</v>
      </c>
      <c r="D5" s="412">
        <f>SUM(D6:D11)</f>
        <v>1.6661783479218035E-5</v>
      </c>
      <c r="E5" s="412">
        <f>SUM(E6:E11)</f>
        <v>7.4295323306662169E-5</v>
      </c>
      <c r="F5" s="425" t="s">
        <v>204</v>
      </c>
      <c r="G5" s="412">
        <f>SUM(G6:G11)</f>
        <v>2.154028991150694E-2</v>
      </c>
      <c r="H5" s="412">
        <f>SUM(H6:H11)</f>
        <v>5.7117529817232822E-3</v>
      </c>
      <c r="I5" s="427" t="s">
        <v>204</v>
      </c>
      <c r="J5" s="427" t="s">
        <v>204</v>
      </c>
      <c r="K5" s="427" t="s">
        <v>204</v>
      </c>
      <c r="L5" s="427" t="s">
        <v>204</v>
      </c>
      <c r="M5" s="412">
        <f>SUM(M6:M11)</f>
        <v>8.4884082807556798E-4</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5.2465891854966086E-6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8.2672050573075469E-6</v>
      </c>
      <c r="E6" s="818">
        <f>vkm_GW_PW*SUMIFS(TableVerdeelsleutelVkm[LPG],TableVerdeelsleutelVkm[Voertuigtype],"Lichte voertuigen")*SUMIFS(TableECFTransport[EnergieConsumptieFactor (PJ per km)],TableECFTransport[Index],CONCATENATE($A6,"_LPG_LPG"))</f>
        <v>3.7737844641292768E-5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1.0189291498216861E-2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2.8771554543110291E-3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4.0678482300477581E-4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5.8729311857845077E-8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2.0243327084608865E-3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4.1126042906354331E-8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6.3685758277682274E-5</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3.7606657898584515E-6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8.3945784219104863E-6</v>
      </c>
      <c r="E8" s="415">
        <f>vkm_NGW_PW*SUMIFS(TableVerdeelsleutelVkm[LPG],TableVerdeelsleutelVkm[Voertuigtype],"Lichte voertuigen")*SUMIFS(TableECFTransport[EnergieConsumptieFactor (PJ per km)],TableECFTransport[Index],CONCATENATE($A8,"_LPG_LPG"))</f>
        <v>3.6557478665369408E-5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9.2031724330820745E-3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2.834554046137324E-3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3.7448513774028796E-4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2.7864755653748953E-9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1.2349327174711634E-4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2.3552320220587068E-9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3.8851090528219096E-6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2.5191029896606332</v>
      </c>
      <c r="C14" s="21"/>
      <c r="D14" s="21">
        <f t="shared" ref="D14:M14" si="0">((D5)*10^9/3600)+D12</f>
        <v>4.6282731886716766</v>
      </c>
      <c r="E14" s="21">
        <f t="shared" si="0"/>
        <v>20.637589807406162</v>
      </c>
      <c r="F14" s="21"/>
      <c r="G14" s="21">
        <f t="shared" si="0"/>
        <v>5983.413864307483</v>
      </c>
      <c r="H14" s="21">
        <f t="shared" si="0"/>
        <v>1586.5980504786896</v>
      </c>
      <c r="I14" s="21"/>
      <c r="J14" s="21"/>
      <c r="K14" s="21"/>
      <c r="L14" s="21"/>
      <c r="M14" s="21">
        <f t="shared" si="0"/>
        <v>235.78911890987999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0.1956237598108265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0.49279639818810667</v>
      </c>
      <c r="C18" s="23"/>
      <c r="D18" s="23">
        <f t="shared" ref="D18:M18" si="1">D14*D16</f>
        <v>0.93491118411167873</v>
      </c>
      <c r="E18" s="23">
        <f t="shared" si="1"/>
        <v>4.684732886281199</v>
      </c>
      <c r="F18" s="23"/>
      <c r="G18" s="23">
        <f t="shared" si="1"/>
        <v>1597.5715017700979</v>
      </c>
      <c r="H18" s="23">
        <f t="shared" si="1"/>
        <v>395.06291456919371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2.6237068715135421E-6</v>
      </c>
      <c r="C50" s="311">
        <f t="shared" ref="C50:P50" si="2">SUM(C51:C52)</f>
        <v>0</v>
      </c>
      <c r="D50" s="311">
        <f t="shared" si="2"/>
        <v>0</v>
      </c>
      <c r="E50" s="311">
        <f t="shared" si="2"/>
        <v>0</v>
      </c>
      <c r="F50" s="311">
        <f t="shared" si="2"/>
        <v>0</v>
      </c>
      <c r="G50" s="311">
        <f t="shared" si="2"/>
        <v>4.678124899263443E-4</v>
      </c>
      <c r="H50" s="311">
        <f t="shared" si="2"/>
        <v>0</v>
      </c>
      <c r="I50" s="311">
        <f t="shared" si="2"/>
        <v>0</v>
      </c>
      <c r="J50" s="311">
        <f t="shared" si="2"/>
        <v>0</v>
      </c>
      <c r="K50" s="311">
        <f t="shared" si="2"/>
        <v>0</v>
      </c>
      <c r="L50" s="311">
        <f t="shared" si="2"/>
        <v>0</v>
      </c>
      <c r="M50" s="311">
        <f t="shared" si="2"/>
        <v>1.4603293333336195E-5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2.6237068715135421E-6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4.678124899263443E-4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1.4603293333336195E-5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0.7288074643093172</v>
      </c>
      <c r="C54" s="21">
        <f t="shared" ref="C54:P54" si="3">(C50)*10^9/3600</f>
        <v>0</v>
      </c>
      <c r="D54" s="21">
        <f t="shared" si="3"/>
        <v>0</v>
      </c>
      <c r="E54" s="21">
        <f t="shared" si="3"/>
        <v>0</v>
      </c>
      <c r="F54" s="21">
        <f t="shared" si="3"/>
        <v>0</v>
      </c>
      <c r="G54" s="21">
        <f t="shared" si="3"/>
        <v>129.94791386842897</v>
      </c>
      <c r="H54" s="21">
        <f t="shared" si="3"/>
        <v>0</v>
      </c>
      <c r="I54" s="21">
        <f t="shared" si="3"/>
        <v>0</v>
      </c>
      <c r="J54" s="21">
        <f t="shared" si="3"/>
        <v>0</v>
      </c>
      <c r="K54" s="21">
        <f t="shared" si="3"/>
        <v>0</v>
      </c>
      <c r="L54" s="21">
        <f t="shared" si="3"/>
        <v>0</v>
      </c>
      <c r="M54" s="21">
        <f t="shared" si="3"/>
        <v>4.0564703703711649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0.1956237598108265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0.14257205634638337</v>
      </c>
      <c r="C58" s="23">
        <f t="shared" ref="C58:P58" ca="1" si="4">C54*C56</f>
        <v>0</v>
      </c>
      <c r="D58" s="23">
        <f t="shared" si="4"/>
        <v>0</v>
      </c>
      <c r="E58" s="23">
        <f t="shared" si="4"/>
        <v>0</v>
      </c>
      <c r="F58" s="23">
        <f t="shared" si="4"/>
        <v>0</v>
      </c>
      <c r="G58" s="23">
        <f t="shared" si="4"/>
        <v>34.696093002870533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668.8671966997764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668.8671966997764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894.09554511500005</v>
      </c>
      <c r="D10" s="930">
        <f ca="1">tertiair!C16</f>
        <v>0</v>
      </c>
      <c r="E10" s="930">
        <f ca="1">tertiair!D16</f>
        <v>799.13143282060014</v>
      </c>
      <c r="F10" s="930">
        <f>tertiair!E16</f>
        <v>9.5128668954394335</v>
      </c>
      <c r="G10" s="930">
        <f ca="1">tertiair!F16</f>
        <v>164.44884854354598</v>
      </c>
      <c r="H10" s="930">
        <f>tertiair!G16</f>
        <v>0</v>
      </c>
      <c r="I10" s="930">
        <f>tertiair!H16</f>
        <v>0</v>
      </c>
      <c r="J10" s="930">
        <f>tertiair!I16</f>
        <v>0</v>
      </c>
      <c r="K10" s="930">
        <f>tertiair!J16</f>
        <v>1.4631580158889471E-3</v>
      </c>
      <c r="L10" s="930">
        <f>tertiair!K16</f>
        <v>0</v>
      </c>
      <c r="M10" s="930">
        <f ca="1">tertiair!L16</f>
        <v>0</v>
      </c>
      <c r="N10" s="930">
        <f>tertiair!M16</f>
        <v>0</v>
      </c>
      <c r="O10" s="930">
        <f ca="1">tertiair!N16</f>
        <v>52.025277336482546</v>
      </c>
      <c r="P10" s="930">
        <f>tertiair!O16</f>
        <v>0</v>
      </c>
      <c r="Q10" s="931">
        <f>tertiair!P16</f>
        <v>0</v>
      </c>
      <c r="R10" s="628">
        <f ca="1">SUM(C10:Q10)</f>
        <v>1919.2154338690839</v>
      </c>
      <c r="S10" s="67"/>
    </row>
    <row r="11" spans="1:19" s="437" customFormat="1">
      <c r="A11" s="736" t="s">
        <v>214</v>
      </c>
      <c r="B11" s="741"/>
      <c r="C11" s="930">
        <f>huishoudens!B8</f>
        <v>4124.8823795259586</v>
      </c>
      <c r="D11" s="930">
        <f>huishoudens!C8</f>
        <v>0</v>
      </c>
      <c r="E11" s="930">
        <f>huishoudens!D8</f>
        <v>2017.8145587005997</v>
      </c>
      <c r="F11" s="930">
        <f>huishoudens!E8</f>
        <v>385.01410707731196</v>
      </c>
      <c r="G11" s="930">
        <f>huishoudens!F8</f>
        <v>10467.771485426496</v>
      </c>
      <c r="H11" s="930">
        <f>huishoudens!G8</f>
        <v>0</v>
      </c>
      <c r="I11" s="930">
        <f>huishoudens!H8</f>
        <v>0</v>
      </c>
      <c r="J11" s="930">
        <f>huishoudens!I8</f>
        <v>0</v>
      </c>
      <c r="K11" s="930">
        <f>huishoudens!J8</f>
        <v>193.04440293673392</v>
      </c>
      <c r="L11" s="930">
        <f>huishoudens!K8</f>
        <v>0</v>
      </c>
      <c r="M11" s="930">
        <f>huishoudens!L8</f>
        <v>0</v>
      </c>
      <c r="N11" s="930">
        <f>huishoudens!M8</f>
        <v>0</v>
      </c>
      <c r="O11" s="930">
        <f>huishoudens!N8</f>
        <v>1302.7803150199663</v>
      </c>
      <c r="P11" s="930">
        <f>huishoudens!O8</f>
        <v>35.956666666666671</v>
      </c>
      <c r="Q11" s="931">
        <f>huishoudens!P8</f>
        <v>133.46666666666667</v>
      </c>
      <c r="R11" s="628">
        <f>SUM(C11:Q11)</f>
        <v>18660.730582020398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119.47541744999999</v>
      </c>
      <c r="D13" s="930">
        <f>industrie!C18</f>
        <v>0</v>
      </c>
      <c r="E13" s="930">
        <f>industrie!D18</f>
        <v>0</v>
      </c>
      <c r="F13" s="930">
        <f>industrie!E18</f>
        <v>6.4842761846465296</v>
      </c>
      <c r="G13" s="930">
        <f>industrie!F18</f>
        <v>26.040116675733294</v>
      </c>
      <c r="H13" s="930">
        <f>industrie!G18</f>
        <v>0</v>
      </c>
      <c r="I13" s="930">
        <f>industrie!H18</f>
        <v>0</v>
      </c>
      <c r="J13" s="930">
        <f>industrie!I18</f>
        <v>0</v>
      </c>
      <c r="K13" s="930">
        <f>industrie!J18</f>
        <v>0.96860101477757676</v>
      </c>
      <c r="L13" s="930">
        <f>industrie!K18</f>
        <v>0</v>
      </c>
      <c r="M13" s="930">
        <f>industrie!L18</f>
        <v>0</v>
      </c>
      <c r="N13" s="930">
        <f>industrie!M18</f>
        <v>0</v>
      </c>
      <c r="O13" s="930">
        <f>industrie!N18</f>
        <v>6.7040153326088978</v>
      </c>
      <c r="P13" s="930">
        <f>industrie!O18</f>
        <v>0</v>
      </c>
      <c r="Q13" s="931">
        <f>industrie!P18</f>
        <v>0</v>
      </c>
      <c r="R13" s="628">
        <f>SUM(C13:Q13)</f>
        <v>159.67242665776629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5138.4533420909593</v>
      </c>
      <c r="D16" s="660">
        <f t="shared" ref="D16:R16" ca="1" si="0">SUM(D9:D15)</f>
        <v>0</v>
      </c>
      <c r="E16" s="660">
        <f t="shared" ca="1" si="0"/>
        <v>2816.9459915212001</v>
      </c>
      <c r="F16" s="660">
        <f t="shared" si="0"/>
        <v>401.01125015739797</v>
      </c>
      <c r="G16" s="660">
        <f t="shared" ca="1" si="0"/>
        <v>10658.260450645776</v>
      </c>
      <c r="H16" s="660">
        <f t="shared" si="0"/>
        <v>0</v>
      </c>
      <c r="I16" s="660">
        <f t="shared" si="0"/>
        <v>0</v>
      </c>
      <c r="J16" s="660">
        <f t="shared" si="0"/>
        <v>0</v>
      </c>
      <c r="K16" s="660">
        <f t="shared" si="0"/>
        <v>194.0144671095274</v>
      </c>
      <c r="L16" s="660">
        <f t="shared" si="0"/>
        <v>0</v>
      </c>
      <c r="M16" s="660">
        <f t="shared" ca="1" si="0"/>
        <v>0</v>
      </c>
      <c r="N16" s="660">
        <f t="shared" si="0"/>
        <v>0</v>
      </c>
      <c r="O16" s="660">
        <f t="shared" ca="1" si="0"/>
        <v>1361.5096076890577</v>
      </c>
      <c r="P16" s="660">
        <f t="shared" si="0"/>
        <v>35.956666666666671</v>
      </c>
      <c r="Q16" s="660">
        <f t="shared" si="0"/>
        <v>133.46666666666667</v>
      </c>
      <c r="R16" s="660">
        <f t="shared" ca="1" si="0"/>
        <v>20739.618442547249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0.7288074643093172</v>
      </c>
      <c r="D19" s="930">
        <f>transport!C54</f>
        <v>0</v>
      </c>
      <c r="E19" s="930">
        <f>transport!D54</f>
        <v>0</v>
      </c>
      <c r="F19" s="930">
        <f>transport!E54</f>
        <v>0</v>
      </c>
      <c r="G19" s="930">
        <f>transport!F54</f>
        <v>0</v>
      </c>
      <c r="H19" s="930">
        <f>transport!G54</f>
        <v>129.94791386842897</v>
      </c>
      <c r="I19" s="930">
        <f>transport!H54</f>
        <v>0</v>
      </c>
      <c r="J19" s="930">
        <f>transport!I54</f>
        <v>0</v>
      </c>
      <c r="K19" s="930">
        <f>transport!J54</f>
        <v>0</v>
      </c>
      <c r="L19" s="930">
        <f>transport!K54</f>
        <v>0</v>
      </c>
      <c r="M19" s="930">
        <f>transport!L54</f>
        <v>0</v>
      </c>
      <c r="N19" s="930">
        <f>transport!M54</f>
        <v>4.0564703703711649</v>
      </c>
      <c r="O19" s="930">
        <f>transport!N54</f>
        <v>0</v>
      </c>
      <c r="P19" s="930">
        <f>transport!O54</f>
        <v>0</v>
      </c>
      <c r="Q19" s="931">
        <f>transport!P54</f>
        <v>0</v>
      </c>
      <c r="R19" s="628">
        <f>SUM(C19:Q19)</f>
        <v>134.73319170310944</v>
      </c>
      <c r="S19" s="67"/>
    </row>
    <row r="20" spans="1:19" s="437" customFormat="1">
      <c r="A20" s="736" t="s">
        <v>296</v>
      </c>
      <c r="B20" s="741"/>
      <c r="C20" s="930">
        <f>transport!B14</f>
        <v>2.5191029896606332</v>
      </c>
      <c r="D20" s="930">
        <f>transport!C14</f>
        <v>0</v>
      </c>
      <c r="E20" s="930">
        <f>transport!D14</f>
        <v>4.6282731886716766</v>
      </c>
      <c r="F20" s="930">
        <f>transport!E14</f>
        <v>20.637589807406162</v>
      </c>
      <c r="G20" s="930">
        <f>transport!F14</f>
        <v>0</v>
      </c>
      <c r="H20" s="930">
        <f>transport!G14</f>
        <v>5983.413864307483</v>
      </c>
      <c r="I20" s="930">
        <f>transport!H14</f>
        <v>1586.5980504786896</v>
      </c>
      <c r="J20" s="930">
        <f>transport!I14</f>
        <v>0</v>
      </c>
      <c r="K20" s="930">
        <f>transport!J14</f>
        <v>0</v>
      </c>
      <c r="L20" s="930">
        <f>transport!K14</f>
        <v>0</v>
      </c>
      <c r="M20" s="930">
        <f>transport!L14</f>
        <v>0</v>
      </c>
      <c r="N20" s="930">
        <f>transport!M14</f>
        <v>235.78911890987999</v>
      </c>
      <c r="O20" s="930">
        <f>transport!N14</f>
        <v>0</v>
      </c>
      <c r="P20" s="930">
        <f>transport!O14</f>
        <v>0</v>
      </c>
      <c r="Q20" s="931">
        <f>transport!P14</f>
        <v>0</v>
      </c>
      <c r="R20" s="628">
        <f>SUM(C20:Q20)</f>
        <v>7833.5859996817908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3.2479104539699506</v>
      </c>
      <c r="D22" s="739">
        <f t="shared" ref="D22:R22" si="1">SUM(D18:D21)</f>
        <v>0</v>
      </c>
      <c r="E22" s="739">
        <f t="shared" si="1"/>
        <v>4.6282731886716766</v>
      </c>
      <c r="F22" s="739">
        <f t="shared" si="1"/>
        <v>20.637589807406162</v>
      </c>
      <c r="G22" s="739">
        <f t="shared" si="1"/>
        <v>0</v>
      </c>
      <c r="H22" s="739">
        <f t="shared" si="1"/>
        <v>6113.3617781759121</v>
      </c>
      <c r="I22" s="739">
        <f t="shared" si="1"/>
        <v>1586.5980504786896</v>
      </c>
      <c r="J22" s="739">
        <f t="shared" si="1"/>
        <v>0</v>
      </c>
      <c r="K22" s="739">
        <f t="shared" si="1"/>
        <v>0</v>
      </c>
      <c r="L22" s="739">
        <f t="shared" si="1"/>
        <v>0</v>
      </c>
      <c r="M22" s="739">
        <f t="shared" si="1"/>
        <v>0</v>
      </c>
      <c r="N22" s="739">
        <f t="shared" si="1"/>
        <v>239.84558928025115</v>
      </c>
      <c r="O22" s="739">
        <f t="shared" si="1"/>
        <v>0</v>
      </c>
      <c r="P22" s="739">
        <f t="shared" si="1"/>
        <v>0</v>
      </c>
      <c r="Q22" s="739">
        <f t="shared" si="1"/>
        <v>0</v>
      </c>
      <c r="R22" s="739">
        <f t="shared" si="1"/>
        <v>7968.3191913849005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458.24361819200004</v>
      </c>
      <c r="D24" s="930">
        <f>+landbouw!C8</f>
        <v>0</v>
      </c>
      <c r="E24" s="930">
        <f>+landbouw!D8</f>
        <v>21.238655025676</v>
      </c>
      <c r="F24" s="930">
        <f>+landbouw!E8</f>
        <v>9.0782001692601284</v>
      </c>
      <c r="G24" s="930">
        <f>+landbouw!F8</f>
        <v>1671.0852317269539</v>
      </c>
      <c r="H24" s="930">
        <f>+landbouw!G8</f>
        <v>0</v>
      </c>
      <c r="I24" s="930">
        <f>+landbouw!H8</f>
        <v>0</v>
      </c>
      <c r="J24" s="930">
        <f>+landbouw!I8</f>
        <v>0</v>
      </c>
      <c r="K24" s="930">
        <f>+landbouw!J8</f>
        <v>108.80549717656874</v>
      </c>
      <c r="L24" s="930">
        <f>+landbouw!K8</f>
        <v>0</v>
      </c>
      <c r="M24" s="930">
        <f>+landbouw!L8</f>
        <v>0</v>
      </c>
      <c r="N24" s="930">
        <f>+landbouw!M8</f>
        <v>0</v>
      </c>
      <c r="O24" s="930">
        <f>+landbouw!N8</f>
        <v>0</v>
      </c>
      <c r="P24" s="930">
        <f>+landbouw!O8</f>
        <v>0</v>
      </c>
      <c r="Q24" s="931">
        <f>+landbouw!P8</f>
        <v>0</v>
      </c>
      <c r="R24" s="628">
        <f>SUM(C24:Q24)</f>
        <v>2268.4512022904587</v>
      </c>
      <c r="S24" s="67"/>
    </row>
    <row r="25" spans="1:19" s="437" customFormat="1" ht="15" thickBot="1">
      <c r="A25" s="758" t="s">
        <v>788</v>
      </c>
      <c r="B25" s="933"/>
      <c r="C25" s="934">
        <f>IF(Onbekend_ele_kWh="---",0,Onbekend_ele_kWh)/1000+IF(REST_rest_ele_kWh="---",0,REST_rest_ele_kWh)/1000</f>
        <v>225.17537437000001</v>
      </c>
      <c r="D25" s="934"/>
      <c r="E25" s="934">
        <f>IF(onbekend_gas_kWh="---",0,onbekend_gas_kWh)/1000+IF(REST_rest_gas_kWh="---",0,REST_rest_gas_kWh)/1000</f>
        <v>39.653185767000004</v>
      </c>
      <c r="F25" s="934"/>
      <c r="G25" s="934"/>
      <c r="H25" s="934"/>
      <c r="I25" s="934"/>
      <c r="J25" s="934"/>
      <c r="K25" s="934"/>
      <c r="L25" s="934"/>
      <c r="M25" s="934"/>
      <c r="N25" s="934"/>
      <c r="O25" s="934"/>
      <c r="P25" s="934"/>
      <c r="Q25" s="935"/>
      <c r="R25" s="628">
        <f>SUM(C25:Q25)</f>
        <v>264.82856013700001</v>
      </c>
      <c r="S25" s="67"/>
    </row>
    <row r="26" spans="1:19" s="437" customFormat="1" ht="15.75" thickBot="1">
      <c r="A26" s="633" t="s">
        <v>789</v>
      </c>
      <c r="B26" s="744"/>
      <c r="C26" s="739">
        <f>SUM(C24:C25)</f>
        <v>683.41899256200008</v>
      </c>
      <c r="D26" s="739">
        <f t="shared" ref="D26:R26" si="2">SUM(D24:D25)</f>
        <v>0</v>
      </c>
      <c r="E26" s="739">
        <f t="shared" si="2"/>
        <v>60.891840792676007</v>
      </c>
      <c r="F26" s="739">
        <f t="shared" si="2"/>
        <v>9.0782001692601284</v>
      </c>
      <c r="G26" s="739">
        <f t="shared" si="2"/>
        <v>1671.0852317269539</v>
      </c>
      <c r="H26" s="739">
        <f t="shared" si="2"/>
        <v>0</v>
      </c>
      <c r="I26" s="739">
        <f t="shared" si="2"/>
        <v>0</v>
      </c>
      <c r="J26" s="739">
        <f t="shared" si="2"/>
        <v>0</v>
      </c>
      <c r="K26" s="739">
        <f t="shared" si="2"/>
        <v>108.80549717656874</v>
      </c>
      <c r="L26" s="739">
        <f t="shared" si="2"/>
        <v>0</v>
      </c>
      <c r="M26" s="739">
        <f t="shared" si="2"/>
        <v>0</v>
      </c>
      <c r="N26" s="739">
        <f t="shared" si="2"/>
        <v>0</v>
      </c>
      <c r="O26" s="739">
        <f t="shared" si="2"/>
        <v>0</v>
      </c>
      <c r="P26" s="739">
        <f t="shared" si="2"/>
        <v>0</v>
      </c>
      <c r="Q26" s="739">
        <f t="shared" si="2"/>
        <v>0</v>
      </c>
      <c r="R26" s="739">
        <f t="shared" si="2"/>
        <v>2533.2797624274585</v>
      </c>
      <c r="S26" s="67"/>
    </row>
    <row r="27" spans="1:19" s="437" customFormat="1" ht="17.25" thickTop="1" thickBot="1">
      <c r="A27" s="634" t="s">
        <v>109</v>
      </c>
      <c r="B27" s="732"/>
      <c r="C27" s="635">
        <f ca="1">C22+C16+C26</f>
        <v>5825.1202451069294</v>
      </c>
      <c r="D27" s="635">
        <f t="shared" ref="D27:R27" ca="1" si="3">D22+D16+D26</f>
        <v>0</v>
      </c>
      <c r="E27" s="635">
        <f t="shared" ca="1" si="3"/>
        <v>2882.4661055025476</v>
      </c>
      <c r="F27" s="635">
        <f t="shared" si="3"/>
        <v>430.72704013406428</v>
      </c>
      <c r="G27" s="635">
        <f t="shared" ca="1" si="3"/>
        <v>12329.34568237273</v>
      </c>
      <c r="H27" s="635">
        <f t="shared" si="3"/>
        <v>6113.3617781759121</v>
      </c>
      <c r="I27" s="635">
        <f t="shared" si="3"/>
        <v>1586.5980504786896</v>
      </c>
      <c r="J27" s="635">
        <f t="shared" si="3"/>
        <v>0</v>
      </c>
      <c r="K27" s="635">
        <f t="shared" si="3"/>
        <v>302.81996428609614</v>
      </c>
      <c r="L27" s="635">
        <f t="shared" si="3"/>
        <v>0</v>
      </c>
      <c r="M27" s="635">
        <f t="shared" ca="1" si="3"/>
        <v>0</v>
      </c>
      <c r="N27" s="635">
        <f t="shared" si="3"/>
        <v>239.84558928025115</v>
      </c>
      <c r="O27" s="635">
        <f t="shared" ca="1" si="3"/>
        <v>1361.5096076890577</v>
      </c>
      <c r="P27" s="635">
        <f t="shared" si="3"/>
        <v>35.956666666666671</v>
      </c>
      <c r="Q27" s="635">
        <f t="shared" si="3"/>
        <v>133.46666666666667</v>
      </c>
      <c r="R27" s="635">
        <f t="shared" ca="1" si="3"/>
        <v>31241.217396359607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174.90633216550674</v>
      </c>
      <c r="D40" s="930">
        <f ca="1">tertiair!C20</f>
        <v>0</v>
      </c>
      <c r="E40" s="930">
        <f ca="1">tertiair!D20</f>
        <v>161.42454942976124</v>
      </c>
      <c r="F40" s="930">
        <f>tertiair!E20</f>
        <v>2.1594207852647513</v>
      </c>
      <c r="G40" s="930">
        <f ca="1">tertiair!F20</f>
        <v>43.907842561126778</v>
      </c>
      <c r="H40" s="930">
        <f>tertiair!G20</f>
        <v>0</v>
      </c>
      <c r="I40" s="930">
        <f>tertiair!H20</f>
        <v>0</v>
      </c>
      <c r="J40" s="930">
        <f>tertiair!I20</f>
        <v>0</v>
      </c>
      <c r="K40" s="930">
        <f>tertiair!J20</f>
        <v>5.1795793762468719E-4</v>
      </c>
      <c r="L40" s="930">
        <f>tertiair!K20</f>
        <v>0</v>
      </c>
      <c r="M40" s="930">
        <f ca="1">tertiair!L20</f>
        <v>0</v>
      </c>
      <c r="N40" s="930">
        <f>tertiair!M20</f>
        <v>0</v>
      </c>
      <c r="O40" s="930">
        <f ca="1">tertiair!N20</f>
        <v>0</v>
      </c>
      <c r="P40" s="930">
        <f>tertiair!O20</f>
        <v>0</v>
      </c>
      <c r="Q40" s="702">
        <f>tertiair!P20</f>
        <v>0</v>
      </c>
      <c r="R40" s="777">
        <f t="shared" ca="1" si="4"/>
        <v>382.39866289959713</v>
      </c>
    </row>
    <row r="41" spans="1:18">
      <c r="A41" s="749" t="s">
        <v>214</v>
      </c>
      <c r="B41" s="756"/>
      <c r="C41" s="930">
        <f ca="1">huishoudens!B12</f>
        <v>806.92499986029657</v>
      </c>
      <c r="D41" s="930">
        <f ca="1">huishoudens!C12</f>
        <v>0</v>
      </c>
      <c r="E41" s="930">
        <f>huishoudens!D12</f>
        <v>407.59854085752119</v>
      </c>
      <c r="F41" s="930">
        <f>huishoudens!E12</f>
        <v>87.39820230654982</v>
      </c>
      <c r="G41" s="930">
        <f>huishoudens!F12</f>
        <v>2794.8949866088747</v>
      </c>
      <c r="H41" s="930">
        <f>huishoudens!G12</f>
        <v>0</v>
      </c>
      <c r="I41" s="930">
        <f>huishoudens!H12</f>
        <v>0</v>
      </c>
      <c r="J41" s="930">
        <f>huishoudens!I12</f>
        <v>0</v>
      </c>
      <c r="K41" s="930">
        <f>huishoudens!J12</f>
        <v>68.337718639603807</v>
      </c>
      <c r="L41" s="930">
        <f>huishoudens!K12</f>
        <v>0</v>
      </c>
      <c r="M41" s="930">
        <f>huishoudens!L12</f>
        <v>0</v>
      </c>
      <c r="N41" s="930">
        <f>huishoudens!M12</f>
        <v>0</v>
      </c>
      <c r="O41" s="930">
        <f>huishoudens!N12</f>
        <v>0</v>
      </c>
      <c r="P41" s="930">
        <f>huishoudens!O12</f>
        <v>0</v>
      </c>
      <c r="Q41" s="702">
        <f>huishoudens!P12</f>
        <v>0</v>
      </c>
      <c r="R41" s="777">
        <f t="shared" ca="1" si="4"/>
        <v>4165.1544482728459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23.372230366537028</v>
      </c>
      <c r="D43" s="930">
        <f ca="1">industrie!C22</f>
        <v>0</v>
      </c>
      <c r="E43" s="930">
        <f>industrie!D22</f>
        <v>0</v>
      </c>
      <c r="F43" s="930">
        <f>industrie!E22</f>
        <v>1.4719306939147623</v>
      </c>
      <c r="G43" s="930">
        <f>industrie!F22</f>
        <v>6.9527111524207896</v>
      </c>
      <c r="H43" s="930">
        <f>industrie!G22</f>
        <v>0</v>
      </c>
      <c r="I43" s="930">
        <f>industrie!H22</f>
        <v>0</v>
      </c>
      <c r="J43" s="930">
        <f>industrie!I22</f>
        <v>0</v>
      </c>
      <c r="K43" s="930">
        <f>industrie!J22</f>
        <v>0.34288475923126216</v>
      </c>
      <c r="L43" s="930">
        <f>industrie!K22</f>
        <v>0</v>
      </c>
      <c r="M43" s="930">
        <f>industrie!L22</f>
        <v>0</v>
      </c>
      <c r="N43" s="930">
        <f>industrie!M22</f>
        <v>0</v>
      </c>
      <c r="O43" s="930">
        <f>industrie!N22</f>
        <v>0</v>
      </c>
      <c r="P43" s="930">
        <f>industrie!O22</f>
        <v>0</v>
      </c>
      <c r="Q43" s="702">
        <f>industrie!P22</f>
        <v>0</v>
      </c>
      <c r="R43" s="776">
        <f t="shared" ca="1" si="4"/>
        <v>32.139756972103839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1005.2035623923402</v>
      </c>
      <c r="D46" s="660">
        <f t="shared" ref="D46:Q46" ca="1" si="5">SUM(D39:D45)</f>
        <v>0</v>
      </c>
      <c r="E46" s="660">
        <f t="shared" ca="1" si="5"/>
        <v>569.02309028728246</v>
      </c>
      <c r="F46" s="660">
        <f t="shared" si="5"/>
        <v>91.029553785729334</v>
      </c>
      <c r="G46" s="660">
        <f t="shared" ca="1" si="5"/>
        <v>2845.7555403224223</v>
      </c>
      <c r="H46" s="660">
        <f t="shared" si="5"/>
        <v>0</v>
      </c>
      <c r="I46" s="660">
        <f t="shared" si="5"/>
        <v>0</v>
      </c>
      <c r="J46" s="660">
        <f t="shared" si="5"/>
        <v>0</v>
      </c>
      <c r="K46" s="660">
        <f t="shared" si="5"/>
        <v>68.681121356772707</v>
      </c>
      <c r="L46" s="660">
        <f t="shared" si="5"/>
        <v>0</v>
      </c>
      <c r="M46" s="660">
        <f t="shared" ca="1" si="5"/>
        <v>0</v>
      </c>
      <c r="N46" s="660">
        <f t="shared" si="5"/>
        <v>0</v>
      </c>
      <c r="O46" s="660">
        <f t="shared" ca="1" si="5"/>
        <v>0</v>
      </c>
      <c r="P46" s="660">
        <f t="shared" si="5"/>
        <v>0</v>
      </c>
      <c r="Q46" s="660">
        <f t="shared" si="5"/>
        <v>0</v>
      </c>
      <c r="R46" s="660">
        <f ca="1">SUM(R39:R45)</f>
        <v>4579.692868144547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0.14257205634638337</v>
      </c>
      <c r="D49" s="930">
        <f ca="1">transport!C58</f>
        <v>0</v>
      </c>
      <c r="E49" s="930">
        <f>transport!D58</f>
        <v>0</v>
      </c>
      <c r="F49" s="930">
        <f>transport!E58</f>
        <v>0</v>
      </c>
      <c r="G49" s="930">
        <f>transport!F58</f>
        <v>0</v>
      </c>
      <c r="H49" s="930">
        <f>transport!G58</f>
        <v>34.696093002870533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34.838665059216915</v>
      </c>
    </row>
    <row r="50" spans="1:18">
      <c r="A50" s="752" t="s">
        <v>296</v>
      </c>
      <c r="B50" s="762"/>
      <c r="C50" s="631">
        <f ca="1">transport!B18</f>
        <v>0.49279639818810667</v>
      </c>
      <c r="D50" s="631">
        <f>transport!C18</f>
        <v>0</v>
      </c>
      <c r="E50" s="631">
        <f>transport!D18</f>
        <v>0.93491118411167873</v>
      </c>
      <c r="F50" s="631">
        <f>transport!E18</f>
        <v>4.684732886281199</v>
      </c>
      <c r="G50" s="631">
        <f>transport!F18</f>
        <v>0</v>
      </c>
      <c r="H50" s="631">
        <f>transport!G18</f>
        <v>1597.5715017700979</v>
      </c>
      <c r="I50" s="631">
        <f>transport!H18</f>
        <v>395.06291456919371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1998.7468568078725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0.63536845453448998</v>
      </c>
      <c r="D52" s="660">
        <f t="shared" ref="D52:Q52" ca="1" si="6">SUM(D48:D51)</f>
        <v>0</v>
      </c>
      <c r="E52" s="660">
        <f t="shared" si="6"/>
        <v>0.93491118411167873</v>
      </c>
      <c r="F52" s="660">
        <f t="shared" si="6"/>
        <v>4.684732886281199</v>
      </c>
      <c r="G52" s="660">
        <f t="shared" si="6"/>
        <v>0</v>
      </c>
      <c r="H52" s="660">
        <f t="shared" si="6"/>
        <v>1632.2675947729686</v>
      </c>
      <c r="I52" s="660">
        <f t="shared" si="6"/>
        <v>395.06291456919371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2033.5855218670895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89.643339500035893</v>
      </c>
      <c r="D54" s="631">
        <f ca="1">+landbouw!C12</f>
        <v>0</v>
      </c>
      <c r="E54" s="631">
        <f>+landbouw!D12</f>
        <v>4.2902083151865522</v>
      </c>
      <c r="F54" s="631">
        <f>+landbouw!E12</f>
        <v>2.0607514384220491</v>
      </c>
      <c r="G54" s="631">
        <f>+landbouw!F12</f>
        <v>446.17975687109674</v>
      </c>
      <c r="H54" s="631">
        <f>+landbouw!G12</f>
        <v>0</v>
      </c>
      <c r="I54" s="631">
        <f>+landbouw!H12</f>
        <v>0</v>
      </c>
      <c r="J54" s="631">
        <f>+landbouw!I12</f>
        <v>0</v>
      </c>
      <c r="K54" s="631">
        <f>+landbouw!J12</f>
        <v>38.517146000505328</v>
      </c>
      <c r="L54" s="631">
        <f>+landbouw!K12</f>
        <v>0</v>
      </c>
      <c r="M54" s="631">
        <f>+landbouw!L12</f>
        <v>0</v>
      </c>
      <c r="N54" s="631">
        <f>+landbouw!M12</f>
        <v>0</v>
      </c>
      <c r="O54" s="631">
        <f>+landbouw!N12</f>
        <v>0</v>
      </c>
      <c r="P54" s="631">
        <f>+landbouw!O12</f>
        <v>0</v>
      </c>
      <c r="Q54" s="632">
        <f>+landbouw!P12</f>
        <v>0</v>
      </c>
      <c r="R54" s="659">
        <f ca="1">SUM(C54:Q54)</f>
        <v>580.6912021252466</v>
      </c>
    </row>
    <row r="55" spans="1:18" ht="15" thickBot="1">
      <c r="A55" s="752" t="s">
        <v>788</v>
      </c>
      <c r="B55" s="762"/>
      <c r="C55" s="631">
        <f ca="1">C25*'EF ele_warmte'!B12</f>
        <v>44.049653351069821</v>
      </c>
      <c r="D55" s="631"/>
      <c r="E55" s="631">
        <f>E25*EF_CO2_aardgas</f>
        <v>8.0099435249340019</v>
      </c>
      <c r="F55" s="631"/>
      <c r="G55" s="631"/>
      <c r="H55" s="631"/>
      <c r="I55" s="631"/>
      <c r="J55" s="631"/>
      <c r="K55" s="631"/>
      <c r="L55" s="631"/>
      <c r="M55" s="631"/>
      <c r="N55" s="631"/>
      <c r="O55" s="631"/>
      <c r="P55" s="631"/>
      <c r="Q55" s="632"/>
      <c r="R55" s="659">
        <f ca="1">SUM(C55:Q55)</f>
        <v>52.059596876003823</v>
      </c>
    </row>
    <row r="56" spans="1:18" ht="15.75" thickBot="1">
      <c r="A56" s="750" t="s">
        <v>789</v>
      </c>
      <c r="B56" s="763"/>
      <c r="C56" s="660">
        <f ca="1">SUM(C54:C55)</f>
        <v>133.69299285110571</v>
      </c>
      <c r="D56" s="660">
        <f t="shared" ref="D56:Q56" ca="1" si="7">SUM(D54:D55)</f>
        <v>0</v>
      </c>
      <c r="E56" s="660">
        <f t="shared" si="7"/>
        <v>12.300151840120554</v>
      </c>
      <c r="F56" s="660">
        <f t="shared" si="7"/>
        <v>2.0607514384220491</v>
      </c>
      <c r="G56" s="660">
        <f t="shared" si="7"/>
        <v>446.17975687109674</v>
      </c>
      <c r="H56" s="660">
        <f t="shared" si="7"/>
        <v>0</v>
      </c>
      <c r="I56" s="660">
        <f t="shared" si="7"/>
        <v>0</v>
      </c>
      <c r="J56" s="660">
        <f t="shared" si="7"/>
        <v>0</v>
      </c>
      <c r="K56" s="660">
        <f t="shared" si="7"/>
        <v>38.517146000505328</v>
      </c>
      <c r="L56" s="660">
        <f t="shared" si="7"/>
        <v>0</v>
      </c>
      <c r="M56" s="660">
        <f t="shared" si="7"/>
        <v>0</v>
      </c>
      <c r="N56" s="660">
        <f t="shared" si="7"/>
        <v>0</v>
      </c>
      <c r="O56" s="660">
        <f t="shared" si="7"/>
        <v>0</v>
      </c>
      <c r="P56" s="660">
        <f t="shared" si="7"/>
        <v>0</v>
      </c>
      <c r="Q56" s="661">
        <f t="shared" si="7"/>
        <v>0</v>
      </c>
      <c r="R56" s="662">
        <f ca="1">SUM(R54:R55)</f>
        <v>632.75079900125047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1139.5319236979803</v>
      </c>
      <c r="D61" s="668">
        <f t="shared" ref="D61:Q61" ca="1" si="8">D46+D52+D56</f>
        <v>0</v>
      </c>
      <c r="E61" s="668">
        <f t="shared" ca="1" si="8"/>
        <v>582.25815331151466</v>
      </c>
      <c r="F61" s="668">
        <f t="shared" si="8"/>
        <v>97.775038110432575</v>
      </c>
      <c r="G61" s="668">
        <f t="shared" ca="1" si="8"/>
        <v>3291.9352971935191</v>
      </c>
      <c r="H61" s="668">
        <f t="shared" si="8"/>
        <v>1632.2675947729686</v>
      </c>
      <c r="I61" s="668">
        <f t="shared" si="8"/>
        <v>395.06291456919371</v>
      </c>
      <c r="J61" s="668">
        <f t="shared" si="8"/>
        <v>0</v>
      </c>
      <c r="K61" s="668">
        <f t="shared" si="8"/>
        <v>107.19826735727804</v>
      </c>
      <c r="L61" s="668">
        <f t="shared" si="8"/>
        <v>0</v>
      </c>
      <c r="M61" s="668">
        <f t="shared" ca="1" si="8"/>
        <v>0</v>
      </c>
      <c r="N61" s="668">
        <f t="shared" si="8"/>
        <v>0</v>
      </c>
      <c r="O61" s="668">
        <f t="shared" ca="1" si="8"/>
        <v>0</v>
      </c>
      <c r="P61" s="668">
        <f t="shared" si="8"/>
        <v>0</v>
      </c>
      <c r="Q61" s="668">
        <f t="shared" si="8"/>
        <v>0</v>
      </c>
      <c r="R61" s="668">
        <f ca="1">R46+R52+R56</f>
        <v>7246.0291890128865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0.19562375981082644</v>
      </c>
      <c r="D63" s="709">
        <f t="shared" ca="1" si="9"/>
        <v>0</v>
      </c>
      <c r="E63" s="941">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668.8671966997764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668.8671966997764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4124.8823795259586</v>
      </c>
      <c r="C4" s="441">
        <f>huishoudens!C8</f>
        <v>0</v>
      </c>
      <c r="D4" s="441">
        <f>huishoudens!D8</f>
        <v>2017.8145587005997</v>
      </c>
      <c r="E4" s="441">
        <f>huishoudens!E8</f>
        <v>385.01410707731196</v>
      </c>
      <c r="F4" s="441">
        <f>huishoudens!F8</f>
        <v>10467.771485426496</v>
      </c>
      <c r="G4" s="441">
        <f>huishoudens!G8</f>
        <v>0</v>
      </c>
      <c r="H4" s="441">
        <f>huishoudens!H8</f>
        <v>0</v>
      </c>
      <c r="I4" s="441">
        <f>huishoudens!I8</f>
        <v>0</v>
      </c>
      <c r="J4" s="441">
        <f>huishoudens!J8</f>
        <v>193.04440293673392</v>
      </c>
      <c r="K4" s="441">
        <f>huishoudens!K8</f>
        <v>0</v>
      </c>
      <c r="L4" s="441">
        <f>huishoudens!L8</f>
        <v>0</v>
      </c>
      <c r="M4" s="441">
        <f>huishoudens!M8</f>
        <v>0</v>
      </c>
      <c r="N4" s="441">
        <f>huishoudens!N8</f>
        <v>1302.7803150199663</v>
      </c>
      <c r="O4" s="441">
        <f>huishoudens!O8</f>
        <v>35.956666666666671</v>
      </c>
      <c r="P4" s="442">
        <f>huishoudens!P8</f>
        <v>133.46666666666667</v>
      </c>
      <c r="Q4" s="443">
        <f>SUM(B4:P4)</f>
        <v>18660.730582020398</v>
      </c>
    </row>
    <row r="5" spans="1:17">
      <c r="A5" s="440" t="s">
        <v>149</v>
      </c>
      <c r="B5" s="441">
        <f ca="1">tertiair!B16</f>
        <v>723.53854511500003</v>
      </c>
      <c r="C5" s="441">
        <f ca="1">tertiair!C16</f>
        <v>0</v>
      </c>
      <c r="D5" s="441">
        <f ca="1">tertiair!D16</f>
        <v>799.13143282060014</v>
      </c>
      <c r="E5" s="441">
        <f>tertiair!E16</f>
        <v>9.5128668954394335</v>
      </c>
      <c r="F5" s="441">
        <f ca="1">tertiair!F16</f>
        <v>164.44884854354598</v>
      </c>
      <c r="G5" s="441">
        <f>tertiair!G16</f>
        <v>0</v>
      </c>
      <c r="H5" s="441">
        <f>tertiair!H16</f>
        <v>0</v>
      </c>
      <c r="I5" s="441">
        <f>tertiair!I16</f>
        <v>0</v>
      </c>
      <c r="J5" s="441">
        <f>tertiair!J16</f>
        <v>1.4631580158889471E-3</v>
      </c>
      <c r="K5" s="441">
        <f>tertiair!K16</f>
        <v>0</v>
      </c>
      <c r="L5" s="441">
        <f ca="1">tertiair!L16</f>
        <v>0</v>
      </c>
      <c r="M5" s="441">
        <f>tertiair!M16</f>
        <v>0</v>
      </c>
      <c r="N5" s="441">
        <f ca="1">tertiair!N16</f>
        <v>52.025277336482546</v>
      </c>
      <c r="O5" s="441">
        <f>tertiair!O16</f>
        <v>0</v>
      </c>
      <c r="P5" s="442">
        <f>tertiair!P16</f>
        <v>0</v>
      </c>
      <c r="Q5" s="440">
        <f t="shared" ref="Q5:Q14" ca="1" si="0">SUM(B5:P5)</f>
        <v>1748.6584338690841</v>
      </c>
    </row>
    <row r="6" spans="1:17">
      <c r="A6" s="440" t="s">
        <v>187</v>
      </c>
      <c r="B6" s="441">
        <f>'openbare verlichting'!B8</f>
        <v>170.55699999999999</v>
      </c>
      <c r="C6" s="441"/>
      <c r="D6" s="441"/>
      <c r="E6" s="441"/>
      <c r="F6" s="441"/>
      <c r="G6" s="441"/>
      <c r="H6" s="441"/>
      <c r="I6" s="441"/>
      <c r="J6" s="441"/>
      <c r="K6" s="441"/>
      <c r="L6" s="441"/>
      <c r="M6" s="441"/>
      <c r="N6" s="441"/>
      <c r="O6" s="441"/>
      <c r="P6" s="442"/>
      <c r="Q6" s="440">
        <f t="shared" si="0"/>
        <v>170.55699999999999</v>
      </c>
    </row>
    <row r="7" spans="1:17">
      <c r="A7" s="440" t="s">
        <v>105</v>
      </c>
      <c r="B7" s="441">
        <f>landbouw!B8</f>
        <v>458.24361819200004</v>
      </c>
      <c r="C7" s="441">
        <f>landbouw!C8</f>
        <v>0</v>
      </c>
      <c r="D7" s="441">
        <f>landbouw!D8</f>
        <v>21.238655025676</v>
      </c>
      <c r="E7" s="441">
        <f>landbouw!E8</f>
        <v>9.0782001692601284</v>
      </c>
      <c r="F7" s="441">
        <f>landbouw!F8</f>
        <v>1671.0852317269539</v>
      </c>
      <c r="G7" s="441">
        <f>landbouw!G8</f>
        <v>0</v>
      </c>
      <c r="H7" s="441">
        <f>landbouw!H8</f>
        <v>0</v>
      </c>
      <c r="I7" s="441">
        <f>landbouw!I8</f>
        <v>0</v>
      </c>
      <c r="J7" s="441">
        <f>landbouw!J8</f>
        <v>108.80549717656874</v>
      </c>
      <c r="K7" s="441">
        <f>landbouw!K8</f>
        <v>0</v>
      </c>
      <c r="L7" s="441">
        <f>landbouw!L8</f>
        <v>0</v>
      </c>
      <c r="M7" s="441">
        <f>landbouw!M8</f>
        <v>0</v>
      </c>
      <c r="N7" s="441">
        <f>landbouw!N8</f>
        <v>0</v>
      </c>
      <c r="O7" s="441">
        <f>landbouw!O8</f>
        <v>0</v>
      </c>
      <c r="P7" s="442">
        <f>landbouw!P8</f>
        <v>0</v>
      </c>
      <c r="Q7" s="440">
        <f t="shared" si="0"/>
        <v>2268.4512022904587</v>
      </c>
    </row>
    <row r="8" spans="1:17">
      <c r="A8" s="440" t="s">
        <v>600</v>
      </c>
      <c r="B8" s="441">
        <f>industrie!B18</f>
        <v>119.47541744999999</v>
      </c>
      <c r="C8" s="441">
        <f>industrie!C18</f>
        <v>0</v>
      </c>
      <c r="D8" s="441">
        <f>industrie!D18</f>
        <v>0</v>
      </c>
      <c r="E8" s="441">
        <f>industrie!E18</f>
        <v>6.4842761846465296</v>
      </c>
      <c r="F8" s="441">
        <f>industrie!F18</f>
        <v>26.040116675733294</v>
      </c>
      <c r="G8" s="441">
        <f>industrie!G18</f>
        <v>0</v>
      </c>
      <c r="H8" s="441">
        <f>industrie!H18</f>
        <v>0</v>
      </c>
      <c r="I8" s="441">
        <f>industrie!I18</f>
        <v>0</v>
      </c>
      <c r="J8" s="441">
        <f>industrie!J18</f>
        <v>0.96860101477757676</v>
      </c>
      <c r="K8" s="441">
        <f>industrie!K18</f>
        <v>0</v>
      </c>
      <c r="L8" s="441">
        <f>industrie!L18</f>
        <v>0</v>
      </c>
      <c r="M8" s="441">
        <f>industrie!M18</f>
        <v>0</v>
      </c>
      <c r="N8" s="441">
        <f>industrie!N18</f>
        <v>6.7040153326088978</v>
      </c>
      <c r="O8" s="441">
        <f>industrie!O18</f>
        <v>0</v>
      </c>
      <c r="P8" s="442">
        <f>industrie!P18</f>
        <v>0</v>
      </c>
      <c r="Q8" s="440">
        <f t="shared" si="0"/>
        <v>159.67242665776629</v>
      </c>
    </row>
    <row r="9" spans="1:17" s="446" customFormat="1">
      <c r="A9" s="444" t="s">
        <v>549</v>
      </c>
      <c r="B9" s="445">
        <f>transport!B14</f>
        <v>2.5191029896606332</v>
      </c>
      <c r="C9" s="445">
        <f>transport!C14</f>
        <v>0</v>
      </c>
      <c r="D9" s="445">
        <f>transport!D14</f>
        <v>4.6282731886716766</v>
      </c>
      <c r="E9" s="445">
        <f>transport!E14</f>
        <v>20.637589807406162</v>
      </c>
      <c r="F9" s="445">
        <f>transport!F14</f>
        <v>0</v>
      </c>
      <c r="G9" s="445">
        <f>transport!G14</f>
        <v>5983.413864307483</v>
      </c>
      <c r="H9" s="445">
        <f>transport!H14</f>
        <v>1586.5980504786896</v>
      </c>
      <c r="I9" s="445">
        <f>transport!I14</f>
        <v>0</v>
      </c>
      <c r="J9" s="445">
        <f>transport!J14</f>
        <v>0</v>
      </c>
      <c r="K9" s="445">
        <f>transport!K14</f>
        <v>0</v>
      </c>
      <c r="L9" s="445">
        <f>transport!L14</f>
        <v>0</v>
      </c>
      <c r="M9" s="445">
        <f>transport!M14</f>
        <v>235.78911890987999</v>
      </c>
      <c r="N9" s="445">
        <f>transport!N14</f>
        <v>0</v>
      </c>
      <c r="O9" s="445">
        <f>transport!O14</f>
        <v>0</v>
      </c>
      <c r="P9" s="445">
        <f>transport!P14</f>
        <v>0</v>
      </c>
      <c r="Q9" s="444">
        <f>SUM(B9:P9)</f>
        <v>7833.5859996817908</v>
      </c>
    </row>
    <row r="10" spans="1:17">
      <c r="A10" s="440" t="s">
        <v>539</v>
      </c>
      <c r="B10" s="441">
        <f>transport!B54</f>
        <v>0.7288074643093172</v>
      </c>
      <c r="C10" s="441">
        <f>transport!C54</f>
        <v>0</v>
      </c>
      <c r="D10" s="441">
        <f>transport!D54</f>
        <v>0</v>
      </c>
      <c r="E10" s="441">
        <f>transport!E54</f>
        <v>0</v>
      </c>
      <c r="F10" s="441">
        <f>transport!F54</f>
        <v>0</v>
      </c>
      <c r="G10" s="441">
        <f>transport!G54</f>
        <v>129.94791386842897</v>
      </c>
      <c r="H10" s="441">
        <f>transport!H54</f>
        <v>0</v>
      </c>
      <c r="I10" s="441">
        <f>transport!I54</f>
        <v>0</v>
      </c>
      <c r="J10" s="441">
        <f>transport!J54</f>
        <v>0</v>
      </c>
      <c r="K10" s="441">
        <f>transport!K54</f>
        <v>0</v>
      </c>
      <c r="L10" s="441">
        <f>transport!L54</f>
        <v>0</v>
      </c>
      <c r="M10" s="441">
        <f>transport!M54</f>
        <v>4.0564703703711649</v>
      </c>
      <c r="N10" s="441">
        <f>transport!N54</f>
        <v>0</v>
      </c>
      <c r="O10" s="441">
        <f>transport!O54</f>
        <v>0</v>
      </c>
      <c r="P10" s="442">
        <f>transport!P54</f>
        <v>0</v>
      </c>
      <c r="Q10" s="440">
        <f t="shared" si="0"/>
        <v>134.73319170310944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225.17537437000001</v>
      </c>
      <c r="C14" s="448"/>
      <c r="D14" s="448">
        <f>'SEAP template'!E25</f>
        <v>39.653185767000004</v>
      </c>
      <c r="E14" s="448"/>
      <c r="F14" s="448"/>
      <c r="G14" s="448"/>
      <c r="H14" s="448"/>
      <c r="I14" s="448"/>
      <c r="J14" s="448"/>
      <c r="K14" s="448"/>
      <c r="L14" s="448"/>
      <c r="M14" s="448"/>
      <c r="N14" s="448"/>
      <c r="O14" s="448"/>
      <c r="P14" s="449"/>
      <c r="Q14" s="440">
        <f t="shared" si="0"/>
        <v>264.82856013700001</v>
      </c>
    </row>
    <row r="15" spans="1:17" s="450" customFormat="1">
      <c r="A15" s="956" t="s">
        <v>543</v>
      </c>
      <c r="B15" s="896">
        <f ca="1">SUM(B4:B14)</f>
        <v>5825.1202451069294</v>
      </c>
      <c r="C15" s="896">
        <f t="shared" ref="C15:Q15" ca="1" si="1">SUM(C4:C14)</f>
        <v>0</v>
      </c>
      <c r="D15" s="896">
        <f t="shared" ca="1" si="1"/>
        <v>2882.4661055025481</v>
      </c>
      <c r="E15" s="896">
        <f t="shared" si="1"/>
        <v>430.72704013406428</v>
      </c>
      <c r="F15" s="896">
        <f t="shared" ca="1" si="1"/>
        <v>12329.34568237273</v>
      </c>
      <c r="G15" s="896">
        <f t="shared" si="1"/>
        <v>6113.3617781759121</v>
      </c>
      <c r="H15" s="896">
        <f t="shared" si="1"/>
        <v>1586.5980504786896</v>
      </c>
      <c r="I15" s="896">
        <f t="shared" si="1"/>
        <v>0</v>
      </c>
      <c r="J15" s="896">
        <f t="shared" si="1"/>
        <v>302.81996428609608</v>
      </c>
      <c r="K15" s="896">
        <f t="shared" si="1"/>
        <v>0</v>
      </c>
      <c r="L15" s="896">
        <f t="shared" ca="1" si="1"/>
        <v>0</v>
      </c>
      <c r="M15" s="896">
        <f t="shared" si="1"/>
        <v>239.84558928025115</v>
      </c>
      <c r="N15" s="896">
        <f t="shared" ca="1" si="1"/>
        <v>1361.5096076890577</v>
      </c>
      <c r="O15" s="896">
        <f t="shared" si="1"/>
        <v>35.956666666666671</v>
      </c>
      <c r="P15" s="896">
        <f t="shared" si="1"/>
        <v>133.46666666666667</v>
      </c>
      <c r="Q15" s="896">
        <f t="shared" ca="1" si="1"/>
        <v>31241.217396359611</v>
      </c>
    </row>
    <row r="17" spans="1:17">
      <c r="A17" s="451" t="s">
        <v>544</v>
      </c>
      <c r="B17" s="714">
        <f ca="1">huishoudens!B10</f>
        <v>0.1956237598108265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806.92499986029657</v>
      </c>
      <c r="C22" s="441">
        <f t="shared" ref="C22:C32" ca="1" si="3">C4*$C$17</f>
        <v>0</v>
      </c>
      <c r="D22" s="441">
        <f t="shared" ref="D22:D32" si="4">D4*$D$17</f>
        <v>407.59854085752119</v>
      </c>
      <c r="E22" s="441">
        <f t="shared" ref="E22:E32" si="5">E4*$E$17</f>
        <v>87.39820230654982</v>
      </c>
      <c r="F22" s="441">
        <f t="shared" ref="F22:F32" si="6">F4*$F$17</f>
        <v>2794.8949866088747</v>
      </c>
      <c r="G22" s="441">
        <f t="shared" ref="G22:G32" si="7">G4*$G$17</f>
        <v>0</v>
      </c>
      <c r="H22" s="441">
        <f t="shared" ref="H22:H32" si="8">H4*$H$17</f>
        <v>0</v>
      </c>
      <c r="I22" s="441">
        <f t="shared" ref="I22:I32" si="9">I4*$I$17</f>
        <v>0</v>
      </c>
      <c r="J22" s="441">
        <f t="shared" ref="J22:J32" si="10">J4*$J$17</f>
        <v>68.337718639603807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4165.1544482728459</v>
      </c>
    </row>
    <row r="23" spans="1:17">
      <c r="A23" s="440" t="s">
        <v>149</v>
      </c>
      <c r="B23" s="441">
        <f t="shared" ca="1" si="2"/>
        <v>141.54133056345162</v>
      </c>
      <c r="C23" s="441">
        <f t="shared" ca="1" si="3"/>
        <v>0</v>
      </c>
      <c r="D23" s="441">
        <f t="shared" ca="1" si="4"/>
        <v>161.42454942976124</v>
      </c>
      <c r="E23" s="441">
        <f t="shared" si="5"/>
        <v>2.1594207852647513</v>
      </c>
      <c r="F23" s="441">
        <f t="shared" ca="1" si="6"/>
        <v>43.907842561126778</v>
      </c>
      <c r="G23" s="441">
        <f t="shared" si="7"/>
        <v>0</v>
      </c>
      <c r="H23" s="441">
        <f t="shared" si="8"/>
        <v>0</v>
      </c>
      <c r="I23" s="441">
        <f t="shared" si="9"/>
        <v>0</v>
      </c>
      <c r="J23" s="441">
        <f t="shared" si="10"/>
        <v>5.1795793762468719E-4</v>
      </c>
      <c r="K23" s="441">
        <f t="shared" si="11"/>
        <v>0</v>
      </c>
      <c r="L23" s="441">
        <f t="shared" ca="1" si="12"/>
        <v>0</v>
      </c>
      <c r="M23" s="441">
        <f t="shared" si="13"/>
        <v>0</v>
      </c>
      <c r="N23" s="441">
        <f t="shared" ca="1" si="14"/>
        <v>0</v>
      </c>
      <c r="O23" s="441">
        <f t="shared" si="15"/>
        <v>0</v>
      </c>
      <c r="P23" s="442">
        <f t="shared" si="16"/>
        <v>0</v>
      </c>
      <c r="Q23" s="440">
        <f t="shared" ref="Q23:Q32" ca="1" si="17">SUM(B23:P23)</f>
        <v>349.03366129754198</v>
      </c>
    </row>
    <row r="24" spans="1:17">
      <c r="A24" s="440" t="s">
        <v>187</v>
      </c>
      <c r="B24" s="441">
        <f t="shared" ca="1" si="2"/>
        <v>33.365001602055131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33.365001602055131</v>
      </c>
    </row>
    <row r="25" spans="1:17">
      <c r="A25" s="440" t="s">
        <v>105</v>
      </c>
      <c r="B25" s="441">
        <f t="shared" ca="1" si="2"/>
        <v>89.643339500035893</v>
      </c>
      <c r="C25" s="441">
        <f t="shared" ca="1" si="3"/>
        <v>0</v>
      </c>
      <c r="D25" s="441">
        <f t="shared" si="4"/>
        <v>4.2902083151865522</v>
      </c>
      <c r="E25" s="441">
        <f t="shared" si="5"/>
        <v>2.0607514384220491</v>
      </c>
      <c r="F25" s="441">
        <f t="shared" si="6"/>
        <v>446.17975687109674</v>
      </c>
      <c r="G25" s="441">
        <f t="shared" si="7"/>
        <v>0</v>
      </c>
      <c r="H25" s="441">
        <f t="shared" si="8"/>
        <v>0</v>
      </c>
      <c r="I25" s="441">
        <f t="shared" si="9"/>
        <v>0</v>
      </c>
      <c r="J25" s="441">
        <f t="shared" si="10"/>
        <v>38.517146000505328</v>
      </c>
      <c r="K25" s="441">
        <f t="shared" si="11"/>
        <v>0</v>
      </c>
      <c r="L25" s="441">
        <f t="shared" si="12"/>
        <v>0</v>
      </c>
      <c r="M25" s="441">
        <f t="shared" si="13"/>
        <v>0</v>
      </c>
      <c r="N25" s="441">
        <f t="shared" si="14"/>
        <v>0</v>
      </c>
      <c r="O25" s="441">
        <f t="shared" si="15"/>
        <v>0</v>
      </c>
      <c r="P25" s="442">
        <f t="shared" si="16"/>
        <v>0</v>
      </c>
      <c r="Q25" s="440">
        <f t="shared" ca="1" si="17"/>
        <v>580.6912021252466</v>
      </c>
    </row>
    <row r="26" spans="1:17">
      <c r="A26" s="440" t="s">
        <v>600</v>
      </c>
      <c r="B26" s="441">
        <f t="shared" ca="1" si="2"/>
        <v>23.372230366537028</v>
      </c>
      <c r="C26" s="441">
        <f t="shared" ca="1" si="3"/>
        <v>0</v>
      </c>
      <c r="D26" s="441">
        <f t="shared" si="4"/>
        <v>0</v>
      </c>
      <c r="E26" s="441">
        <f t="shared" si="5"/>
        <v>1.4719306939147623</v>
      </c>
      <c r="F26" s="441">
        <f t="shared" si="6"/>
        <v>6.9527111524207896</v>
      </c>
      <c r="G26" s="441">
        <f t="shared" si="7"/>
        <v>0</v>
      </c>
      <c r="H26" s="441">
        <f t="shared" si="8"/>
        <v>0</v>
      </c>
      <c r="I26" s="441">
        <f t="shared" si="9"/>
        <v>0</v>
      </c>
      <c r="J26" s="441">
        <f t="shared" si="10"/>
        <v>0.34288475923126216</v>
      </c>
      <c r="K26" s="441">
        <f t="shared" si="11"/>
        <v>0</v>
      </c>
      <c r="L26" s="441">
        <f t="shared" si="12"/>
        <v>0</v>
      </c>
      <c r="M26" s="441">
        <f t="shared" si="13"/>
        <v>0</v>
      </c>
      <c r="N26" s="441">
        <f t="shared" si="14"/>
        <v>0</v>
      </c>
      <c r="O26" s="441">
        <f t="shared" si="15"/>
        <v>0</v>
      </c>
      <c r="P26" s="442">
        <f t="shared" si="16"/>
        <v>0</v>
      </c>
      <c r="Q26" s="440">
        <f t="shared" ca="1" si="17"/>
        <v>32.139756972103839</v>
      </c>
    </row>
    <row r="27" spans="1:17" s="446" customFormat="1">
      <c r="A27" s="444" t="s">
        <v>549</v>
      </c>
      <c r="B27" s="708">
        <f t="shared" ca="1" si="2"/>
        <v>0.49279639818810667</v>
      </c>
      <c r="C27" s="445">
        <f t="shared" ca="1" si="3"/>
        <v>0</v>
      </c>
      <c r="D27" s="445">
        <f t="shared" si="4"/>
        <v>0.93491118411167873</v>
      </c>
      <c r="E27" s="445">
        <f t="shared" si="5"/>
        <v>4.684732886281199</v>
      </c>
      <c r="F27" s="445">
        <f t="shared" si="6"/>
        <v>0</v>
      </c>
      <c r="G27" s="445">
        <f t="shared" si="7"/>
        <v>1597.5715017700979</v>
      </c>
      <c r="H27" s="445">
        <f t="shared" si="8"/>
        <v>395.06291456919371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1998.7468568078725</v>
      </c>
    </row>
    <row r="28" spans="1:17">
      <c r="A28" s="440" t="s">
        <v>539</v>
      </c>
      <c r="B28" s="441">
        <f t="shared" ca="1" si="2"/>
        <v>0.14257205634638337</v>
      </c>
      <c r="C28" s="441">
        <f t="shared" ca="1" si="3"/>
        <v>0</v>
      </c>
      <c r="D28" s="441">
        <f t="shared" si="4"/>
        <v>0</v>
      </c>
      <c r="E28" s="441">
        <f t="shared" si="5"/>
        <v>0</v>
      </c>
      <c r="F28" s="441">
        <f t="shared" si="6"/>
        <v>0</v>
      </c>
      <c r="G28" s="441">
        <f t="shared" si="7"/>
        <v>34.696093002870533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34.838665059216915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44.049653351069821</v>
      </c>
      <c r="C32" s="441">
        <f t="shared" ca="1" si="3"/>
        <v>0</v>
      </c>
      <c r="D32" s="441">
        <f t="shared" si="4"/>
        <v>8.0099435249340019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52.059596876003823</v>
      </c>
    </row>
    <row r="33" spans="1:17" s="450" customFormat="1">
      <c r="A33" s="956" t="s">
        <v>543</v>
      </c>
      <c r="B33" s="896">
        <f ca="1">SUM(B22:B32)</f>
        <v>1139.5319236979806</v>
      </c>
      <c r="C33" s="896">
        <f t="shared" ref="C33:Q33" ca="1" si="18">SUM(C22:C32)</f>
        <v>0</v>
      </c>
      <c r="D33" s="896">
        <f t="shared" ca="1" si="18"/>
        <v>582.25815331151466</v>
      </c>
      <c r="E33" s="896">
        <f t="shared" si="18"/>
        <v>97.775038110432575</v>
      </c>
      <c r="F33" s="896">
        <f t="shared" ca="1" si="18"/>
        <v>3291.9352971935191</v>
      </c>
      <c r="G33" s="896">
        <f t="shared" si="18"/>
        <v>1632.2675947729686</v>
      </c>
      <c r="H33" s="896">
        <f t="shared" si="18"/>
        <v>395.06291456919371</v>
      </c>
      <c r="I33" s="896">
        <f t="shared" si="18"/>
        <v>0</v>
      </c>
      <c r="J33" s="896">
        <f t="shared" si="18"/>
        <v>107.19826735727803</v>
      </c>
      <c r="K33" s="896">
        <f t="shared" si="18"/>
        <v>0</v>
      </c>
      <c r="L33" s="896">
        <f t="shared" ca="1" si="18"/>
        <v>0</v>
      </c>
      <c r="M33" s="896">
        <f t="shared" si="18"/>
        <v>0</v>
      </c>
      <c r="N33" s="896">
        <f t="shared" ca="1" si="18"/>
        <v>0</v>
      </c>
      <c r="O33" s="896">
        <f t="shared" si="18"/>
        <v>0</v>
      </c>
      <c r="P33" s="896">
        <f t="shared" si="18"/>
        <v>0</v>
      </c>
      <c r="Q33" s="896">
        <f t="shared" ca="1" si="18"/>
        <v>7246.0291890128856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668.8671966997764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668.8671966997764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0.1956237598108265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0.1956237598108265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2022-07-26T11:01:25Z</dcterms:modified>
</cp:coreProperties>
</file>