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D7781F8-B576-44DF-BEEB-20F8F908218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<sst xmlns="http://schemas.openxmlformats.org/spreadsheetml/2006/main" count="2421" uniqueCount="893">
  <si>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</si>
  <si>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</si>
  <si>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</si>
  <si>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</si>
  <si>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</si>
  <si>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</si>
  <si>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</si>
  <si>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</si>
  <si>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</si>
  <si>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</si>
  <si>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</si>
  <si>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</si>
  <si>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</si>
  <si>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</si>
  <si>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</si>
  <si>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</si>
  <si>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</si>
  <si>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</si>
  <si>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</si>
  <si>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</si>
  <si>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</si>
  <si>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</si>
  <si>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</si>
  <si>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</si>
  <si>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</si>
  <si>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</si>
  <si>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</si>
  <si>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</si>
  <si>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</si>
  <si>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</si>
  <si>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</si>
  <si>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</si>
  <si>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</si>
  <si>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</si>
  <si>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</si>
  <si>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</si>
  <si>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</si>
  <si>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</si>
  <si>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</si>
  <si>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</si>
  <si>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</si>
  <si>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</si>
  <si>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</si>
  <si>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</si>
  <si>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</si>
  <si>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</si>
  <si>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</si>
  <si>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</si>
  <si>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</si>
  <si>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</si>
  <si>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</si>
  <si>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</si>
  <si>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</si>
  <si>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</si>
  <si>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</si>
  <si>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</si>
  <si>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</si>
  <si>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</si>
  <si>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</si>
  <si>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</si>
  <si>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</si>
  <si>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</si>
  <si>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</si>
  <si>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</si>
  <si>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</si>
  <si>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</si>
  <si>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</si>
  <si>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</si>
  <si>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</si>
  <si>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</si>
  <si>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</si>
  <si>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</si>
  <si>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</si>
  <si>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</si>
  <si>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</si>
  <si>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</si>
  <si>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</si>
  <si>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</si>
  <si>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</si>
  <si>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</si>
  <si>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</si>
  <si>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</si>
  <si>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</si>
  <si>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</si>
  <si>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</si>
  <si>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</si>
  <si>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</si>
  <si>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</si>
  <si>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</si>
  <si>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</si>
  <si>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</si>
  <si>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</si>
  <si>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</si>
  <si>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</si>
  <si>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</si>
  <si>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</si>
  <si>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</si>
  <si>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</si>
  <si>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</si>
  <si>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</si>
  <si>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</si>
  <si>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</si>
  <si>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</si>
  <si>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</si>
  <si>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</si>
  <si>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</si>
  <si>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</si>
  <si>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</si>
  <si>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</si>
  <si>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</si>
  <si>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</si>
  <si>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</si>
  <si>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</si>
  <si>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</si>
  <si>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</si>
  <si>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</si>
  <si>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</si>
  <si>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</si>
  <si>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</si>
  <si>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</si>
  <si>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</si>
  <si>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</si>
  <si>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</si>
  <si>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</si>
  <si>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</si>
  <si>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</si>
  <si>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</si>
  <si>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</si>
  <si>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</si>
  <si>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</si>
  <si>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</si>
  <si>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</si>
  <si>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</si>
  <si>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</si>
  <si>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</si>
  <si>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</si>
  <si>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</si>
  <si>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</si>
  <si>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</si>
  <si>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</si>
  <si>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</si>
  <si>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</si>
  <si>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</si>
  <si>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</si>
  <si>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</si>
  <si>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</si>
  <si>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</si>
  <si>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</si>
  <si>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</si>
  <si>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</si>
  <si>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</si>
  <si>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</si>
  <si>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</si>
  <si>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</si>
  <si>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</si>
  <si>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</si>
  <si>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</si>
  <si>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</si>
  <si>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</si>
  <si>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</si>
  <si>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</si>
  <si>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</si>
  <si>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</si>
  <si>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</si>
  <si>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</si>
  <si>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</si>
  <si>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</si>
  <si>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</si>
  <si>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</si>
  <si>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</si>
  <si>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</si>
  <si>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</si>
  <si>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</si>
  <si>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</si>
  <si>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</si>
  <si>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</si>
  <si>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</si>
  <si>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</si>
  <si>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</si>
  <si>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</si>
  <si>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</si>
  <si>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</si>
  <si>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</si>
  <si>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</si>
  <si>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</si>
  <si>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</si>
  <si>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</si>
  <si>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</si>
  <si>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</si>
  <si>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</si>
  <si>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</si>
  <si>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</si>
  <si>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</si>
  <si>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</si>
  <si>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</si>
  <si>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</si>
  <si>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</si>
  <si>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</si>
  <si>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</si>
  <si>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</si>
  <si>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</si>
  <si>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</si>
  <si>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</si>
  <si>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</si>
  <si>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</si>
  <si>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</si>
  <si>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</si>
  <si>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</si>
  <si>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</si>
  <si>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</si>
  <si>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</si>
  <si>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</si>
  <si>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</si>
  <si>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</si>
  <si>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</si>
  <si>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</si>
  <si>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</si>
  <si>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</si>
  <si>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</si>
  <si>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</si>
  <si>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</si>
  <si>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</si>
  <si>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</si>
  <si>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</si>
  <si>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</si>
  <si>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</si>
  <si>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</si>
  <si>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</si>
  <si>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</si>
  <si>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</si>
  <si>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</si>
  <si>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</si>
  <si>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</si>
  <si>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</si>
  <si>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</si>
  <si>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</si>
  <si>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</si>
  <si>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</si>
  <si>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</si>
  <si>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</si>
  <si>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</si>
  <si>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</si>
  <si>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</si>
  <si>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</si>
  <si>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</si>
  <si>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</si>
  <si>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</si>
  <si>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</si>
  <si>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</si>
  <si>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</si>
  <si>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</si>
  <si>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</si>
  <si>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</si>
  <si>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</si>
  <si>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</si>
  <si>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</si>
  <si>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</si>
  <si>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</si>
  <si>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</si>
  <si>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</si>
  <si>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</si>
  <si>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</si>
  <si>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</si>
  <si>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</si>
  <si>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</si>
  <si>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</si>
  <si>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</si>
  <si>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</si>
  <si>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</si>
  <si>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</si>
  <si>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</si>
  <si>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</si>
  <si>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</si>
  <si>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</si>
  <si>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</si>
  <si>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</si>
  <si>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</si>
  <si>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</si>
  <si>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</si>
  <si>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</si>
  <si>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</si>
  <si>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</si>
  <si>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</si>
  <si>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</si>
  <si>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</si>
  <si>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</si>
  <si>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</si>
  <si>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</si>
  <si>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</si>
  <si>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</si>
  <si>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</si>
  <si>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</si>
  <si>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</si>
  <si>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</si>
  <si>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</si>
  <si>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</si>
  <si>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</si>
  <si>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</si>
  <si>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</si>
  <si>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</si>
  <si>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</si>
  <si>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</si>
  <si>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</si>
  <si>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</si>
  <si>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</si>
  <si>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</si>
  <si>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</si>
  <si>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</si>
  <si>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</si>
  <si>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</si>
  <si>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</si>
  <si>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</si>
  <si>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</si>
  <si>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</si>
  <si>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</si>
  <si>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</si>
  <si>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</si>
  <si>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</si>
  <si>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</si>
  <si>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</si>
  <si>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</si>
  <si>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</si>
  <si>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</si>
  <si>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</si>
  <si>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</si>
  <si>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</si>
  <si>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</si>
  <si>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</si>
  <si>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</si>
  <si>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</si>
  <si>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</si>
  <si>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</si>
  <si>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</si>
  <si>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</si>
  <si>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</si>
  <si>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</si>
  <si>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</si>
  <si>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</si>
  <si>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</si>
  <si>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</si>
  <si>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</si>
  <si>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</si>
  <si>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</si>
  <si>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</si>
  <si>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</si>
  <si>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</si>
  <si>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</si>
  <si>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</si>
  <si>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</si>
  <si>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</si>
  <si>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</si>
  <si>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</si>
  <si>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</si>
  <si>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</si>
  <si>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</si>
  <si>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</si>
  <si>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</si>
  <si>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</si>
  <si>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</si>
  <si>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</si>
  <si>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</si>
  <si>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</si>
  <si>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</si>
  <si>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</si>
  <si>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</si>
  <si>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</si>
  <si>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</si>
  <si>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</si>
  <si>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</si>
  <si>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</si>
  <si>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</si>
  <si>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</si>
  <si>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</si>
  <si>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</si>
  <si>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</si>
  <si>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</si>
  <si>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</si>
  <si>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</si>
  <si>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</si>
  <si>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</si>
  <si>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</si>
  <si>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</si>
  <si>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</si>
  <si>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</si>
  <si>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</si>
  <si>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</si>
  <si>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</si>
  <si>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</si>
  <si>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</si>
  <si>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</si>
  <si>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</si>
  <si>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</si>
  <si>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</si>
  <si>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</si>
  <si>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</si>
  <si>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</si>
  <si>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</si>
  <si>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</si>
  <si>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</si>
  <si>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</si>
  <si>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</si>
  <si>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</si>
  <si>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</si>
  <si>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</si>
  <si>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</si>
  <si>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</si>
  <si>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</si>
  <si>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</si>
  <si>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</si>
  <si>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</si>
  <si>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</si>
  <si>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</si>
  <si>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</si>
  <si>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</si>
  <si>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</si>
  <si>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</si>
  <si>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</si>
  <si>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</si>
  <si>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</si>
  <si>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</si>
  <si>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</si>
  <si>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</si>
  <si>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</si>
  <si>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</si>
  <si>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</si>
  <si>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</si>
  <si>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</si>
  <si>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</si>
  <si>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</si>
  <si>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</si>
  <si>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</si>
  <si>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</si>
  <si>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</si>
  <si>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</si>
  <si>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</si>
  <si>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</si>
  <si>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</si>
  <si>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</si>
  <si>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</si>
  <si>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</si>
  <si>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</si>
  <si>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</si>
  <si>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</si>
  <si>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</si>
  <si>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</si>
  <si>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</si>
  <si>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</si>
  <si>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</si>
  <si>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</si>
  <si>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</si>
  <si>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</si>
  <si>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</si>
  <si>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</si>
  <si>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</si>
  <si>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</si>
  <si>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</si>
  <si>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</si>
  <si>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</si>
  <si>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</si>
  <si>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</si>
  <si>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</si>
  <si>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</si>
  <si>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</si>
  <si>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</si>
  <si>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</si>
  <si>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</si>
  <si>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</si>
  <si>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</si>
  <si>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</si>
  <si>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</si>
  <si>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</si>
  <si>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</si>
  <si>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</si>
  <si>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</si>
  <si>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</si>
  <si>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</si>
  <si>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</si>
  <si>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</si>
  <si>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</si>
  <si>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</si>
  <si>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</si>
  <si>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</si>
  <si>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</si>
  <si>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</si>
  <si>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</si>
  <si>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</si>
  <si>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</si>
  <si>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</si>
  <si>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</si>
  <si>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</si>
  <si>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</si>
  <si>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</si>
  <si>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</si>
  <si>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</si>
  <si>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</si>
  <si>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</si>
  <si>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</si>
  <si>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</si>
  <si>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</si>
  <si>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</si>
  <si>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</si>
  <si>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</si>
  <si>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</si>
  <si>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</si>
  <si>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</si>
  <si>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</si>
  <si>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</si>
  <si>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</si>
  <si>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</si>
  <si>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</si>
  <si>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</si>
  <si>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</si>
  <si>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</si>
  <si>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</si>
  <si>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</si>
  <si>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</si>
  <si>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</si>
  <si>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</si>
  <si>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</si>
  <si>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</si>
  <si>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</si>
  <si>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</si>
  <si>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</si>
  <si>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</si>
  <si>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</si>
  <si>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</si>
  <si>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</si>
  <si>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</si>
  <si>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</si>
  <si>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</si>
  <si>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</si>
  <si>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</si>
  <si>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</si>
  <si>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</si>
  <si>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</si>
  <si>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</si>
  <si>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</si>
  <si>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</si>
  <si>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</si>
  <si>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</si>
  <si>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</si>
  <si>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</si>
  <si>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</si>
  <si>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</si>
  <si>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</si>
  <si>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</si>
  <si>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</si>
  <si>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</si>
  <si>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</si>
  <si>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</si>
  <si>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</si>
  <si>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</si>
  <si>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</si>
  <si>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</si>
  <si>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</si>
  <si>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</si>
  <si>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</si>
  <si>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</si>
  <si>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</si>
  <si>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</si>
  <si>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</si>
  <si>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</si>
  <si>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</si>
  <si>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</si>
  <si>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</si>
  <si>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</si>
  <si>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</si>
  <si>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</si>
  <si>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</si>
  <si>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</si>
  <si>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</si>
  <si>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</si>
  <si>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</si>
  <si>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</si>
  <si>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</si>
  <si>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</si>
  <si>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</si>
  <si>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</si>
  <si>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</si>
  <si>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</si>
  <si>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</si>
  <si>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</si>
  <si>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</si>
  <si>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</si>
  <si>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</si>
  <si>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</si>
  <si>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</si>
  <si>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</si>
  <si>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</si>
  <si>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</si>
  <si>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</si>
  <si>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</si>
  <si>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</si>
  <si>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</si>
  <si>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</si>
  <si>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</si>
  <si>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</si>
  <si>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</si>
  <si>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</si>
  <si>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</si>
  <si>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</si>
  <si>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</si>
  <si>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</si>
  <si>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</si>
  <si>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</si>
  <si>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</si>
  <si>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</si>
  <si>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</si>
  <si>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</si>
  <si>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</si>
  <si>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</si>
  <si>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</si>
  <si>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</si>
  <si>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</si>
  <si>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</si>
  <si>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</si>
  <si>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</si>
  <si>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</si>
  <si>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</si>
  <si>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</si>
  <si>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</si>
  <si>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</si>
  <si>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</si>
  <si>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</si>
  <si>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</si>
  <si>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</si>
  <si>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</si>
  <si>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</si>
  <si>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</si>
  <si>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</si>
  <si>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</si>
  <si>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</si>
  <si>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</si>
  <si>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</si>
  <si>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</si>
  <si>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</si>
  <si>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</si>
  <si>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</si>
  <si>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</si>
  <si>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</si>
  <si>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</si>
  <si>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</si>
  <si>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</si>
  <si>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</si>
  <si>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</si>
  <si>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</si>
  <si>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</si>
  <si>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</si>
  <si>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</si>
  <si>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</si>
  <si>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</si>
  <si>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</si>
  <si>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</si>
  <si>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</si>
  <si>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</si>
  <si>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</si>
  <si>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</si>
  <si>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</si>
  <si>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</si>
  <si>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</si>
  <si>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</si>
  <si>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</si>
  <si>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</si>
  <si>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</si>
  <si>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</si>
  <si>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</si>
  <si>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</si>
  <si>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</si>
  <si>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</si>
  <si>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</si>
  <si>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</si>
  <si>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</si>
  <si>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</si>
  <si>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</si>
  <si>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</si>
  <si>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</si>
  <si>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</si>
  <si>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</si>
  <si>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</si>
  <si>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</si>
  <si>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</si>
  <si>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</si>
  <si>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</si>
  <si>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</si>
  <si>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</si>
  <si>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</si>
  <si>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</si>
  <si>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</si>
  <si>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</si>
  <si>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</si>
  <si>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</si>
  <si>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</si>
  <si>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</si>
  <si>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</si>
  <si>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</si>
  <si>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</si>
  <si>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</si>
  <si>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</si>
  <si>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</si>
  <si>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</si>
  <si>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</si>
  <si>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</si>
  <si>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</si>
  <si>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</si>
  <si>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</si>
  <si>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</si>
  <si>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</si>
  <si>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</si>
  <si>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</si>
  <si>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</si>
  <si>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</si>
  <si>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</si>
  <si>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</si>
  <si>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</si>
  <si>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</si>
  <si>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</si>
  <si>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</si>
  <si>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</si>
  <si>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</si>
  <si>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</si>
  <si>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</si>
  <si>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</si>
  <si>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</si>
  <si>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</si>
  <si>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</si>
  <si>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</si>
  <si>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</si>
  <si>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</si>
  <si>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</si>
  <si>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</si>
  <si>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</si>
  <si>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</si>
  <si>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</si>
  <si>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</si>
  <si>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</si>
  <si>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</si>
  <si>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</si>
  <si>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</si>
  <si>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</si>
  <si>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</si>
  <si>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</si>
  <si>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</si>
  <si>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</si>
  <si>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</si>
  <si>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</si>
  <si>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</si>
  <si>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</si>
  <si>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</si>
  <si>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</si>
  <si>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</si>
  <si>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</si>
  <si>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</si>
  <si>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</si>
  <si>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</si>
  <si>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</si>
  <si>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</si>
  <si>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</si>
  <si>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</si>
  <si>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</si>
  <si>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</si>
  <si>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</si>
  <si>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</si>
  <si>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</si>
  <si>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</si>
  <si>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</si>
  <si>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</si>
  <si>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</si>
  <si>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</si>
  <si>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</si>
  <si>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</si>
  <si>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</si>
  <si>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</si>
  <si>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</si>
  <si>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</si>
  <si>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</si>
  <si>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</si>
  <si>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</si>
  <si>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</si>
  <si>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</si>
  <si>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</si>
  <si>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</si>
  <si>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</si>
  <si>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</si>
  <si>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</si>
  <si>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</si>
  <si>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</si>
  <si>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</si>
  <si>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</si>
  <si>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</si>
  <si>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</si>
  <si>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</si>
  <si>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</si>
  <si>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</si>
  <si>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</si>
  <si>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</si>
  <si>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</si>
  <si>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</si>
  <si>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</si>
  <si>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</si>
  <si>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</si>
  <si>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</si>
  <si>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</si>
  <si>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</si>
  <si>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</si>
  <si>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</si>
  <si>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</si>
  <si>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</si>
  <si>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</si>
  <si>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</si>
  <si>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</si>
  <si>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</si>
  <si>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</si>
  <si>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</si>
  <si>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</si>
  <si>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</si>
  <si>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</si>
  <si>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</si>
  <si>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</si>
  <si>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</si>
  <si>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</si>
  <si>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</si>
  <si>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</si>
  <si>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</si>
  <si>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</si>
  <si>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</si>
  <si>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</si>
  <si>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</si>
  <si>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</si>
  <si>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</si>
  <si>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</si>
  <si>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</si>
  <si>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</si>
  <si>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</si>
  <si>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</si>
  <si>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</si>
  <si>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</si>
  <si>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</si>
  <si>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</si>
  <si>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</si>
  <si>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</si>
  <si>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</si>
  <si>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</si>
  <si>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</si>
  <si>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</si>
  <si>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</si>
  <si>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</si>
  <si>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</si>
  <si>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</si>
  <si>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</si>
  <si>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</si>
  <si>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</si>
  <si>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</si>
  <si>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</si>
  <si>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</si>
  <si>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</si>
  <si>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</si>
  <si>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</si>
  <si>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</si>
  <si>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</si>
  <si>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</si>
  <si>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</si>
  <si>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</si>
  <si>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</si>
  <si>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</si>
  <si>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</si>
  <si>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</si>
  <si>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</si>
  <si>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</si>
  <si>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</si>
  <si>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</si>
  <si>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</si>
  <si>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</si>
  <si>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</si>
  <si>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</si>
  <si>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</si>
  <si>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</si>
  <si>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</si>
  <si>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</si>
  <si>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</si>
  <si>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</si>
  <si>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</si>
  <si>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</si>
  <si>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13011</t>
  </si>
  <si>
    <t>HERENTALS</t>
  </si>
  <si>
    <t>Paarden&amp;pony's 200 - 600 kg</t>
  </si>
  <si>
    <t>Paarden&amp;pony's &lt; 200 kg</t>
  </si>
  <si>
    <t>vloeibaar gas (MWh)</t>
  </si>
  <si>
    <t>interne verbrandingsmotor</t>
  </si>
  <si>
    <t>WKK interne verbrandinsgmotor (gas)</t>
  </si>
  <si>
    <t>IVEKA</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</si>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</sst>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C6C0B9D-C4A0-4A7D-98F7-5F80BB2BA33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232303.98374833519</c:v>
                </c:pt>
                <c:pt idx="1">
                  <c:v>159221.065264048</c:v>
                </c:pt>
                <c:pt idx="2">
                  <c:v>1362.1759999999999</c:v>
                </c:pt>
                <c:pt idx="3">
                  <c:v>41630.367842704502</c:v>
                </c:pt>
                <c:pt idx="4">
                  <c:v>194061.30221694475</c:v>
                </c:pt>
                <c:pt idx="5">
                  <c:v>224412.76965330154</c:v>
                </c:pt>
                <c:pt idx="6">
                  <c:v>2355.6055782239514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232303.98374833519</c:v>
                </c:pt>
                <c:pt idx="1">
                  <c:v>159221.065264048</c:v>
                </c:pt>
                <c:pt idx="2">
                  <c:v>1362.1759999999999</c:v>
                </c:pt>
                <c:pt idx="3">
                  <c:v>41630.367842704502</c:v>
                </c:pt>
                <c:pt idx="4">
                  <c:v>194061.30221694475</c:v>
                </c:pt>
                <c:pt idx="5">
                  <c:v>224412.76965330154</c:v>
                </c:pt>
                <c:pt idx="6">
                  <c:v>2355.6055782239514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46770.972303372866</c:v>
                </c:pt>
                <c:pt idx="2">
                  <c:v>33487.971782222521</c:v>
                </c:pt>
                <c:pt idx="3">
                  <c:v>287.64082060499476</c:v>
                </c:pt>
                <c:pt idx="4">
                  <c:v>10010.986606575019</c:v>
                </c:pt>
                <c:pt idx="5">
                  <c:v>41018.412475034638</c:v>
                </c:pt>
                <c:pt idx="6">
                  <c:v>57478.809212308028</c:v>
                </c:pt>
                <c:pt idx="7">
                  <c:v>609.29923632567989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46770.972303372866</c:v>
                </c:pt>
                <c:pt idx="2">
                  <c:v>33487.971782222521</c:v>
                </c:pt>
                <c:pt idx="3">
                  <c:v>287.64082060499476</c:v>
                </c:pt>
                <c:pt idx="4">
                  <c:v>10010.986606575019</c:v>
                </c:pt>
                <c:pt idx="5">
                  <c:v>41018.412475034638</c:v>
                </c:pt>
                <c:pt idx="6">
                  <c:v>57478.809212308028</c:v>
                </c:pt>
                <c:pt idx="7">
                  <c:v>609.29923632567989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13011</v>
      </c>
      <c r="B6" s="380"/>
      <c r="C6" s="381"/>
    </row>
    <row r="7" spans="1:7" s="378" customFormat="1" ht="15.75" customHeight="1">
      <c r="A7" s="382" t="str">
        <f>txtMunicipality</f>
        <v>HERENTALS</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0.21116274299723001</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0.21116274299723001</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12216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1562.39</v>
      </c>
      <c r="C14" s="322"/>
      <c r="D14" s="322"/>
      <c r="E14" s="322"/>
      <c r="F14" s="322"/>
    </row>
    <row r="15" spans="1:6">
      <c r="A15" s="1248" t="s">
        <v>177</v>
      </c>
      <c r="B15" s="1249">
        <v>2212</v>
      </c>
      <c r="C15" s="322"/>
      <c r="D15" s="322"/>
      <c r="E15" s="322"/>
      <c r="F15" s="322"/>
    </row>
    <row r="16" spans="1:6">
      <c r="A16" s="1248" t="s">
        <v>6</v>
      </c>
      <c r="B16" s="1249">
        <v>613</v>
      </c>
      <c r="C16" s="322"/>
      <c r="D16" s="322"/>
      <c r="E16" s="322"/>
      <c r="F16" s="322"/>
    </row>
    <row r="17" spans="1:6">
      <c r="A17" s="1248" t="s">
        <v>7</v>
      </c>
      <c r="B17" s="1249">
        <v>124</v>
      </c>
      <c r="C17" s="322"/>
      <c r="D17" s="322"/>
      <c r="E17" s="322"/>
      <c r="F17" s="322"/>
    </row>
    <row r="18" spans="1:6">
      <c r="A18" s="1248" t="s">
        <v>8</v>
      </c>
      <c r="B18" s="1249">
        <v>335</v>
      </c>
      <c r="C18" s="322"/>
      <c r="D18" s="322"/>
      <c r="E18" s="322"/>
      <c r="F18" s="322"/>
    </row>
    <row r="19" spans="1:6">
      <c r="A19" s="1248" t="s">
        <v>9</v>
      </c>
      <c r="B19" s="1249">
        <v>322</v>
      </c>
      <c r="C19" s="322"/>
      <c r="D19" s="322"/>
      <c r="E19" s="322"/>
      <c r="F19" s="322"/>
    </row>
    <row r="20" spans="1:6">
      <c r="A20" s="1248" t="s">
        <v>10</v>
      </c>
      <c r="B20" s="1249">
        <v>255</v>
      </c>
      <c r="C20" s="322"/>
      <c r="D20" s="322"/>
      <c r="E20" s="322"/>
      <c r="F20" s="322"/>
    </row>
    <row r="21" spans="1:6">
      <c r="A21" s="1248" t="s">
        <v>11</v>
      </c>
      <c r="B21" s="1249">
        <v>1279</v>
      </c>
      <c r="C21" s="322"/>
      <c r="D21" s="322"/>
      <c r="E21" s="322"/>
      <c r="F21" s="322"/>
    </row>
    <row r="22" spans="1:6">
      <c r="A22" s="1248" t="s">
        <v>12</v>
      </c>
      <c r="B22" s="1249">
        <v>4643</v>
      </c>
      <c r="C22" s="322"/>
      <c r="D22" s="322"/>
      <c r="E22" s="322"/>
      <c r="F22" s="322"/>
    </row>
    <row r="23" spans="1:6">
      <c r="A23" s="1248" t="s">
        <v>13</v>
      </c>
      <c r="B23" s="1249">
        <v>47</v>
      </c>
      <c r="C23" s="322"/>
      <c r="D23" s="322"/>
      <c r="E23" s="322"/>
      <c r="F23" s="322"/>
    </row>
    <row r="24" spans="1:6">
      <c r="A24" s="1248" t="s">
        <v>14</v>
      </c>
      <c r="B24" s="1249">
        <v>1</v>
      </c>
      <c r="C24" s="322"/>
      <c r="D24" s="322"/>
      <c r="E24" s="322"/>
      <c r="F24" s="322"/>
    </row>
    <row r="25" spans="1:6">
      <c r="A25" s="1248" t="s">
        <v>15</v>
      </c>
      <c r="B25" s="1249">
        <v>292</v>
      </c>
      <c r="C25" s="322"/>
      <c r="D25" s="322"/>
      <c r="E25" s="322"/>
      <c r="F25" s="322"/>
    </row>
    <row r="26" spans="1:6">
      <c r="A26" s="1248" t="s">
        <v>16</v>
      </c>
      <c r="B26" s="1249">
        <v>64</v>
      </c>
      <c r="C26" s="322"/>
      <c r="D26" s="322"/>
      <c r="E26" s="322"/>
      <c r="F26" s="322"/>
    </row>
    <row r="27" spans="1:6">
      <c r="A27" s="1248" t="s">
        <v>17</v>
      </c>
      <c r="B27" s="1249">
        <v>385</v>
      </c>
      <c r="C27" s="322"/>
      <c r="D27" s="322"/>
      <c r="E27" s="322"/>
      <c r="F27" s="322"/>
    </row>
    <row r="28" spans="1:6">
      <c r="A28" s="1248" t="s">
        <v>18</v>
      </c>
      <c r="B28" s="1250">
        <v>135408</v>
      </c>
      <c r="C28" s="322"/>
      <c r="D28" s="322"/>
      <c r="E28" s="322"/>
      <c r="F28" s="322"/>
    </row>
    <row r="29" spans="1:6">
      <c r="A29" s="1248" t="s">
        <v>884</v>
      </c>
      <c r="B29" s="1250">
        <v>167</v>
      </c>
      <c r="C29" s="322"/>
      <c r="D29" s="322"/>
      <c r="E29" s="322"/>
      <c r="F29" s="322"/>
    </row>
    <row r="30" spans="1:6">
      <c r="A30" s="1243" t="s">
        <v>885</v>
      </c>
      <c r="B30" s="1251">
        <v>20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6</v>
      </c>
      <c r="F35" s="1249">
        <v>22573.383761000001</v>
      </c>
    </row>
    <row r="36" spans="1:6">
      <c r="A36" s="1248" t="s">
        <v>24</v>
      </c>
      <c r="B36" s="1248" t="s">
        <v>26</v>
      </c>
      <c r="C36" s="1249">
        <v>5</v>
      </c>
      <c r="D36" s="1249">
        <v>698700.01760999998</v>
      </c>
      <c r="E36" s="1249">
        <v>10</v>
      </c>
      <c r="F36" s="1249">
        <v>117670.52266</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101831.84102000001</v>
      </c>
    </row>
    <row r="39" spans="1:6">
      <c r="A39" s="1248" t="s">
        <v>29</v>
      </c>
      <c r="B39" s="1248" t="s">
        <v>30</v>
      </c>
      <c r="C39" s="1249">
        <v>9839</v>
      </c>
      <c r="D39" s="1249">
        <v>143806475.87</v>
      </c>
      <c r="E39" s="1249">
        <v>12224</v>
      </c>
      <c r="F39" s="1249">
        <v>38973796.468999997</v>
      </c>
    </row>
    <row r="40" spans="1:6">
      <c r="A40" s="1248" t="s">
        <v>29</v>
      </c>
      <c r="B40" s="1248" t="s">
        <v>28</v>
      </c>
      <c r="C40" s="1249">
        <v>0</v>
      </c>
      <c r="D40" s="1249">
        <v>0</v>
      </c>
      <c r="E40" s="1249">
        <v>0</v>
      </c>
      <c r="F40" s="1249">
        <v>0</v>
      </c>
    </row>
    <row r="41" spans="1:6">
      <c r="A41" s="1248" t="s">
        <v>31</v>
      </c>
      <c r="B41" s="1248" t="s">
        <v>32</v>
      </c>
      <c r="C41" s="1249">
        <v>121</v>
      </c>
      <c r="D41" s="1249">
        <v>2975210.2606000002</v>
      </c>
      <c r="E41" s="1249">
        <v>234</v>
      </c>
      <c r="F41" s="1249">
        <v>10675091.666999999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19</v>
      </c>
      <c r="D44" s="1249">
        <v>1722914.8711999999</v>
      </c>
      <c r="E44" s="1249">
        <v>36</v>
      </c>
      <c r="F44" s="1249">
        <v>27700196.736000001</v>
      </c>
    </row>
    <row r="45" spans="1:6">
      <c r="A45" s="1248" t="s">
        <v>31</v>
      </c>
      <c r="B45" s="1248" t="s">
        <v>36</v>
      </c>
      <c r="C45" s="1249">
        <v>0</v>
      </c>
      <c r="D45" s="1249">
        <v>0</v>
      </c>
      <c r="E45" s="1249">
        <v>3</v>
      </c>
      <c r="F45" s="1249">
        <v>221726.98478</v>
      </c>
    </row>
    <row r="46" spans="1:6">
      <c r="A46" s="1248" t="s">
        <v>31</v>
      </c>
      <c r="B46" s="1248" t="s">
        <v>37</v>
      </c>
      <c r="C46" s="1249">
        <v>0</v>
      </c>
      <c r="D46" s="1249">
        <v>0</v>
      </c>
      <c r="E46" s="1249">
        <v>0</v>
      </c>
      <c r="F46" s="1249">
        <v>0</v>
      </c>
    </row>
    <row r="47" spans="1:6">
      <c r="A47" s="1248" t="s">
        <v>31</v>
      </c>
      <c r="B47" s="1248" t="s">
        <v>38</v>
      </c>
      <c r="C47" s="1249">
        <v>11</v>
      </c>
      <c r="D47" s="1249">
        <v>598812.9203</v>
      </c>
      <c r="E47" s="1249">
        <v>16</v>
      </c>
      <c r="F47" s="1249">
        <v>1696883.3369</v>
      </c>
    </row>
    <row r="48" spans="1:6">
      <c r="A48" s="1248" t="s">
        <v>31</v>
      </c>
      <c r="B48" s="1248" t="s">
        <v>28</v>
      </c>
      <c r="C48" s="1249">
        <v>47</v>
      </c>
      <c r="D48" s="1249">
        <v>38171380.392999999</v>
      </c>
      <c r="E48" s="1249">
        <v>60</v>
      </c>
      <c r="F48" s="1249">
        <v>51546578.899999999</v>
      </c>
    </row>
    <row r="49" spans="1:6">
      <c r="A49" s="1248" t="s">
        <v>31</v>
      </c>
      <c r="B49" s="1248" t="s">
        <v>39</v>
      </c>
      <c r="C49" s="1249">
        <v>0</v>
      </c>
      <c r="D49" s="1249">
        <v>0</v>
      </c>
      <c r="E49" s="1249">
        <v>0</v>
      </c>
      <c r="F49" s="1249">
        <v>0</v>
      </c>
    </row>
    <row r="50" spans="1:6">
      <c r="A50" s="1248" t="s">
        <v>31</v>
      </c>
      <c r="B50" s="1248" t="s">
        <v>40</v>
      </c>
      <c r="C50" s="1249">
        <v>22</v>
      </c>
      <c r="D50" s="1249">
        <v>9280032.8735000007</v>
      </c>
      <c r="E50" s="1249">
        <v>28</v>
      </c>
      <c r="F50" s="1249">
        <v>5971008.2583999997</v>
      </c>
    </row>
    <row r="51" spans="1:6">
      <c r="A51" s="1248" t="s">
        <v>41</v>
      </c>
      <c r="B51" s="1248" t="s">
        <v>42</v>
      </c>
      <c r="C51" s="1249">
        <v>3</v>
      </c>
      <c r="D51" s="1249">
        <v>34881.392155000001</v>
      </c>
      <c r="E51" s="1249">
        <v>68</v>
      </c>
      <c r="F51" s="1249">
        <v>1445591.5845999999</v>
      </c>
    </row>
    <row r="52" spans="1:6">
      <c r="A52" s="1248" t="s">
        <v>41</v>
      </c>
      <c r="B52" s="1248" t="s">
        <v>28</v>
      </c>
      <c r="C52" s="1249">
        <v>12</v>
      </c>
      <c r="D52" s="1249">
        <v>73462314.055000007</v>
      </c>
      <c r="E52" s="1249">
        <v>7</v>
      </c>
      <c r="F52" s="1249">
        <v>133196.11803000001</v>
      </c>
    </row>
    <row r="53" spans="1:6">
      <c r="A53" s="1248" t="s">
        <v>43</v>
      </c>
      <c r="B53" s="1248" t="s">
        <v>44</v>
      </c>
      <c r="C53" s="1249">
        <v>226</v>
      </c>
      <c r="D53" s="1249">
        <v>4415203.3393999999</v>
      </c>
      <c r="E53" s="1249">
        <v>592</v>
      </c>
      <c r="F53" s="1249">
        <v>2942318.6003999999</v>
      </c>
    </row>
    <row r="54" spans="1:6">
      <c r="A54" s="1248" t="s">
        <v>45</v>
      </c>
      <c r="B54" s="1248" t="s">
        <v>46</v>
      </c>
      <c r="C54" s="1249">
        <v>0</v>
      </c>
      <c r="D54" s="1249">
        <v>0</v>
      </c>
      <c r="E54" s="1249">
        <v>1</v>
      </c>
      <c r="F54" s="1249">
        <v>1362176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77</v>
      </c>
      <c r="D57" s="1249">
        <v>9370219.0526000001</v>
      </c>
      <c r="E57" s="1249">
        <v>121</v>
      </c>
      <c r="F57" s="1249">
        <v>7968097.8547999999</v>
      </c>
    </row>
    <row r="58" spans="1:6">
      <c r="A58" s="1248" t="s">
        <v>48</v>
      </c>
      <c r="B58" s="1248" t="s">
        <v>50</v>
      </c>
      <c r="C58" s="1249">
        <v>57</v>
      </c>
      <c r="D58" s="1249">
        <v>7171945.6869000001</v>
      </c>
      <c r="E58" s="1249">
        <v>85</v>
      </c>
      <c r="F58" s="1249">
        <v>8218827.0645000003</v>
      </c>
    </row>
    <row r="59" spans="1:6">
      <c r="A59" s="1248" t="s">
        <v>48</v>
      </c>
      <c r="B59" s="1248" t="s">
        <v>51</v>
      </c>
      <c r="C59" s="1249">
        <v>254</v>
      </c>
      <c r="D59" s="1249">
        <v>21130950.533</v>
      </c>
      <c r="E59" s="1249">
        <v>468</v>
      </c>
      <c r="F59" s="1249">
        <v>24116668.002999999</v>
      </c>
    </row>
    <row r="60" spans="1:6">
      <c r="A60" s="1248" t="s">
        <v>48</v>
      </c>
      <c r="B60" s="1248" t="s">
        <v>52</v>
      </c>
      <c r="C60" s="1249">
        <v>120</v>
      </c>
      <c r="D60" s="1249">
        <v>5777823.6079000002</v>
      </c>
      <c r="E60" s="1249">
        <v>143</v>
      </c>
      <c r="F60" s="1249">
        <v>4049299.4024999999</v>
      </c>
    </row>
    <row r="61" spans="1:6">
      <c r="A61" s="1248" t="s">
        <v>48</v>
      </c>
      <c r="B61" s="1248" t="s">
        <v>53</v>
      </c>
      <c r="C61" s="1249">
        <v>343</v>
      </c>
      <c r="D61" s="1249">
        <v>16353150.068</v>
      </c>
      <c r="E61" s="1249">
        <v>585</v>
      </c>
      <c r="F61" s="1249">
        <v>15652853.444</v>
      </c>
    </row>
    <row r="62" spans="1:6">
      <c r="A62" s="1248" t="s">
        <v>48</v>
      </c>
      <c r="B62" s="1248" t="s">
        <v>54</v>
      </c>
      <c r="C62" s="1249">
        <v>34</v>
      </c>
      <c r="D62" s="1249">
        <v>5958192.6621000003</v>
      </c>
      <c r="E62" s="1249">
        <v>38</v>
      </c>
      <c r="F62" s="1249">
        <v>3047776.2089999998</v>
      </c>
    </row>
    <row r="63" spans="1:6">
      <c r="A63" s="1248" t="s">
        <v>48</v>
      </c>
      <c r="B63" s="1248" t="s">
        <v>28</v>
      </c>
      <c r="C63" s="1249">
        <v>107</v>
      </c>
      <c r="D63" s="1249">
        <v>7993295.6223999998</v>
      </c>
      <c r="E63" s="1249">
        <v>100</v>
      </c>
      <c r="F63" s="1249">
        <v>9699956.1021999996</v>
      </c>
    </row>
    <row r="64" spans="1:6">
      <c r="A64" s="1248" t="s">
        <v>55</v>
      </c>
      <c r="B64" s="1248" t="s">
        <v>56</v>
      </c>
      <c r="C64" s="1249">
        <v>0</v>
      </c>
      <c r="D64" s="1249">
        <v>0</v>
      </c>
      <c r="E64" s="1249">
        <v>0</v>
      </c>
      <c r="F64" s="1249">
        <v>0</v>
      </c>
    </row>
    <row r="65" spans="1:6">
      <c r="A65" s="1248" t="s">
        <v>55</v>
      </c>
      <c r="B65" s="1248" t="s">
        <v>28</v>
      </c>
      <c r="C65" s="1249">
        <v>3</v>
      </c>
      <c r="D65" s="1249">
        <v>194891.49075999999</v>
      </c>
      <c r="E65" s="1249">
        <v>2</v>
      </c>
      <c r="F65" s="1249">
        <v>9099.5190781000001</v>
      </c>
    </row>
    <row r="66" spans="1:6">
      <c r="A66" s="1248" t="s">
        <v>55</v>
      </c>
      <c r="B66" s="1248" t="s">
        <v>57</v>
      </c>
      <c r="C66" s="1249">
        <v>0</v>
      </c>
      <c r="D66" s="1249">
        <v>0</v>
      </c>
      <c r="E66" s="1249">
        <v>11</v>
      </c>
      <c r="F66" s="1249">
        <v>604015</v>
      </c>
    </row>
    <row r="67" spans="1:6">
      <c r="A67" s="1248" t="s">
        <v>55</v>
      </c>
      <c r="B67" s="1248" t="s">
        <v>58</v>
      </c>
      <c r="C67" s="1249">
        <v>0</v>
      </c>
      <c r="D67" s="1249">
        <v>0</v>
      </c>
      <c r="E67" s="1249">
        <v>0</v>
      </c>
      <c r="F67" s="1249">
        <v>0</v>
      </c>
    </row>
    <row r="68" spans="1:6">
      <c r="A68" s="1243" t="s">
        <v>55</v>
      </c>
      <c r="B68" s="1243" t="s">
        <v>59</v>
      </c>
      <c r="C68" s="1251">
        <v>8</v>
      </c>
      <c r="D68" s="1251">
        <v>339988.30128000001</v>
      </c>
      <c r="E68" s="1251">
        <v>27</v>
      </c>
      <c r="F68" s="1251">
        <v>597695.56782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115945122</v>
      </c>
      <c r="E73" s="439"/>
      <c r="F73" s="322"/>
    </row>
    <row r="74" spans="1:6">
      <c r="A74" s="1248" t="s">
        <v>63</v>
      </c>
      <c r="B74" s="1248" t="s">
        <v>626</v>
      </c>
      <c r="C74" s="1261" t="s">
        <v>628</v>
      </c>
      <c r="D74" s="1249">
        <v>7811543.263337478</v>
      </c>
      <c r="E74" s="439"/>
      <c r="F74" s="322"/>
    </row>
    <row r="75" spans="1:6">
      <c r="A75" s="1248" t="s">
        <v>64</v>
      </c>
      <c r="B75" s="1248" t="s">
        <v>625</v>
      </c>
      <c r="C75" s="1261" t="s">
        <v>629</v>
      </c>
      <c r="D75" s="1249">
        <v>31481756</v>
      </c>
      <c r="E75" s="439"/>
      <c r="F75" s="322"/>
    </row>
    <row r="76" spans="1:6">
      <c r="A76" s="1248" t="s">
        <v>64</v>
      </c>
      <c r="B76" s="1248" t="s">
        <v>626</v>
      </c>
      <c r="C76" s="1261" t="s">
        <v>630</v>
      </c>
      <c r="D76" s="1249">
        <v>1497850.263337478</v>
      </c>
      <c r="E76" s="439"/>
      <c r="F76" s="322"/>
    </row>
    <row r="77" spans="1:6">
      <c r="A77" s="1248" t="s">
        <v>65</v>
      </c>
      <c r="B77" s="1248" t="s">
        <v>625</v>
      </c>
      <c r="C77" s="1261" t="s">
        <v>631</v>
      </c>
      <c r="D77" s="1249">
        <v>87239350</v>
      </c>
      <c r="E77" s="439"/>
      <c r="F77" s="322"/>
    </row>
    <row r="78" spans="1:6">
      <c r="A78" s="1243" t="s">
        <v>65</v>
      </c>
      <c r="B78" s="1243" t="s">
        <v>626</v>
      </c>
      <c r="C78" s="1243" t="s">
        <v>632</v>
      </c>
      <c r="D78" s="1251">
        <v>15107325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637109.47332504392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4552.531601400723</v>
      </c>
      <c r="C91" s="322"/>
      <c r="D91" s="322"/>
      <c r="E91" s="322"/>
      <c r="F91" s="322"/>
    </row>
    <row r="92" spans="1:6">
      <c r="A92" s="1243" t="s">
        <v>68</v>
      </c>
      <c r="B92" s="1244">
        <v>6166.6775623377453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6292</v>
      </c>
      <c r="C97" s="322"/>
      <c r="D97" s="322"/>
      <c r="E97" s="322"/>
      <c r="F97" s="322"/>
    </row>
    <row r="98" spans="1:6">
      <c r="A98" s="1248" t="s">
        <v>71</v>
      </c>
      <c r="B98" s="1249">
        <v>7</v>
      </c>
      <c r="C98" s="322"/>
      <c r="D98" s="322"/>
      <c r="E98" s="322"/>
      <c r="F98" s="322"/>
    </row>
    <row r="99" spans="1:6">
      <c r="A99" s="1248" t="s">
        <v>72</v>
      </c>
      <c r="B99" s="1249">
        <v>107</v>
      </c>
      <c r="C99" s="322"/>
      <c r="D99" s="322"/>
      <c r="E99" s="322"/>
      <c r="F99" s="322"/>
    </row>
    <row r="100" spans="1:6">
      <c r="A100" s="1248" t="s">
        <v>73</v>
      </c>
      <c r="B100" s="1249">
        <v>383</v>
      </c>
      <c r="C100" s="322"/>
      <c r="D100" s="322"/>
      <c r="E100" s="322"/>
      <c r="F100" s="322"/>
    </row>
    <row r="101" spans="1:6">
      <c r="A101" s="1248" t="s">
        <v>74</v>
      </c>
      <c r="B101" s="1249">
        <v>115</v>
      </c>
      <c r="C101" s="322"/>
      <c r="D101" s="322"/>
      <c r="E101" s="322"/>
      <c r="F101" s="322"/>
    </row>
    <row r="102" spans="1:6">
      <c r="A102" s="1248" t="s">
        <v>75</v>
      </c>
      <c r="B102" s="1249">
        <v>106</v>
      </c>
      <c r="C102" s="322"/>
      <c r="D102" s="322"/>
      <c r="E102" s="322"/>
      <c r="F102" s="322"/>
    </row>
    <row r="103" spans="1:6">
      <c r="A103" s="1248" t="s">
        <v>76</v>
      </c>
      <c r="B103" s="1249">
        <v>207</v>
      </c>
      <c r="C103" s="322"/>
      <c r="D103" s="322"/>
      <c r="E103" s="322"/>
      <c r="F103" s="322"/>
    </row>
    <row r="104" spans="1:6">
      <c r="A104" s="1248" t="s">
        <v>77</v>
      </c>
      <c r="B104" s="1249">
        <v>2932</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2</v>
      </c>
      <c r="C110" s="322"/>
      <c r="D110" s="322"/>
      <c r="E110" s="322"/>
      <c r="F110" s="322"/>
    </row>
    <row r="111" spans="1:6">
      <c r="A111" s="1266" t="s">
        <v>612</v>
      </c>
      <c r="B111" s="1267">
        <v>2</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26</v>
      </c>
      <c r="D123" s="322"/>
      <c r="E123" s="322"/>
      <c r="F123" s="322"/>
    </row>
    <row r="124" spans="1:6">
      <c r="A124" s="1248" t="s">
        <v>88</v>
      </c>
      <c r="B124" s="1249">
        <v>2</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217</v>
      </c>
      <c r="C129" s="322"/>
      <c r="D129" s="322"/>
      <c r="E129" s="322"/>
      <c r="F129" s="322"/>
    </row>
    <row r="130" spans="1:6">
      <c r="A130" s="1248" t="s">
        <v>284</v>
      </c>
      <c r="B130" s="1249">
        <v>1</v>
      </c>
      <c r="C130" s="322"/>
      <c r="D130" s="322"/>
      <c r="E130" s="322"/>
      <c r="F130" s="322"/>
    </row>
    <row r="131" spans="1:6">
      <c r="A131" s="1248" t="s">
        <v>285</v>
      </c>
      <c r="B131" s="1249">
        <v>18</v>
      </c>
      <c r="C131" s="322"/>
      <c r="D131" s="322"/>
      <c r="E131" s="322"/>
      <c r="F131" s="322"/>
    </row>
    <row r="132" spans="1:6">
      <c r="A132" s="1243" t="s">
        <v>286</v>
      </c>
      <c r="B132" s="1244">
        <v>21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221578.77664792642</v>
      </c>
      <c r="C3" s="43" t="s">
        <v>163</v>
      </c>
      <c r="D3" s="43"/>
      <c r="E3" s="153"/>
      <c r="F3" s="43"/>
      <c r="G3" s="43"/>
      <c r="H3" s="43"/>
      <c r="I3" s="43"/>
      <c r="J3" s="43"/>
      <c r="K3" s="96"/>
    </row>
    <row r="4" spans="1:11">
      <c r="A4" s="348" t="s">
        <v>164</v>
      </c>
      <c r="B4" s="49">
        <f>IF(ISERROR('SEAP template'!B78+'SEAP template'!C78),0,'SEAP template'!B78+'SEAP template'!C78)</f>
        <v>34933.709163738473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5540.6223529411773</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0.21116274299723001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7915.1747899159682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33306.428571428572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1362.1759999999999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1362.1759999999999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0.21116274299723001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287.64082060499476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38973.796468999994</v>
      </c>
      <c r="C5" s="17">
        <f>IF(ISERROR('Eigen informatie GS &amp; warmtenet'!B57),0,'Eigen informatie GS &amp; warmtenet'!B57)</f>
        <v>0</v>
      </c>
      <c r="D5" s="30">
        <f>(SUM(HH_hh_gas_kWh,HH_rest_gas_kWh)/1000)*0.902</f>
        <v>129713.44123473999</v>
      </c>
      <c r="E5" s="17">
        <f>B32*B41</f>
        <v>1484.6255620622239</v>
      </c>
      <c r="F5" s="17">
        <f>B36*B45</f>
        <v>40364.030406734186</v>
      </c>
      <c r="G5" s="18"/>
      <c r="H5" s="17"/>
      <c r="I5" s="17"/>
      <c r="J5" s="17">
        <f>B35*B44+C35*C44</f>
        <v>744.38481589290222</v>
      </c>
      <c r="K5" s="17"/>
      <c r="L5" s="17"/>
      <c r="M5" s="17"/>
      <c r="N5" s="17">
        <f>B34*B43+C34*C43</f>
        <v>15137.950325171811</v>
      </c>
      <c r="O5" s="17">
        <f>B52*B53*B54</f>
        <v>379.89000000000004</v>
      </c>
      <c r="P5" s="17">
        <f>B60*B61*B62/1000-B60*B61*B62/1000/B63</f>
        <v>953.33333333333326</v>
      </c>
    </row>
    <row r="6" spans="1:16">
      <c r="A6" s="16" t="s">
        <v>586</v>
      </c>
      <c r="B6" s="716">
        <f>kWh_PV_kleiner_dan_10kW</f>
        <v>4552.531601400723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43526.328070400719</v>
      </c>
      <c r="C8" s="21">
        <f>C5</f>
        <v>0</v>
      </c>
      <c r="D8" s="21">
        <f>D5</f>
        <v>129713.44123473999</v>
      </c>
      <c r="E8" s="21">
        <f>E5</f>
        <v>1484.6255620622239</v>
      </c>
      <c r="F8" s="21">
        <f>F5</f>
        <v>40364.030406734186</v>
      </c>
      <c r="G8" s="21"/>
      <c r="H8" s="21"/>
      <c r="I8" s="21"/>
      <c r="J8" s="21">
        <f>J5</f>
        <v>744.38481589290222</v>
      </c>
      <c r="K8" s="21"/>
      <c r="L8" s="21">
        <f>L5</f>
        <v>0</v>
      </c>
      <c r="M8" s="21">
        <f>M5</f>
        <v>0</v>
      </c>
      <c r="N8" s="21">
        <f>N5</f>
        <v>15137.950325171811</v>
      </c>
      <c r="O8" s="21">
        <f>O5</f>
        <v>379.89000000000004</v>
      </c>
      <c r="P8" s="21">
        <f>P5</f>
        <v>953.33333333333326</v>
      </c>
    </row>
    <row r="9" spans="1:16">
      <c r="B9" s="19"/>
      <c r="C9" s="19"/>
      <c r="D9" s="253"/>
      <c r="E9" s="19"/>
      <c r="F9" s="19"/>
      <c r="G9" s="19"/>
      <c r="H9" s="19"/>
      <c r="I9" s="19"/>
      <c r="J9" s="19"/>
      <c r="K9" s="19"/>
      <c r="L9" s="19"/>
      <c r="M9" s="19"/>
      <c r="N9" s="19"/>
      <c r="O9" s="19"/>
      <c r="P9" s="19"/>
    </row>
    <row r="10" spans="1:16">
      <c r="A10" s="24" t="s">
        <v>207</v>
      </c>
      <c r="B10" s="25">
        <f ca="1">'EF ele_warmte'!B12</f>
        <v>0.21116274299723001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9191.1388279431449</v>
      </c>
      <c r="C12" s="23">
        <f ca="1">C10*C8</f>
        <v>0</v>
      </c>
      <c r="D12" s="23">
        <f>D8*D10</f>
        <v>26202.115129417482</v>
      </c>
      <c r="E12" s="23">
        <f>E10*E8</f>
        <v>337.01000258812485</v>
      </c>
      <c r="F12" s="23">
        <f>F10*F8</f>
        <v>10777.196118598029</v>
      </c>
      <c r="G12" s="23"/>
      <c r="H12" s="23"/>
      <c r="I12" s="23"/>
      <c r="J12" s="23">
        <f>J10*J8</f>
        <v>263.51222482608739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12216</v>
      </c>
      <c r="C26" s="36"/>
      <c r="D26" s="224"/>
    </row>
    <row r="27" spans="1:5" s="15" customFormat="1">
      <c r="A27" s="226" t="s">
        <v>655</v>
      </c>
      <c r="B27" s="37">
        <f>SUM(HH_hh_gas_aantal,HH_rest_gas_aantal)</f>
        <v>9839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9347.0499999999993</v>
      </c>
      <c r="C31" s="34" t="s">
        <v>104</v>
      </c>
      <c r="D31" s="170"/>
    </row>
    <row r="32" spans="1:5">
      <c r="A32" s="167" t="s">
        <v>72</v>
      </c>
      <c r="B32" s="33">
        <f>IF((B21*($B$26-($B$27-0.05*$B$27)-$B$60))&lt;0,0,B21*($B$26-($B$27-0.05*$B$27)-$B$60))</f>
        <v>18.191887565799242</v>
      </c>
      <c r="C32" s="34" t="s">
        <v>104</v>
      </c>
      <c r="D32" s="170"/>
    </row>
    <row r="33" spans="1:6">
      <c r="A33" s="167" t="s">
        <v>73</v>
      </c>
      <c r="B33" s="33">
        <f>IF((B22*($B$26-($B$27-0.05*$B$27)-$B$60))&lt;0,0,B22*($B$26-($B$27-0.05*$B$27)-$B$60))</f>
        <v>633.50761097488601</v>
      </c>
      <c r="C33" s="34" t="s">
        <v>104</v>
      </c>
      <c r="D33" s="170"/>
    </row>
    <row r="34" spans="1:6">
      <c r="A34" s="167" t="s">
        <v>74</v>
      </c>
      <c r="B34" s="33">
        <f>IF((B24*($B$26-($B$27-0.05*$B$27)-$B$60))&lt;0,0,B24*($B$26-($B$27-0.05*$B$27)-$B$60))</f>
        <v>125.80162993656805</v>
      </c>
      <c r="C34" s="33">
        <f>B26*C24</f>
        <v>2500.1551503100964</v>
      </c>
      <c r="D34" s="229"/>
    </row>
    <row r="35" spans="1:6">
      <c r="A35" s="167" t="s">
        <v>76</v>
      </c>
      <c r="B35" s="33">
        <f>IF((B19*($B$26-($B$27-0.05*$B$27)-$B$60))&lt;0,0,B19*($B$26-($B$27-0.05*$B$27)-$B$60))</f>
        <v>61.43527308660903</v>
      </c>
      <c r="C35" s="33">
        <f>B35/2</f>
        <v>30.717636543304515</v>
      </c>
      <c r="D35" s="229"/>
    </row>
    <row r="36" spans="1:6">
      <c r="A36" s="167" t="s">
        <v>77</v>
      </c>
      <c r="B36" s="33">
        <f>IF((B18*($B$26-($B$27-0.05*$B$27)-$B$60))&lt;0,0,B18*($B$26-($B$27-0.05*$B$27)-$B$60))</f>
        <v>1980.0135984361391</v>
      </c>
      <c r="C36" s="34" t="s">
        <v>104</v>
      </c>
      <c r="D36" s="170"/>
    </row>
    <row r="37" spans="1:6">
      <c r="A37" s="167" t="s">
        <v>78</v>
      </c>
      <c r="B37" s="33">
        <f>B60</f>
        <v>50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243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72753.478080000001</v>
      </c>
      <c r="C5" s="17">
        <f>IF(ISERROR('Eigen informatie GS &amp; warmtenet'!B58),0,'Eigen informatie GS &amp; warmtenet'!B58)</f>
        <v>0</v>
      </c>
      <c r="D5" s="30">
        <f>SUM(D6:D12)</f>
        <v>66527.530664075806</v>
      </c>
      <c r="E5" s="17">
        <f>SUM(E6:E12)</f>
        <v>1114.9118121792083</v>
      </c>
      <c r="F5" s="17">
        <f>SUM(F6:F12)</f>
        <v>15892.93429146217</v>
      </c>
      <c r="G5" s="18"/>
      <c r="H5" s="17"/>
      <c r="I5" s="17"/>
      <c r="J5" s="17">
        <f>SUM(J6:J12)</f>
        <v>0.11776337562897168</v>
      </c>
      <c r="K5" s="17"/>
      <c r="L5" s="17"/>
      <c r="M5" s="17"/>
      <c r="N5" s="17">
        <f>SUM(N6:N12)</f>
        <v>4258.7578910504053</v>
      </c>
      <c r="O5" s="17">
        <f>B38*B39*B40</f>
        <v>1.5633333333333335</v>
      </c>
      <c r="P5" s="17">
        <f>B46*B47*B48/1000-B46*B47*B48/1000/B49</f>
        <v>343.2</v>
      </c>
      <c r="R5" s="32"/>
    </row>
    <row r="6" spans="1:18">
      <c r="A6" s="32" t="s">
        <v>53</v>
      </c>
      <c r="B6" s="37">
        <f>B26</f>
        <v>15652.853444</v>
      </c>
      <c r="C6" s="33"/>
      <c r="D6" s="37">
        <f>IF(ISERROR(TER_kantoor_gas_kWh/1000),0,TER_kantoor_gas_kWh/1000)*0.902</f>
        <v>14750.541361336002</v>
      </c>
      <c r="E6" s="33">
        <f>$C$26*'E Balans VL '!I12/100/3.6*1000000</f>
        <v>8.9114290872275688E-18</v>
      </c>
      <c r="F6" s="33">
        <f>$C$26*('E Balans VL '!L12+'E Balans VL '!N12)/100/3.6*1000000</f>
        <v>2116.0078707295725</v>
      </c>
      <c r="G6" s="34"/>
      <c r="H6" s="33"/>
      <c r="I6" s="33"/>
      <c r="J6" s="33">
        <f>$C$26*('E Balans VL '!D12+'E Balans VL '!E12)/100/3.6*1000000</f>
        <v>0</v>
      </c>
      <c r="K6" s="33"/>
      <c r="L6" s="33"/>
      <c r="M6" s="33"/>
      <c r="N6" s="33">
        <f>$C$26*'E Balans VL '!Y12/100/3.6*1000000</f>
        <v>19.672456257973742</v>
      </c>
      <c r="O6" s="33"/>
      <c r="P6" s="33"/>
      <c r="R6" s="32"/>
    </row>
    <row r="7" spans="1:18">
      <c r="A7" s="32" t="s">
        <v>52</v>
      </c>
      <c r="B7" s="37">
        <f t="shared" ref="B7:B12" si="0">B27</f>
        <v>4049.2994024999998</v>
      </c>
      <c r="C7" s="33"/>
      <c r="D7" s="37">
        <f>IF(ISERROR(TER_horeca_gas_kWh/1000),0,TER_horeca_gas_kWh/1000)*0.902</f>
        <v>5211.5968943258003</v>
      </c>
      <c r="E7" s="33">
        <f>$C$27*'E Balans VL '!I9/100/3.6*1000000</f>
        <v>51.717792917969341</v>
      </c>
      <c r="F7" s="33">
        <f>$C$27*('E Balans VL '!L9+'E Balans VL '!N9)/100/3.6*1000000</f>
        <v>457.35017331954549</v>
      </c>
      <c r="G7" s="34"/>
      <c r="H7" s="33"/>
      <c r="I7" s="33"/>
      <c r="J7" s="33">
        <f>$C$27*('E Balans VL '!D9+'E Balans VL '!E9)/100/3.6*1000000</f>
        <v>0</v>
      </c>
      <c r="K7" s="33"/>
      <c r="L7" s="33"/>
      <c r="M7" s="33"/>
      <c r="N7" s="33">
        <f>$C$27*'E Balans VL '!Y9/100/3.6*1000000</f>
        <v>0.96496523592571581</v>
      </c>
      <c r="O7" s="33"/>
      <c r="P7" s="33"/>
      <c r="R7" s="32"/>
    </row>
    <row r="8" spans="1:18">
      <c r="A8" s="6" t="s">
        <v>51</v>
      </c>
      <c r="B8" s="37">
        <f t="shared" si="0"/>
        <v>24116.668002999999</v>
      </c>
      <c r="C8" s="33"/>
      <c r="D8" s="37">
        <f>IF(ISERROR(TER_handel_gas_kWh/1000),0,TER_handel_gas_kWh/1000)*0.902</f>
        <v>19060.117380766002</v>
      </c>
      <c r="E8" s="33">
        <f>$C$28*'E Balans VL '!I13/100/3.6*1000000</f>
        <v>787.61123287810767</v>
      </c>
      <c r="F8" s="33">
        <f>$C$28*('E Balans VL '!L13+'E Balans VL '!N13)/100/3.6*1000000</f>
        <v>4175.6051129162042</v>
      </c>
      <c r="G8" s="34"/>
      <c r="H8" s="33"/>
      <c r="I8" s="33"/>
      <c r="J8" s="33">
        <f>$C$28*('E Balans VL '!D13+'E Balans VL '!E13)/100/3.6*1000000</f>
        <v>0</v>
      </c>
      <c r="K8" s="33"/>
      <c r="L8" s="33"/>
      <c r="M8" s="33"/>
      <c r="N8" s="33">
        <f>$C$28*'E Balans VL '!Y13/100/3.6*1000000</f>
        <v>28.384649247626754</v>
      </c>
      <c r="O8" s="33"/>
      <c r="P8" s="33"/>
      <c r="R8" s="32"/>
    </row>
    <row r="9" spans="1:18">
      <c r="A9" s="32" t="s">
        <v>50</v>
      </c>
      <c r="B9" s="37">
        <f t="shared" si="0"/>
        <v>8218.8270645000011</v>
      </c>
      <c r="C9" s="33"/>
      <c r="D9" s="37">
        <f>IF(ISERROR(TER_gezond_gas_kWh/1000),0,TER_gezond_gas_kWh/1000)*0.902</f>
        <v>6469.0950095838007</v>
      </c>
      <c r="E9" s="33">
        <f>$C$29*'E Balans VL '!I10/100/3.6*1000000</f>
        <v>0.45895995460502759</v>
      </c>
      <c r="F9" s="33">
        <f>$C$29*('E Balans VL '!L10+'E Balans VL '!N10)/100/3.6*1000000</f>
        <v>1088.9640108519943</v>
      </c>
      <c r="G9" s="34"/>
      <c r="H9" s="33"/>
      <c r="I9" s="33"/>
      <c r="J9" s="33">
        <f>$C$29*('E Balans VL '!D10+'E Balans VL '!E10)/100/3.6*1000000</f>
        <v>0</v>
      </c>
      <c r="K9" s="33"/>
      <c r="L9" s="33"/>
      <c r="M9" s="33"/>
      <c r="N9" s="33">
        <f>$C$29*'E Balans VL '!Y10/100/3.6*1000000</f>
        <v>87.114042752865629</v>
      </c>
      <c r="O9" s="33"/>
      <c r="P9" s="33"/>
      <c r="R9" s="32"/>
    </row>
    <row r="10" spans="1:18">
      <c r="A10" s="32" t="s">
        <v>49</v>
      </c>
      <c r="B10" s="37">
        <f t="shared" si="0"/>
        <v>7968.0978548000003</v>
      </c>
      <c r="C10" s="33"/>
      <c r="D10" s="37">
        <f>IF(ISERROR(TER_ander_gas_kWh/1000),0,TER_ander_gas_kWh/1000)*0.902</f>
        <v>8451.9375854451991</v>
      </c>
      <c r="E10" s="33">
        <f>$C$30*'E Balans VL '!I14/100/3.6*1000000</f>
        <v>102.89543560153182</v>
      </c>
      <c r="F10" s="33">
        <f>$C$30*('E Balans VL '!L14+'E Balans VL '!N14)/100/3.6*1000000</f>
        <v>5259.5129256512437</v>
      </c>
      <c r="G10" s="34"/>
      <c r="H10" s="33"/>
      <c r="I10" s="33"/>
      <c r="J10" s="33">
        <f>$C$30*('E Balans VL '!D14+'E Balans VL '!E14)/100/3.6*1000000</f>
        <v>9.6527245376385379E-2</v>
      </c>
      <c r="K10" s="33"/>
      <c r="L10" s="33"/>
      <c r="M10" s="33"/>
      <c r="N10" s="33">
        <f>$C$30*'E Balans VL '!Y14/100/3.6*1000000</f>
        <v>3360.114422713099</v>
      </c>
      <c r="O10" s="33"/>
      <c r="P10" s="33"/>
      <c r="R10" s="32"/>
    </row>
    <row r="11" spans="1:18">
      <c r="A11" s="32" t="s">
        <v>54</v>
      </c>
      <c r="B11" s="37">
        <f t="shared" si="0"/>
        <v>3047.7762089999997</v>
      </c>
      <c r="C11" s="33"/>
      <c r="D11" s="37">
        <f>IF(ISERROR(TER_onderwijs_gas_kWh/1000),0,TER_onderwijs_gas_kWh/1000)*0.902</f>
        <v>5374.2897812142</v>
      </c>
      <c r="E11" s="33">
        <f>$C$31*'E Balans VL '!I11/100/3.6*1000000</f>
        <v>41.015506975470785</v>
      </c>
      <c r="F11" s="33">
        <f>$C$31*('E Balans VL '!L11+'E Balans VL '!N11)/100/3.6*1000000</f>
        <v>476.29815874436554</v>
      </c>
      <c r="G11" s="34"/>
      <c r="H11" s="33"/>
      <c r="I11" s="33"/>
      <c r="J11" s="33">
        <f>$C$31*('E Balans VL '!D11+'E Balans VL '!E11)/100/3.6*1000000</f>
        <v>0</v>
      </c>
      <c r="K11" s="33"/>
      <c r="L11" s="33"/>
      <c r="M11" s="33"/>
      <c r="N11" s="33">
        <f>$C$31*'E Balans VL '!Y11/100/3.6*1000000</f>
        <v>7.0374596865105987</v>
      </c>
      <c r="O11" s="33"/>
      <c r="P11" s="33"/>
      <c r="R11" s="32"/>
    </row>
    <row r="12" spans="1:18">
      <c r="A12" s="32" t="s">
        <v>249</v>
      </c>
      <c r="B12" s="37">
        <f t="shared" si="0"/>
        <v>9699.9561021999998</v>
      </c>
      <c r="C12" s="33"/>
      <c r="D12" s="37">
        <f>IF(ISERROR(TER_rest_gas_kWh/1000),0,TER_rest_gas_kWh/1000)*0.902</f>
        <v>7209.9526514048002</v>
      </c>
      <c r="E12" s="33">
        <f>$C$32*'E Balans VL '!I8/100/3.6*1000000</f>
        <v>131.2128838515236</v>
      </c>
      <c r="F12" s="33">
        <f>$C$32*('E Balans VL '!L8+'E Balans VL '!N8)/100/3.6*1000000</f>
        <v>2319.1960392492433</v>
      </c>
      <c r="G12" s="34"/>
      <c r="H12" s="33"/>
      <c r="I12" s="33"/>
      <c r="J12" s="33">
        <f>$C$32*('E Balans VL '!D8+'E Balans VL '!E8)/100/3.6*1000000</f>
        <v>2.1236130252586312E-2</v>
      </c>
      <c r="K12" s="33"/>
      <c r="L12" s="33"/>
      <c r="M12" s="33"/>
      <c r="N12" s="33">
        <f>$C$32*'E Balans VL '!Y8/100/3.6*1000000</f>
        <v>755.46989515640462</v>
      </c>
      <c r="O12" s="33"/>
      <c r="P12" s="33"/>
      <c r="R12" s="32"/>
    </row>
    <row r="13" spans="1:18">
      <c r="A13" s="16" t="s">
        <v>477</v>
      </c>
      <c r="B13" s="242">
        <f ca="1">'lokale energieproductie'!N39+'lokale energieproductie'!N32</f>
        <v>900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-2571.4285714285716</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73653.478080000001</v>
      </c>
      <c r="C16" s="21">
        <f t="shared" ca="1" si="1"/>
        <v>0</v>
      </c>
      <c r="D16" s="21">
        <f t="shared" ca="1" si="1"/>
        <v>66527.530664075806</v>
      </c>
      <c r="E16" s="21">
        <f t="shared" si="1"/>
        <v>1114.9118121792083</v>
      </c>
      <c r="F16" s="21">
        <f t="shared" ca="1" si="1"/>
        <v>15892.93429146217</v>
      </c>
      <c r="G16" s="21">
        <f t="shared" si="1"/>
        <v>0</v>
      </c>
      <c r="H16" s="21">
        <f t="shared" si="1"/>
        <v>0</v>
      </c>
      <c r="I16" s="21">
        <f t="shared" si="1"/>
        <v>0</v>
      </c>
      <c r="J16" s="21">
        <f t="shared" si="1"/>
        <v>0.11776337562897168</v>
      </c>
      <c r="K16" s="21">
        <f t="shared" si="1"/>
        <v>0</v>
      </c>
      <c r="L16" s="21">
        <f t="shared" ca="1" si="1"/>
        <v>0</v>
      </c>
      <c r="M16" s="21">
        <f t="shared" si="1"/>
        <v>0</v>
      </c>
      <c r="N16" s="21">
        <f t="shared" ca="1" si="1"/>
        <v>1687.3293196218337</v>
      </c>
      <c r="O16" s="21">
        <f>O5</f>
        <v>1.5633333333333335</v>
      </c>
      <c r="P16" s="21">
        <f>P5</f>
        <v>343.2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0.21116274299723001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15552.870462659153</v>
      </c>
      <c r="C20" s="23">
        <f t="shared" ref="C20:P20" ca="1" si="2">C16*C18</f>
        <v>0</v>
      </c>
      <c r="D20" s="23">
        <f t="shared" ca="1" si="2"/>
        <v>13438.561194143314</v>
      </c>
      <c r="E20" s="23">
        <f t="shared" si="2"/>
        <v>253.08498136468029</v>
      </c>
      <c r="F20" s="23">
        <f t="shared" ca="1" si="2"/>
        <v>4243.4134558203996</v>
      </c>
      <c r="G20" s="23">
        <f t="shared" si="2"/>
        <v>0</v>
      </c>
      <c r="H20" s="23">
        <f t="shared" si="2"/>
        <v>0</v>
      </c>
      <c r="I20" s="23">
        <f t="shared" si="2"/>
        <v>0</v>
      </c>
      <c r="J20" s="23">
        <f t="shared" si="2"/>
        <v>4.1688234972655974E-2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15652.853444</v>
      </c>
      <c r="C26" s="39">
        <f>IF(ISERROR(B26*3.6/1000000/'E Balans VL '!Z12*100),0,B26*3.6/1000000/'E Balans VL '!Z12*100)</f>
        <v>0.41998501892629714</v>
      </c>
      <c r="D26" s="232" t="s">
        <v>621</v>
      </c>
      <c r="F26" s="6"/>
    </row>
    <row r="27" spans="1:18">
      <c r="A27" s="227" t="s">
        <v>52</v>
      </c>
      <c r="B27" s="33">
        <f>IF(ISERROR(TER_horeca_ele_kWh/1000),0,TER_horeca_ele_kWh/1000)</f>
        <v>4049.2994024999998</v>
      </c>
      <c r="C27" s="39">
        <f>IF(ISERROR(B27*3.6/1000000/'E Balans VL '!Z9*100),0,B27*3.6/1000000/'E Balans VL '!Z9*100)</f>
        <v>0.32168855242080308</v>
      </c>
      <c r="D27" s="232" t="s">
        <v>621</v>
      </c>
      <c r="F27" s="6"/>
    </row>
    <row r="28" spans="1:18">
      <c r="A28" s="167" t="s">
        <v>51</v>
      </c>
      <c r="B28" s="33">
        <f>IF(ISERROR(TER_handel_ele_kWh/1000),0,TER_handel_ele_kWh/1000)</f>
        <v>24116.668002999999</v>
      </c>
      <c r="C28" s="39">
        <f>IF(ISERROR(B28*3.6/1000000/'E Balans VL '!Z13*100),0,B28*3.6/1000000/'E Balans VL '!Z13*100)</f>
        <v>0.70540968707685114</v>
      </c>
      <c r="D28" s="232" t="s">
        <v>621</v>
      </c>
      <c r="F28" s="6"/>
    </row>
    <row r="29" spans="1:18">
      <c r="A29" s="227" t="s">
        <v>50</v>
      </c>
      <c r="B29" s="33">
        <f>IF(ISERROR(TER_gezond_ele_kWh/1000),0,TER_gezond_ele_kWh/1000)</f>
        <v>8218.8270645000011</v>
      </c>
      <c r="C29" s="39">
        <f>IF(ISERROR(B29*3.6/1000000/'E Balans VL '!Z10*100),0,B29*3.6/1000000/'E Balans VL '!Z10*100)</f>
        <v>0.87231266066678592</v>
      </c>
      <c r="D29" s="232" t="s">
        <v>621</v>
      </c>
      <c r="F29" s="6"/>
    </row>
    <row r="30" spans="1:18">
      <c r="A30" s="227" t="s">
        <v>49</v>
      </c>
      <c r="B30" s="33">
        <f>IF(ISERROR(TER_ander_ele_kWh/1000),0,TER_ander_ele_kWh/1000)</f>
        <v>7968.0978548000003</v>
      </c>
      <c r="C30" s="39">
        <f>IF(ISERROR(B30*3.6/1000000/'E Balans VL '!Z14*100),0,B30*3.6/1000000/'E Balans VL '!Z14*100)</f>
        <v>0.37062508890250356</v>
      </c>
      <c r="D30" s="232" t="s">
        <v>621</v>
      </c>
      <c r="F30" s="6"/>
    </row>
    <row r="31" spans="1:18">
      <c r="A31" s="227" t="s">
        <v>54</v>
      </c>
      <c r="B31" s="33">
        <f>IF(ISERROR(TER_onderwijs_ele_kWh/1000),0,TER_onderwijs_ele_kWh/1000)</f>
        <v>3047.7762089999997</v>
      </c>
      <c r="C31" s="39">
        <f>IF(ISERROR(B31*3.6/1000000/'E Balans VL '!Z11*100),0,B31*3.6/1000000/'E Balans VL '!Z11*100)</f>
        <v>0.76279521778517312</v>
      </c>
      <c r="D31" s="232" t="s">
        <v>621</v>
      </c>
    </row>
    <row r="32" spans="1:18">
      <c r="A32" s="227" t="s">
        <v>249</v>
      </c>
      <c r="B32" s="33">
        <f>IF(ISERROR(TER_rest_ele_kWh/1000),0,TER_rest_ele_kWh/1000)</f>
        <v>9699.9561021999998</v>
      </c>
      <c r="C32" s="39">
        <f>IF(ISERROR(B32*3.6/1000000/'E Balans VL '!Z8*100),0,B32*3.6/1000000/'E Balans VL '!Z8*100)</f>
        <v>8.1538042778701691E-2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18</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97811.485883079993</v>
      </c>
      <c r="C5" s="17">
        <f>IF(ISERROR('Eigen informatie GS &amp; warmtenet'!B59),0,'Eigen informatie GS &amp; warmtenet'!B59)</f>
        <v>0</v>
      </c>
      <c r="D5" s="30">
        <f>SUM(D6:D15)</f>
        <v>47579.012889377198</v>
      </c>
      <c r="E5" s="17">
        <f>SUM(E6:E15)</f>
        <v>6682.1403551956155</v>
      </c>
      <c r="F5" s="17">
        <f>SUM(F6:F15)</f>
        <v>33950.974432675415</v>
      </c>
      <c r="G5" s="18"/>
      <c r="H5" s="17"/>
      <c r="I5" s="17"/>
      <c r="J5" s="17">
        <f>SUM(J6:J15)</f>
        <v>531.74943641597758</v>
      </c>
      <c r="K5" s="17"/>
      <c r="L5" s="17"/>
      <c r="M5" s="17"/>
      <c r="N5" s="17">
        <f>SUM(N6:N15)</f>
        <v>7775.9392202005874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27700.196736000002</v>
      </c>
      <c r="C8" s="33"/>
      <c r="D8" s="37">
        <f>IF( ISERROR(IND_metaal_Gas_kWH/1000),0,IND_metaal_Gas_kWH/1000)*0.902</f>
        <v>1554.0692138223999</v>
      </c>
      <c r="E8" s="33">
        <f>C30*'E Balans VL '!I18/100/3.6*1000000</f>
        <v>996.73687733695829</v>
      </c>
      <c r="F8" s="33">
        <f>C30*'E Balans VL '!L18/100/3.6*1000000+C30*'E Balans VL '!N18/100/3.6*1000000</f>
        <v>12095.777970842673</v>
      </c>
      <c r="G8" s="34"/>
      <c r="H8" s="33"/>
      <c r="I8" s="33"/>
      <c r="J8" s="40">
        <f>C30*'E Balans VL '!D18/100/3.6*1000000+C30*'E Balans VL '!E18/100/3.6*1000000</f>
        <v>0</v>
      </c>
      <c r="K8" s="33"/>
      <c r="L8" s="33"/>
      <c r="M8" s="33"/>
      <c r="N8" s="33">
        <f>C30*'E Balans VL '!Y18/100/3.6*1000000</f>
        <v>1388.315036130025</v>
      </c>
      <c r="O8" s="33"/>
      <c r="P8" s="33"/>
      <c r="R8" s="32"/>
    </row>
    <row r="9" spans="1:18">
      <c r="A9" s="6" t="s">
        <v>32</v>
      </c>
      <c r="B9" s="37">
        <f t="shared" si="0"/>
        <v>10675.091666999999</v>
      </c>
      <c r="C9" s="33"/>
      <c r="D9" s="37">
        <f>IF( ISERROR(IND_andere_gas_kWh/1000),0,IND_andere_gas_kWh/1000)*0.902</f>
        <v>2683.6396550612003</v>
      </c>
      <c r="E9" s="33">
        <f>C31*'E Balans VL '!I19/100/3.6*1000000</f>
        <v>2724.0418627044101</v>
      </c>
      <c r="F9" s="33">
        <f>C31*'E Balans VL '!L19/100/3.6*1000000+C31*'E Balans VL '!N19/100/3.6*1000000</f>
        <v>9190.4515542038007</v>
      </c>
      <c r="G9" s="34"/>
      <c r="H9" s="33"/>
      <c r="I9" s="33"/>
      <c r="J9" s="40">
        <f>C31*'E Balans VL '!D19/100/3.6*1000000+C31*'E Balans VL '!E19/100/3.6*1000000</f>
        <v>0</v>
      </c>
      <c r="K9" s="33"/>
      <c r="L9" s="33"/>
      <c r="M9" s="33"/>
      <c r="N9" s="33">
        <f>C31*'E Balans VL '!Y19/100/3.6*1000000</f>
        <v>842.1398156321344</v>
      </c>
      <c r="O9" s="33"/>
      <c r="P9" s="33"/>
      <c r="R9" s="32"/>
    </row>
    <row r="10" spans="1:18">
      <c r="A10" s="6" t="s">
        <v>40</v>
      </c>
      <c r="B10" s="37">
        <f t="shared" si="0"/>
        <v>5971.0082583999992</v>
      </c>
      <c r="C10" s="33"/>
      <c r="D10" s="37">
        <f>IF( ISERROR(IND_voed_gas_kWh/1000),0,IND_voed_gas_kWh/1000)*0.902</f>
        <v>8370.5896518970003</v>
      </c>
      <c r="E10" s="33">
        <f>C32*'E Balans VL '!I20/100/3.6*1000000</f>
        <v>151.79122879475003</v>
      </c>
      <c r="F10" s="33">
        <f>C32*'E Balans VL '!L20/100/3.6*1000000+C32*'E Balans VL '!N20/100/3.6*1000000</f>
        <v>1351.1495363120441</v>
      </c>
      <c r="G10" s="34"/>
      <c r="H10" s="33"/>
      <c r="I10" s="33"/>
      <c r="J10" s="40">
        <f>C32*'E Balans VL '!D20/100/3.6*1000000+C32*'E Balans VL '!E20/100/3.6*1000000</f>
        <v>0</v>
      </c>
      <c r="K10" s="33"/>
      <c r="L10" s="33"/>
      <c r="M10" s="33"/>
      <c r="N10" s="33">
        <f>C32*'E Balans VL '!Y20/100/3.6*1000000</f>
        <v>2239.2899474450178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221.72698478000001</v>
      </c>
      <c r="C12" s="33"/>
      <c r="D12" s="37">
        <f>IF( ISERROR(IND_min_gas_kWh/1000),0,IND_min_gas_kWh/1000)*0.902</f>
        <v>0</v>
      </c>
      <c r="E12" s="33">
        <f>C34*'E Balans VL '!I22/100/3.6*1000000</f>
        <v>4.7111427294800858</v>
      </c>
      <c r="F12" s="33">
        <f>C34*'E Balans VL '!L22/100/3.6*1000000+C34*'E Balans VL '!N22/100/3.6*1000000</f>
        <v>36.176647146087035</v>
      </c>
      <c r="G12" s="34"/>
      <c r="H12" s="33"/>
      <c r="I12" s="33"/>
      <c r="J12" s="40">
        <f>C34*'E Balans VL '!D22/100/3.6*1000000+C34*'E Balans VL '!E22/100/3.6*1000000</f>
        <v>0.25833262894443298</v>
      </c>
      <c r="K12" s="33"/>
      <c r="L12" s="33"/>
      <c r="M12" s="33"/>
      <c r="N12" s="33">
        <f>C34*'E Balans VL '!Y22/100/3.6*1000000</f>
        <v>0</v>
      </c>
      <c r="O12" s="33"/>
      <c r="P12" s="33"/>
      <c r="R12" s="32"/>
    </row>
    <row r="13" spans="1:18">
      <c r="A13" s="6" t="s">
        <v>38</v>
      </c>
      <c r="B13" s="37">
        <f t="shared" si="0"/>
        <v>1696.8833368999999</v>
      </c>
      <c r="C13" s="33"/>
      <c r="D13" s="37">
        <f>IF( ISERROR(IND_papier_gas_kWh/1000),0,IND_papier_gas_kWh/1000)*0.902</f>
        <v>540.12925411059996</v>
      </c>
      <c r="E13" s="33">
        <f>C35*'E Balans VL '!I23/100/3.6*1000000</f>
        <v>7.2774389784247502</v>
      </c>
      <c r="F13" s="33">
        <f>C35*'E Balans VL '!L23/100/3.6*1000000+C35*'E Balans VL '!N23/100/3.6*1000000</f>
        <v>42.647945046890619</v>
      </c>
      <c r="G13" s="34"/>
      <c r="H13" s="33"/>
      <c r="I13" s="33"/>
      <c r="J13" s="40">
        <f>C35*'E Balans VL '!D23/100/3.6*1000000+C35*'E Balans VL '!E23/100/3.6*1000000</f>
        <v>113.59703238320537</v>
      </c>
      <c r="K13" s="33"/>
      <c r="L13" s="33"/>
      <c r="M13" s="33"/>
      <c r="N13" s="33">
        <f>C35*'E Balans VL '!Y23/100/3.6*1000000</f>
        <v>413.8081656053202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51546.5789</v>
      </c>
      <c r="C15" s="33"/>
      <c r="D15" s="37">
        <f>IF( ISERROR(IND_rest_gas_kWh/1000),0,IND_rest_gas_kWh/1000)*0.902</f>
        <v>34430.585114485999</v>
      </c>
      <c r="E15" s="33">
        <f>C37*'E Balans VL '!I15/100/3.6*1000000</f>
        <v>2797.5818046515919</v>
      </c>
      <c r="F15" s="33">
        <f>C37*'E Balans VL '!L15/100/3.6*1000000+C37*'E Balans VL '!N15/100/3.6*1000000</f>
        <v>11234.770779123919</v>
      </c>
      <c r="G15" s="34"/>
      <c r="H15" s="33"/>
      <c r="I15" s="33"/>
      <c r="J15" s="40">
        <f>C37*'E Balans VL '!D15/100/3.6*1000000+C37*'E Balans VL '!E15/100/3.6*1000000</f>
        <v>417.89407140382775</v>
      </c>
      <c r="K15" s="33"/>
      <c r="L15" s="33"/>
      <c r="M15" s="33"/>
      <c r="N15" s="33">
        <f>C37*'E Balans VL '!Y15/100/3.6*1000000</f>
        <v>2892.3862553880895</v>
      </c>
      <c r="O15" s="33"/>
      <c r="P15" s="33"/>
      <c r="R15" s="32"/>
    </row>
    <row r="16" spans="1:18">
      <c r="A16" s="16" t="s">
        <v>477</v>
      </c>
      <c r="B16" s="242">
        <f>'lokale energieproductie'!N38+'lokale energieproductie'!N31</f>
        <v>630.00000000000011</v>
      </c>
      <c r="C16" s="242">
        <f>'lokale energieproductie'!O38+'lokale energieproductie'!O31</f>
        <v>900.00000000000023</v>
      </c>
      <c r="D16" s="300">
        <f>('lokale energieproductie'!P31+'lokale energieproductie'!P38)*(-1)</f>
        <v>-1800.0000000000005</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98441.485883079993</v>
      </c>
      <c r="C18" s="21">
        <f>C5+C16</f>
        <v>900.00000000000023</v>
      </c>
      <c r="D18" s="21">
        <f>MAX((D5+D16),0)</f>
        <v>45779.012889377198</v>
      </c>
      <c r="E18" s="21">
        <f>MAX((E5+E16),0)</f>
        <v>6682.1403551956155</v>
      </c>
      <c r="F18" s="21">
        <f>MAX((F5+F16),0)</f>
        <v>33950.974432675415</v>
      </c>
      <c r="G18" s="21"/>
      <c r="H18" s="21"/>
      <c r="I18" s="21"/>
      <c r="J18" s="21">
        <f>MAX((J5+J16),0)</f>
        <v>531.74943641597758</v>
      </c>
      <c r="K18" s="21"/>
      <c r="L18" s="21">
        <f>MAX((L5+L16),0)</f>
        <v>0</v>
      </c>
      <c r="M18" s="21"/>
      <c r="N18" s="21">
        <f>MAX((N5+N16),0)</f>
        <v>7775.9392202005874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0.21116274299723001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20787.174183794268</v>
      </c>
      <c r="C22" s="23">
        <f ca="1">C18*C20</f>
        <v>213.88235294117658</v>
      </c>
      <c r="D22" s="23">
        <f>D18*D20</f>
        <v>9247.3606036541951</v>
      </c>
      <c r="E22" s="23">
        <f>E18*E20</f>
        <v>1516.8458606294048</v>
      </c>
      <c r="F22" s="23">
        <f>F18*F20</f>
        <v>9064.9101735243366</v>
      </c>
      <c r="G22" s="23"/>
      <c r="H22" s="23"/>
      <c r="I22" s="23"/>
      <c r="J22" s="23">
        <f>J18*J20</f>
        <v>188.23930049125605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27700.196736000002</v>
      </c>
      <c r="C30" s="39">
        <f>IF(ISERROR(B30*3.6/1000000/'E Balans VL '!Z18*100),0,B30*3.6/1000000/'E Balans VL '!Z18*100)</f>
        <v>5.8690778117923195</v>
      </c>
      <c r="D30" s="232" t="s">
        <v>621</v>
      </c>
    </row>
    <row r="31" spans="1:18">
      <c r="A31" s="6" t="s">
        <v>32</v>
      </c>
      <c r="B31" s="37">
        <f>IF( ISERROR(IND_ander_ele_kWh/1000),0,IND_ander_ele_kWh/1000)</f>
        <v>10675.091666999999</v>
      </c>
      <c r="C31" s="39">
        <f>IF(ISERROR(B31*3.6/1000000/'E Balans VL '!Z19*100),0,B31*3.6/1000000/'E Balans VL '!Z19*100)</f>
        <v>0.44933884782250394</v>
      </c>
      <c r="D31" s="232" t="s">
        <v>621</v>
      </c>
    </row>
    <row r="32" spans="1:18">
      <c r="A32" s="167" t="s">
        <v>40</v>
      </c>
      <c r="B32" s="37">
        <f>IF( ISERROR(IND_voed_ele_kWh/1000),0,IND_voed_ele_kWh/1000)</f>
        <v>5971.0082583999992</v>
      </c>
      <c r="C32" s="39">
        <f>IF(ISERROR(B32*3.6/1000000/'E Balans VL '!Z20*100),0,B32*3.6/1000000/'E Balans VL '!Z20*100)</f>
        <v>0.9975244868777966</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221.72698478000001</v>
      </c>
      <c r="C34" s="39">
        <f>IF(ISERROR(B34*3.6/1000000/'E Balans VL '!Z22*100),0,B34*3.6/1000000/'E Balans VL '!Z22*100)</f>
        <v>2.8105091090962261E-2</v>
      </c>
      <c r="D34" s="232" t="s">
        <v>621</v>
      </c>
    </row>
    <row r="35" spans="1:5">
      <c r="A35" s="167" t="s">
        <v>38</v>
      </c>
      <c r="B35" s="37">
        <f>IF( ISERROR(IND_papier_ele_kWh/1000),0,IND_papier_ele_kWh/1000)</f>
        <v>1696.8833368999999</v>
      </c>
      <c r="C35" s="39">
        <f>IF(ISERROR(B35*3.6/1000000/'E Balans VL '!Z22*100),0,B35*3.6/1000000/'E Balans VL '!Z22*100)</f>
        <v>0.21508911421688295</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51546.5789</v>
      </c>
      <c r="C37" s="39">
        <f>IF(ISERROR(B37*3.6/1000000/'E Balans VL '!Z15*100),0,B37*3.6/1000000/'E Balans VL '!Z15*100)</f>
        <v>0.41615549120988016</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1578.78770263</v>
      </c>
      <c r="C5" s="17">
        <f>'Eigen informatie GS &amp; warmtenet'!B60</f>
        <v>0</v>
      </c>
      <c r="D5" s="30">
        <f>IF(ISERROR(SUM(LB_lb_gas_kWh,LB_rest_gas_kWh)/1000),0,SUM(LB_lb_gas_kWh,LB_rest_gas_kWh)/1000)*0.902</f>
        <v>66294.470293333827</v>
      </c>
      <c r="E5" s="17">
        <f>B17*'E Balans VL '!I25/3.6*1000000/100</f>
        <v>31.277142158117876</v>
      </c>
      <c r="F5" s="17">
        <f>B17*('E Balans VL '!L25/3.6*1000000+'E Balans VL '!N25/3.6*1000000)/100</f>
        <v>5757.3934674889433</v>
      </c>
      <c r="G5" s="18"/>
      <c r="H5" s="17"/>
      <c r="I5" s="17"/>
      <c r="J5" s="17">
        <f>('E Balans VL '!D25+'E Balans VL '!E25)/3.6*1000000*landbouw!B17/100</f>
        <v>374.86780852218055</v>
      </c>
      <c r="K5" s="17"/>
      <c r="L5" s="17">
        <f>L6*(-1)</f>
        <v>0</v>
      </c>
      <c r="M5" s="17"/>
      <c r="N5" s="17">
        <f>N6*(-1)</f>
        <v>0</v>
      </c>
      <c r="O5" s="17"/>
      <c r="P5" s="17"/>
      <c r="R5" s="32"/>
    </row>
    <row r="6" spans="1:18">
      <c r="A6" s="16" t="s">
        <v>477</v>
      </c>
      <c r="B6" s="17" t="s">
        <v>204</v>
      </c>
      <c r="C6" s="17">
        <f>'lokale energieproductie'!O40+'lokale energieproductie'!O33</f>
        <v>32406.428571428572</v>
      </c>
      <c r="D6" s="300">
        <f>('lokale energieproductie'!P33+'lokale energieproductie'!P40)*(-1)</f>
        <v>-64812.857142857145</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1578.78770263</v>
      </c>
      <c r="C8" s="21">
        <f>C5+C6</f>
        <v>32406.428571428572</v>
      </c>
      <c r="D8" s="21">
        <f>MAX((D5+D6),0)</f>
        <v>1481.6131504766818</v>
      </c>
      <c r="E8" s="21">
        <f>MAX((E5+E6),0)</f>
        <v>31.277142158117876</v>
      </c>
      <c r="F8" s="21">
        <f>MAX((F5+F6),0)</f>
        <v>5757.3934674889433</v>
      </c>
      <c r="G8" s="21"/>
      <c r="H8" s="21"/>
      <c r="I8" s="21"/>
      <c r="J8" s="21">
        <f>MAX((J5+J6),0)</f>
        <v>374.86780852218055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0.21116274299723001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333.38114189764588</v>
      </c>
      <c r="C12" s="23">
        <f ca="1">C8*C10</f>
        <v>7701.2924369747916</v>
      </c>
      <c r="D12" s="23">
        <f>D8*D10</f>
        <v>299.28585639628972</v>
      </c>
      <c r="E12" s="23">
        <f>E8*E10</f>
        <v>7.0999112698927584</v>
      </c>
      <c r="F12" s="23">
        <f>F8*F10</f>
        <v>1537.2240558195479</v>
      </c>
      <c r="G12" s="23"/>
      <c r="H12" s="23"/>
      <c r="I12" s="23"/>
      <c r="J12" s="23">
        <f>J8*J10</f>
        <v>132.7032042168519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0.22261952372608154</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145.45038495621253</v>
      </c>
      <c r="C26" s="242">
        <f>B26*'GWP N2O_CH4'!B5</f>
        <v>3054.4580840804633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63.302631135701269</v>
      </c>
      <c r="C27" s="242">
        <f>B27*'GWP N2O_CH4'!B5</f>
        <v>1329.3552538497268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3.8540569371538278</v>
      </c>
      <c r="C28" s="242">
        <f>B28*'GWP N2O_CH4'!B4</f>
        <v>1194.7576505176867</v>
      </c>
      <c r="D28" s="50"/>
    </row>
    <row r="29" spans="1:4">
      <c r="A29" s="41" t="s">
        <v>266</v>
      </c>
      <c r="B29" s="242">
        <f>B34*'ha_N2O bodem landbouw'!B4</f>
        <v>10.307212783427167</v>
      </c>
      <c r="C29" s="242">
        <f>B29*'GWP N2O_CH4'!B4</f>
        <v>3195.2359628624217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2.3196829865070319E-3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2.2125678443922286E-4</v>
      </c>
      <c r="C5" s="427" t="s">
        <v>204</v>
      </c>
      <c r="D5" s="412">
        <f>SUM(D6:D11)</f>
        <v>3.4219269272925694E-4</v>
      </c>
      <c r="E5" s="412">
        <f>SUM(E6:E11)</f>
        <v>1.6704731112283239E-3</v>
      </c>
      <c r="F5" s="425" t="s">
        <v>204</v>
      </c>
      <c r="G5" s="412">
        <f>SUM(G6:G11)</f>
        <v>0.66092400889051439</v>
      </c>
      <c r="H5" s="412">
        <f>SUM(H6:H11)</f>
        <v>0.12032916177049192</v>
      </c>
      <c r="I5" s="427" t="s">
        <v>204</v>
      </c>
      <c r="J5" s="427" t="s">
        <v>204</v>
      </c>
      <c r="K5" s="427" t="s">
        <v>204</v>
      </c>
      <c r="L5" s="427" t="s">
        <v>204</v>
      </c>
      <c r="M5" s="412">
        <f>SUM(M6:M11)</f>
        <v>2.4398877502482451E-2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9.7856091436960115E-5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1.5419472449879111E-4</v>
      </c>
      <c r="E6" s="818">
        <f>vkm_GW_PW*SUMIFS(TableVerdeelsleutelVkm[LPG],TableVerdeelsleutelVkm[Voertuigtype],"Lichte voertuigen")*SUMIFS(TableECFTransport[EnergieConsumptieFactor (PJ per km)],TableECFTransport[Index],CONCATENATE($A6,"_LPG_LPG"))</f>
        <v>7.0386261345952827E-4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0.1900442754854213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5.3662899316322045E-2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7.5870954305249589E-3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2.1797897324017438E-6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7.5134877513103618E-2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1.526429021994573E-6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2.3637525726494168E-3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3.1936092079492293E-5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7.1287916669867939E-5</v>
      </c>
      <c r="E8" s="415">
        <f>vkm_NGW_PW*SUMIFS(TableVerdeelsleutelVkm[LPG],TableVerdeelsleutelVkm[Voertuigtype],"Lichte voertuigen")*SUMIFS(TableECFTransport[EnergieConsumptieFactor (PJ per km)],TableECFTransport[Index],CONCATENATE($A8,"_LPG_LPG"))</f>
        <v>3.1045114617729867E-4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7.8154608431029171E-2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2.4071423540443435E-2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3.1801793909810162E-3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4.1797100964954704E-7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1.8523976351511103E-2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3.5328452847436943E-7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5.8276590456593231E-4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8.4651182555981575E-5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1.167100515605979E-4</v>
      </c>
      <c r="E10" s="415">
        <f>vkm_SW_PW*SUMIFS(TableVerdeelsleutelVkm[LPG],TableVerdeelsleutelVkm[Voertuigtype],"Lichte voertuigen")*SUMIFS(TableECFTransport[EnergieConsumptieFactor (PJ per km)],TableECFTransport[Index],CONCATENATE($A10,"_LPG_LPG"))</f>
        <v>6.5615935159149682E-4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0.16060759959675938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4.2589920710368816E-2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6.3291504505974851E-3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4.2156576247375876E-6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0.13845867151268981</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3.0384898071636275E-6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4.3559337531636436E-3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61.460217899784126</v>
      </c>
      <c r="C14" s="21"/>
      <c r="D14" s="21">
        <f t="shared" ref="D14:M14" si="0">((D5)*10^9/3600)+D12</f>
        <v>95.053525758126924</v>
      </c>
      <c r="E14" s="21">
        <f t="shared" si="0"/>
        <v>464.02030867453436</v>
      </c>
      <c r="F14" s="21"/>
      <c r="G14" s="21">
        <f t="shared" si="0"/>
        <v>183590.00246958731</v>
      </c>
      <c r="H14" s="21">
        <f t="shared" si="0"/>
        <v>33424.767158469978</v>
      </c>
      <c r="I14" s="21"/>
      <c r="J14" s="21"/>
      <c r="K14" s="21"/>
      <c r="L14" s="21"/>
      <c r="M14" s="21">
        <f t="shared" si="0"/>
        <v>6777.4659729117921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0.21116274299723001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12.97810819692587</v>
      </c>
      <c r="C18" s="23"/>
      <c r="D18" s="23">
        <f t="shared" ref="D18:M18" si="1">D14*D16</f>
        <v>19.200812203141641</v>
      </c>
      <c r="E18" s="23">
        <f t="shared" si="1"/>
        <v>105.3326100691193</v>
      </c>
      <c r="F18" s="23"/>
      <c r="G18" s="23">
        <f t="shared" si="1"/>
        <v>49018.530659379816</v>
      </c>
      <c r="H18" s="23">
        <f t="shared" si="1"/>
        <v>8322.7670224590238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4.5871536657282186E-5</v>
      </c>
      <c r="C50" s="311">
        <f t="shared" ref="C50:P50" si="2">SUM(C51:C52)</f>
        <v>0</v>
      </c>
      <c r="D50" s="311">
        <f t="shared" si="2"/>
        <v>0</v>
      </c>
      <c r="E50" s="311">
        <f t="shared" si="2"/>
        <v>0</v>
      </c>
      <c r="F50" s="311">
        <f t="shared" si="2"/>
        <v>0</v>
      </c>
      <c r="G50" s="311">
        <f t="shared" si="2"/>
        <v>8.1789921021213404E-3</v>
      </c>
      <c r="H50" s="311">
        <f t="shared" si="2"/>
        <v>0</v>
      </c>
      <c r="I50" s="311">
        <f t="shared" si="2"/>
        <v>0</v>
      </c>
      <c r="J50" s="311">
        <f t="shared" si="2"/>
        <v>0</v>
      </c>
      <c r="K50" s="311">
        <f t="shared" si="2"/>
        <v>0</v>
      </c>
      <c r="L50" s="311">
        <f t="shared" si="2"/>
        <v>0</v>
      </c>
      <c r="M50" s="311">
        <f t="shared" si="2"/>
        <v>2.5531644282760277E-4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4.5871536657282186E-5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8.1789921021213404E-3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2.5531644282760277E-4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12.742093515911719</v>
      </c>
      <c r="C54" s="21">
        <f t="shared" ref="C54:P54" si="3">(C50)*10^9/3600</f>
        <v>0</v>
      </c>
      <c r="D54" s="21">
        <f t="shared" si="3"/>
        <v>0</v>
      </c>
      <c r="E54" s="21">
        <f t="shared" si="3"/>
        <v>0</v>
      </c>
      <c r="F54" s="21">
        <f t="shared" si="3"/>
        <v>0</v>
      </c>
      <c r="G54" s="21">
        <f t="shared" si="3"/>
        <v>2271.9422505892612</v>
      </c>
      <c r="H54" s="21">
        <f t="shared" si="3"/>
        <v>0</v>
      </c>
      <c r="I54" s="21">
        <f t="shared" si="3"/>
        <v>0</v>
      </c>
      <c r="J54" s="21">
        <f t="shared" si="3"/>
        <v>0</v>
      </c>
      <c r="K54" s="21">
        <f t="shared" si="3"/>
        <v>0</v>
      </c>
      <c r="L54" s="21">
        <f t="shared" si="3"/>
        <v>0</v>
      </c>
      <c r="M54" s="21">
        <f t="shared" si="3"/>
        <v>70.921234118778543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0.21116274299723001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2.6906554183471374</v>
      </c>
      <c r="C58" s="23">
        <f t="shared" ref="C58:P58" ca="1" si="4">C54*C56</f>
        <v>0</v>
      </c>
      <c r="D58" s="23">
        <f t="shared" si="4"/>
        <v>0</v>
      </c>
      <c r="E58" s="23">
        <f t="shared" si="4"/>
        <v>0</v>
      </c>
      <c r="F58" s="23">
        <f t="shared" si="4"/>
        <v>0</v>
      </c>
      <c r="G58" s="23">
        <f t="shared" si="4"/>
        <v>606.60858090733279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10719.209163738469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23314.5</v>
      </c>
      <c r="C8" s="534">
        <f>B49</f>
        <v>27428.823529411766</v>
      </c>
      <c r="D8" s="961"/>
      <c r="E8" s="961">
        <f>E49</f>
        <v>0</v>
      </c>
      <c r="F8" s="962"/>
      <c r="G8" s="535"/>
      <c r="H8" s="961">
        <f>I49</f>
        <v>0</v>
      </c>
      <c r="I8" s="961">
        <f>G49+F49</f>
        <v>0</v>
      </c>
      <c r="J8" s="961">
        <f>H49+D49+C49</f>
        <v>0</v>
      </c>
      <c r="K8" s="961"/>
      <c r="L8" s="961"/>
      <c r="M8" s="961"/>
      <c r="N8" s="536"/>
      <c r="O8" s="537">
        <f>C8*$C$12+D8*$D$12+E8*$E$12+F8*$F$12+G8*$G$12+H8*$H$12+I8*$I$12+J8*$J$12</f>
        <v>5540.6223529411773</v>
      </c>
      <c r="P8" s="1205"/>
      <c r="Q8" s="1206"/>
      <c r="S8" s="925"/>
      <c r="T8" s="1180"/>
      <c r="U8" s="1180"/>
    </row>
    <row r="9" spans="1:21" s="523" customFormat="1" ht="17.45" customHeight="1" thickBot="1">
      <c r="A9" s="538" t="s">
        <v>237</v>
      </c>
      <c r="B9" s="539">
        <f>N37+'Eigen informatie GS &amp; warmtenet'!B12</f>
        <v>900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2571.4285714285716</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34933.709163738473</v>
      </c>
      <c r="C10" s="547">
        <f t="shared" ref="C10:L10" si="0">SUM(C8:C9)</f>
        <v>27428.823529411766</v>
      </c>
      <c r="D10" s="547">
        <f t="shared" si="0"/>
        <v>0</v>
      </c>
      <c r="E10" s="547">
        <f t="shared" si="0"/>
        <v>0</v>
      </c>
      <c r="F10" s="547">
        <f t="shared" si="0"/>
        <v>0</v>
      </c>
      <c r="G10" s="547">
        <f t="shared" si="0"/>
        <v>0</v>
      </c>
      <c r="H10" s="547">
        <f t="shared" si="0"/>
        <v>0</v>
      </c>
      <c r="I10" s="547">
        <f t="shared" si="0"/>
        <v>0</v>
      </c>
      <c r="J10" s="547">
        <f t="shared" si="0"/>
        <v>2571.4285714285716</v>
      </c>
      <c r="K10" s="547">
        <f t="shared" si="0"/>
        <v>0</v>
      </c>
      <c r="L10" s="547">
        <f t="shared" si="0"/>
        <v>0</v>
      </c>
      <c r="M10" s="964"/>
      <c r="N10" s="964"/>
      <c r="O10" s="548">
        <f>SUM(O4:O9)</f>
        <v>5540.6223529411773</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33306.428571428572</v>
      </c>
      <c r="C17" s="559">
        <f>B50</f>
        <v>39184.033613445383</v>
      </c>
      <c r="D17" s="560"/>
      <c r="E17" s="560">
        <f>E50</f>
        <v>0</v>
      </c>
      <c r="F17" s="967"/>
      <c r="G17" s="561"/>
      <c r="H17" s="559">
        <f>I50</f>
        <v>0</v>
      </c>
      <c r="I17" s="560">
        <f>G50+F50</f>
        <v>0</v>
      </c>
      <c r="J17" s="560">
        <f>H50+D50+C50</f>
        <v>0</v>
      </c>
      <c r="K17" s="560"/>
      <c r="L17" s="560"/>
      <c r="M17" s="560"/>
      <c r="N17" s="968"/>
      <c r="O17" s="562">
        <f>C17*$C$22+E17*$E$22+H17*$H$22+I17*$I$22+J17*$J$22+D17*$D$22+F17*$F$22+G17*$G$22+K17*$K$22+L17*$L$22</f>
        <v>7915.1747899159682</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33306.428571428572</v>
      </c>
      <c r="C20" s="546">
        <f>SUM(C17:C19)</f>
        <v>39184.033613445383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7915.1747899159682</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13011</v>
      </c>
      <c r="C28" s="724">
        <v>2200</v>
      </c>
      <c r="D28" s="617"/>
      <c r="E28" s="616"/>
      <c r="F28" s="616"/>
      <c r="G28" s="616" t="s">
        <v>887</v>
      </c>
      <c r="H28" s="616" t="s">
        <v>888</v>
      </c>
      <c r="I28" s="616"/>
      <c r="J28" s="723"/>
      <c r="K28" s="723"/>
      <c r="L28" s="616" t="s">
        <v>889</v>
      </c>
      <c r="M28" s="616">
        <v>5041</v>
      </c>
      <c r="N28" s="616">
        <v>22684.5</v>
      </c>
      <c r="O28" s="616">
        <v>32406.428571428572</v>
      </c>
      <c r="P28" s="616">
        <v>64812.857142857145</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13011</v>
      </c>
      <c r="C29" s="724">
        <v>2200</v>
      </c>
      <c r="D29" s="617"/>
      <c r="E29" s="616"/>
      <c r="F29" s="616"/>
      <c r="G29" s="616" t="s">
        <v>887</v>
      </c>
      <c r="H29" s="616" t="s">
        <v>888</v>
      </c>
      <c r="I29" s="616"/>
      <c r="J29" s="723"/>
      <c r="K29" s="723"/>
      <c r="L29" s="616" t="s">
        <v>889</v>
      </c>
      <c r="M29" s="616">
        <v>140</v>
      </c>
      <c r="N29" s="616">
        <v>630.00000000000011</v>
      </c>
      <c r="O29" s="616">
        <v>900.00000000000023</v>
      </c>
      <c r="P29" s="616">
        <v>1800.0000000000005</v>
      </c>
      <c r="Q29" s="616">
        <v>0</v>
      </c>
      <c r="R29" s="616">
        <v>0</v>
      </c>
      <c r="S29" s="616">
        <v>0</v>
      </c>
      <c r="T29" s="616">
        <v>0</v>
      </c>
      <c r="U29" s="616">
        <v>0</v>
      </c>
      <c r="V29" s="616">
        <v>0</v>
      </c>
      <c r="W29" s="616">
        <v>0</v>
      </c>
      <c r="X29" s="616"/>
      <c r="Y29" s="616">
        <v>800</v>
      </c>
      <c r="Z29" s="616" t="s">
        <v>35</v>
      </c>
      <c r="AA29" s="618" t="s">
        <v>376</v>
      </c>
    </row>
    <row r="30" spans="1:27" s="554" customFormat="1" hidden="1">
      <c r="A30" s="572" t="s">
        <v>269</v>
      </c>
      <c r="B30" s="573"/>
      <c r="C30" s="573"/>
      <c r="D30" s="573"/>
      <c r="E30" s="573"/>
      <c r="F30" s="573"/>
      <c r="G30" s="573"/>
      <c r="H30" s="573"/>
      <c r="I30" s="573"/>
      <c r="J30" s="573"/>
      <c r="K30" s="573"/>
      <c r="L30" s="574"/>
      <c r="M30" s="574">
        <f>SUM(M28:M29)</f>
        <v>5181</v>
      </c>
      <c r="N30" s="574">
        <f>SUM(N28:N29)</f>
        <v>23314.5</v>
      </c>
      <c r="O30" s="574">
        <f>SUM(O28:O29)</f>
        <v>33306.428571428572</v>
      </c>
      <c r="P30" s="574">
        <f>SUM(P28:P29)</f>
        <v>66612.857142857145</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140</v>
      </c>
      <c r="N31" s="574">
        <f>SUMIF($AA$28:$AA$29,"industrie",N28:N29)</f>
        <v>630.00000000000011</v>
      </c>
      <c r="O31" s="574">
        <f>SUMIF($AA$28:$AA$29,"industrie",O28:O29)</f>
        <v>900.00000000000023</v>
      </c>
      <c r="P31" s="574">
        <f>SUMIF($AA$28:$AA$29,"industrie",P28:P29)</f>
        <v>1800.0000000000005</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5041</v>
      </c>
      <c r="N33" s="579">
        <f>SUMIF($AA$28:$AA$29,"landbouw",N28:N29)</f>
        <v>22684.5</v>
      </c>
      <c r="O33" s="579">
        <f>SUMIF($AA$28:$AA$29,"landbouw",O28:O29)</f>
        <v>32406.428571428572</v>
      </c>
      <c r="P33" s="579">
        <f>SUMIF($AA$28:$AA$29,"landbouw",P28:P29)</f>
        <v>64812.857142857145</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63.75" hidden="1">
      <c r="A36" s="571"/>
      <c r="B36" s="724">
        <v>13011</v>
      </c>
      <c r="C36" s="724">
        <v>2200</v>
      </c>
      <c r="D36" s="619"/>
      <c r="E36" s="619"/>
      <c r="F36" s="619"/>
      <c r="G36" s="619" t="s">
        <v>890</v>
      </c>
      <c r="H36" s="619" t="s">
        <v>891</v>
      </c>
      <c r="I36" s="619"/>
      <c r="J36" s="723"/>
      <c r="K36" s="723"/>
      <c r="L36" s="619" t="s">
        <v>892</v>
      </c>
      <c r="M36" s="619">
        <v>200</v>
      </c>
      <c r="N36" s="619">
        <v>900</v>
      </c>
      <c r="O36" s="619">
        <v>0</v>
      </c>
      <c r="P36" s="619">
        <v>0</v>
      </c>
      <c r="Q36" s="619">
        <v>2571.4285714285716</v>
      </c>
      <c r="R36" s="619">
        <v>0</v>
      </c>
      <c r="S36" s="619">
        <v>0</v>
      </c>
      <c r="T36" s="619">
        <v>0</v>
      </c>
      <c r="U36" s="619">
        <v>0</v>
      </c>
      <c r="V36" s="619">
        <v>0</v>
      </c>
      <c r="W36" s="619">
        <v>0</v>
      </c>
      <c r="X36" s="619"/>
      <c r="Y36" s="619">
        <v>1600</v>
      </c>
      <c r="Z36" s="619" t="s">
        <v>49</v>
      </c>
      <c r="AA36" s="620" t="s">
        <v>149</v>
      </c>
    </row>
    <row r="37" spans="1:28" s="554" customFormat="1" hidden="1">
      <c r="A37" s="572" t="s">
        <v>269</v>
      </c>
      <c r="B37" s="573"/>
      <c r="C37" s="573"/>
      <c r="D37" s="573"/>
      <c r="E37" s="573"/>
      <c r="F37" s="573"/>
      <c r="G37" s="573"/>
      <c r="H37" s="573"/>
      <c r="I37" s="573"/>
      <c r="J37" s="573"/>
      <c r="K37" s="573"/>
      <c r="L37" s="574"/>
      <c r="M37" s="574">
        <f>SUM(M36:M36)</f>
        <v>200</v>
      </c>
      <c r="N37" s="574">
        <f>SUM(N36:N36)</f>
        <v>900</v>
      </c>
      <c r="O37" s="574">
        <f>SUM(O36:O36)</f>
        <v>0</v>
      </c>
      <c r="P37" s="574">
        <f>SUM(P36:P36)</f>
        <v>0</v>
      </c>
      <c r="Q37" s="574">
        <f>SUM(Q36:Q36)</f>
        <v>2571.4285714285716</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200</v>
      </c>
      <c r="N39" s="574">
        <f>SUMIF($AA$36:$AA$37,"tertiair",N36:N37)</f>
        <v>900</v>
      </c>
      <c r="O39" s="574">
        <f>SUMIF($AA$36:$AA$37,"tertiair",O36:O37)</f>
        <v>0</v>
      </c>
      <c r="P39" s="574">
        <f>SUMIF($AA$36:$AA$37,"tertiair",P36:P37)</f>
        <v>0</v>
      </c>
      <c r="Q39" s="574">
        <f>SUMIF($AA$36:$AA$37,"tertiair",Q36:Q37)</f>
        <v>2571.4285714285716</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27428.823529411766</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39184.033613445383</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75015.654080000008</v>
      </c>
      <c r="D10" s="930">
        <f ca="1">tertiair!C16</f>
        <v>0</v>
      </c>
      <c r="E10" s="930">
        <f ca="1">tertiair!D16</f>
        <v>66527.530664075806</v>
      </c>
      <c r="F10" s="930">
        <f>tertiair!E16</f>
        <v>1114.9118121792083</v>
      </c>
      <c r="G10" s="930">
        <f ca="1">tertiair!F16</f>
        <v>15892.93429146217</v>
      </c>
      <c r="H10" s="930">
        <f>tertiair!G16</f>
        <v>0</v>
      </c>
      <c r="I10" s="930">
        <f>tertiair!H16</f>
        <v>0</v>
      </c>
      <c r="J10" s="930">
        <f>tertiair!I16</f>
        <v>0</v>
      </c>
      <c r="K10" s="930">
        <f>tertiair!J16</f>
        <v>0.11776337562897168</v>
      </c>
      <c r="L10" s="930">
        <f>tertiair!K16</f>
        <v>0</v>
      </c>
      <c r="M10" s="930">
        <f ca="1">tertiair!L16</f>
        <v>0</v>
      </c>
      <c r="N10" s="930">
        <f>tertiair!M16</f>
        <v>0</v>
      </c>
      <c r="O10" s="930">
        <f ca="1">tertiair!N16</f>
        <v>1687.3293196218337</v>
      </c>
      <c r="P10" s="930">
        <f>tertiair!O16</f>
        <v>1.5633333333333335</v>
      </c>
      <c r="Q10" s="931">
        <f>tertiair!P16</f>
        <v>343.2</v>
      </c>
      <c r="R10" s="628">
        <f ca="1">SUM(C10:Q10)</f>
        <v>160583.241264048</v>
      </c>
      <c r="S10" s="67"/>
    </row>
    <row r="11" spans="1:19" s="437" customFormat="1">
      <c r="A11" s="736" t="s">
        <v>214</v>
      </c>
      <c r="B11" s="741"/>
      <c r="C11" s="930">
        <f>huishoudens!B8</f>
        <v>43526.328070400719</v>
      </c>
      <c r="D11" s="930">
        <f>huishoudens!C8</f>
        <v>0</v>
      </c>
      <c r="E11" s="930">
        <f>huishoudens!D8</f>
        <v>129713.44123473999</v>
      </c>
      <c r="F11" s="930">
        <f>huishoudens!E8</f>
        <v>1484.6255620622239</v>
      </c>
      <c r="G11" s="930">
        <f>huishoudens!F8</f>
        <v>40364.030406734186</v>
      </c>
      <c r="H11" s="930">
        <f>huishoudens!G8</f>
        <v>0</v>
      </c>
      <c r="I11" s="930">
        <f>huishoudens!H8</f>
        <v>0</v>
      </c>
      <c r="J11" s="930">
        <f>huishoudens!I8</f>
        <v>0</v>
      </c>
      <c r="K11" s="930">
        <f>huishoudens!J8</f>
        <v>744.38481589290222</v>
      </c>
      <c r="L11" s="930">
        <f>huishoudens!K8</f>
        <v>0</v>
      </c>
      <c r="M11" s="930">
        <f>huishoudens!L8</f>
        <v>0</v>
      </c>
      <c r="N11" s="930">
        <f>huishoudens!M8</f>
        <v>0</v>
      </c>
      <c r="O11" s="930">
        <f>huishoudens!N8</f>
        <v>15137.950325171811</v>
      </c>
      <c r="P11" s="930">
        <f>huishoudens!O8</f>
        <v>379.89000000000004</v>
      </c>
      <c r="Q11" s="931">
        <f>huishoudens!P8</f>
        <v>953.33333333333326</v>
      </c>
      <c r="R11" s="628">
        <f>SUM(C11:Q11)</f>
        <v>232303.98374833519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98441.485883079993</v>
      </c>
      <c r="D13" s="930">
        <f>industrie!C18</f>
        <v>900.00000000000023</v>
      </c>
      <c r="E13" s="930">
        <f>industrie!D18</f>
        <v>45779.012889377198</v>
      </c>
      <c r="F13" s="930">
        <f>industrie!E18</f>
        <v>6682.1403551956155</v>
      </c>
      <c r="G13" s="930">
        <f>industrie!F18</f>
        <v>33950.974432675415</v>
      </c>
      <c r="H13" s="930">
        <f>industrie!G18</f>
        <v>0</v>
      </c>
      <c r="I13" s="930">
        <f>industrie!H18</f>
        <v>0</v>
      </c>
      <c r="J13" s="930">
        <f>industrie!I18</f>
        <v>0</v>
      </c>
      <c r="K13" s="930">
        <f>industrie!J18</f>
        <v>531.74943641597758</v>
      </c>
      <c r="L13" s="930">
        <f>industrie!K18</f>
        <v>0</v>
      </c>
      <c r="M13" s="930">
        <f>industrie!L18</f>
        <v>0</v>
      </c>
      <c r="N13" s="930">
        <f>industrie!M18</f>
        <v>0</v>
      </c>
      <c r="O13" s="930">
        <f>industrie!N18</f>
        <v>7775.9392202005874</v>
      </c>
      <c r="P13" s="930">
        <f>industrie!O18</f>
        <v>0</v>
      </c>
      <c r="Q13" s="931">
        <f>industrie!P18</f>
        <v>0</v>
      </c>
      <c r="R13" s="628">
        <f>SUM(C13:Q13)</f>
        <v>194061.30221694475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216983.46803348072</v>
      </c>
      <c r="D16" s="660">
        <f t="shared" ref="D16:R16" ca="1" si="0">SUM(D9:D15)</f>
        <v>900.00000000000023</v>
      </c>
      <c r="E16" s="660">
        <f t="shared" ca="1" si="0"/>
        <v>242019.98478819299</v>
      </c>
      <c r="F16" s="660">
        <f t="shared" si="0"/>
        <v>9281.6777294370477</v>
      </c>
      <c r="G16" s="660">
        <f t="shared" ca="1" si="0"/>
        <v>90207.939130871775</v>
      </c>
      <c r="H16" s="660">
        <f t="shared" si="0"/>
        <v>0</v>
      </c>
      <c r="I16" s="660">
        <f t="shared" si="0"/>
        <v>0</v>
      </c>
      <c r="J16" s="660">
        <f t="shared" si="0"/>
        <v>0</v>
      </c>
      <c r="K16" s="660">
        <f t="shared" si="0"/>
        <v>1276.2520156845089</v>
      </c>
      <c r="L16" s="660">
        <f t="shared" si="0"/>
        <v>0</v>
      </c>
      <c r="M16" s="660">
        <f t="shared" ca="1" si="0"/>
        <v>0</v>
      </c>
      <c r="N16" s="660">
        <f t="shared" si="0"/>
        <v>0</v>
      </c>
      <c r="O16" s="660">
        <f t="shared" ca="1" si="0"/>
        <v>24601.218864994233</v>
      </c>
      <c r="P16" s="660">
        <f t="shared" si="0"/>
        <v>381.45333333333338</v>
      </c>
      <c r="Q16" s="660">
        <f t="shared" si="0"/>
        <v>1296.5333333333333</v>
      </c>
      <c r="R16" s="660">
        <f t="shared" ca="1" si="0"/>
        <v>586948.52722932794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12.742093515911719</v>
      </c>
      <c r="D19" s="930">
        <f>transport!C54</f>
        <v>0</v>
      </c>
      <c r="E19" s="930">
        <f>transport!D54</f>
        <v>0</v>
      </c>
      <c r="F19" s="930">
        <f>transport!E54</f>
        <v>0</v>
      </c>
      <c r="G19" s="930">
        <f>transport!F54</f>
        <v>0</v>
      </c>
      <c r="H19" s="930">
        <f>transport!G54</f>
        <v>2271.9422505892612</v>
      </c>
      <c r="I19" s="930">
        <f>transport!H54</f>
        <v>0</v>
      </c>
      <c r="J19" s="930">
        <f>transport!I54</f>
        <v>0</v>
      </c>
      <c r="K19" s="930">
        <f>transport!J54</f>
        <v>0</v>
      </c>
      <c r="L19" s="930">
        <f>transport!K54</f>
        <v>0</v>
      </c>
      <c r="M19" s="930">
        <f>transport!L54</f>
        <v>0</v>
      </c>
      <c r="N19" s="930">
        <f>transport!M54</f>
        <v>70.921234118778543</v>
      </c>
      <c r="O19" s="930">
        <f>transport!N54</f>
        <v>0</v>
      </c>
      <c r="P19" s="930">
        <f>transport!O54</f>
        <v>0</v>
      </c>
      <c r="Q19" s="931">
        <f>transport!P54</f>
        <v>0</v>
      </c>
      <c r="R19" s="628">
        <f>SUM(C19:Q19)</f>
        <v>2355.6055782239514</v>
      </c>
      <c r="S19" s="67"/>
    </row>
    <row r="20" spans="1:19" s="437" customFormat="1">
      <c r="A20" s="736" t="s">
        <v>296</v>
      </c>
      <c r="B20" s="741"/>
      <c r="C20" s="930">
        <f>transport!B14</f>
        <v>61.460217899784126</v>
      </c>
      <c r="D20" s="930">
        <f>transport!C14</f>
        <v>0</v>
      </c>
      <c r="E20" s="930">
        <f>transport!D14</f>
        <v>95.053525758126924</v>
      </c>
      <c r="F20" s="930">
        <f>transport!E14</f>
        <v>464.02030867453436</v>
      </c>
      <c r="G20" s="930">
        <f>transport!F14</f>
        <v>0</v>
      </c>
      <c r="H20" s="930">
        <f>transport!G14</f>
        <v>183590.00246958731</v>
      </c>
      <c r="I20" s="930">
        <f>transport!H14</f>
        <v>33424.767158469978</v>
      </c>
      <c r="J20" s="930">
        <f>transport!I14</f>
        <v>0</v>
      </c>
      <c r="K20" s="930">
        <f>transport!J14</f>
        <v>0</v>
      </c>
      <c r="L20" s="930">
        <f>transport!K14</f>
        <v>0</v>
      </c>
      <c r="M20" s="930">
        <f>transport!L14</f>
        <v>0</v>
      </c>
      <c r="N20" s="930">
        <f>transport!M14</f>
        <v>6777.4659729117921</v>
      </c>
      <c r="O20" s="930">
        <f>transport!N14</f>
        <v>0</v>
      </c>
      <c r="P20" s="930">
        <f>transport!O14</f>
        <v>0</v>
      </c>
      <c r="Q20" s="931">
        <f>transport!P14</f>
        <v>0</v>
      </c>
      <c r="R20" s="628">
        <f>SUM(C20:Q20)</f>
        <v>224412.76965330154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74.202311415695846</v>
      </c>
      <c r="D22" s="739">
        <f t="shared" ref="D22:R22" si="1">SUM(D18:D21)</f>
        <v>0</v>
      </c>
      <c r="E22" s="739">
        <f t="shared" si="1"/>
        <v>95.053525758126924</v>
      </c>
      <c r="F22" s="739">
        <f t="shared" si="1"/>
        <v>464.02030867453436</v>
      </c>
      <c r="G22" s="739">
        <f t="shared" si="1"/>
        <v>0</v>
      </c>
      <c r="H22" s="739">
        <f t="shared" si="1"/>
        <v>185861.94472017657</v>
      </c>
      <c r="I22" s="739">
        <f t="shared" si="1"/>
        <v>33424.767158469978</v>
      </c>
      <c r="J22" s="739">
        <f t="shared" si="1"/>
        <v>0</v>
      </c>
      <c r="K22" s="739">
        <f t="shared" si="1"/>
        <v>0</v>
      </c>
      <c r="L22" s="739">
        <f t="shared" si="1"/>
        <v>0</v>
      </c>
      <c r="M22" s="739">
        <f t="shared" si="1"/>
        <v>0</v>
      </c>
      <c r="N22" s="739">
        <f t="shared" si="1"/>
        <v>6848.3872070305706</v>
      </c>
      <c r="O22" s="739">
        <f t="shared" si="1"/>
        <v>0</v>
      </c>
      <c r="P22" s="739">
        <f t="shared" si="1"/>
        <v>0</v>
      </c>
      <c r="Q22" s="739">
        <f t="shared" si="1"/>
        <v>0</v>
      </c>
      <c r="R22" s="739">
        <f t="shared" si="1"/>
        <v>226768.37523152548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1578.78770263</v>
      </c>
      <c r="D24" s="930">
        <f>+landbouw!C8</f>
        <v>32406.428571428572</v>
      </c>
      <c r="E24" s="930">
        <f>+landbouw!D8</f>
        <v>1481.6131504766818</v>
      </c>
      <c r="F24" s="930">
        <f>+landbouw!E8</f>
        <v>31.277142158117876</v>
      </c>
      <c r="G24" s="930">
        <f>+landbouw!F8</f>
        <v>5757.3934674889433</v>
      </c>
      <c r="H24" s="930">
        <f>+landbouw!G8</f>
        <v>0</v>
      </c>
      <c r="I24" s="930">
        <f>+landbouw!H8</f>
        <v>0</v>
      </c>
      <c r="J24" s="930">
        <f>+landbouw!I8</f>
        <v>0</v>
      </c>
      <c r="K24" s="930">
        <f>+landbouw!J8</f>
        <v>374.86780852218055</v>
      </c>
      <c r="L24" s="930">
        <f>+landbouw!K8</f>
        <v>0</v>
      </c>
      <c r="M24" s="930">
        <f>+landbouw!L8</f>
        <v>0</v>
      </c>
      <c r="N24" s="930">
        <f>+landbouw!M8</f>
        <v>0</v>
      </c>
      <c r="O24" s="930">
        <f>+landbouw!N8</f>
        <v>0</v>
      </c>
      <c r="P24" s="930">
        <f>+landbouw!O8</f>
        <v>0</v>
      </c>
      <c r="Q24" s="931">
        <f>+landbouw!P8</f>
        <v>0</v>
      </c>
      <c r="R24" s="628">
        <f>SUM(C24:Q24)</f>
        <v>41630.367842704502</v>
      </c>
      <c r="S24" s="67"/>
    </row>
    <row r="25" spans="1:19" s="437" customFormat="1" ht="15" thickBot="1">
      <c r="A25" s="758" t="s">
        <v>788</v>
      </c>
      <c r="B25" s="933"/>
      <c r="C25" s="934">
        <f>IF(Onbekend_ele_kWh="---",0,Onbekend_ele_kWh)/1000+IF(REST_rest_ele_kWh="---",0,REST_rest_ele_kWh)/1000</f>
        <v>2942.3186003999999</v>
      </c>
      <c r="D25" s="934"/>
      <c r="E25" s="934">
        <f>IF(onbekend_gas_kWh="---",0,onbekend_gas_kWh)/1000+IF(REST_rest_gas_kWh="---",0,REST_rest_gas_kWh)/1000</f>
        <v>4415.2033394</v>
      </c>
      <c r="F25" s="934"/>
      <c r="G25" s="934"/>
      <c r="H25" s="934"/>
      <c r="I25" s="934"/>
      <c r="J25" s="934"/>
      <c r="K25" s="934"/>
      <c r="L25" s="934"/>
      <c r="M25" s="934"/>
      <c r="N25" s="934"/>
      <c r="O25" s="934"/>
      <c r="P25" s="934"/>
      <c r="Q25" s="935"/>
      <c r="R25" s="628">
        <f>SUM(C25:Q25)</f>
        <v>7357.5219397999999</v>
      </c>
      <c r="S25" s="67"/>
    </row>
    <row r="26" spans="1:19" s="437" customFormat="1" ht="15.75" thickBot="1">
      <c r="A26" s="633" t="s">
        <v>789</v>
      </c>
      <c r="B26" s="744"/>
      <c r="C26" s="739">
        <f>SUM(C24:C25)</f>
        <v>4521.1063030300002</v>
      </c>
      <c r="D26" s="739">
        <f t="shared" ref="D26:R26" si="2">SUM(D24:D25)</f>
        <v>32406.428571428572</v>
      </c>
      <c r="E26" s="739">
        <f t="shared" si="2"/>
        <v>5896.8164898766818</v>
      </c>
      <c r="F26" s="739">
        <f t="shared" si="2"/>
        <v>31.277142158117876</v>
      </c>
      <c r="G26" s="739">
        <f t="shared" si="2"/>
        <v>5757.3934674889433</v>
      </c>
      <c r="H26" s="739">
        <f t="shared" si="2"/>
        <v>0</v>
      </c>
      <c r="I26" s="739">
        <f t="shared" si="2"/>
        <v>0</v>
      </c>
      <c r="J26" s="739">
        <f t="shared" si="2"/>
        <v>0</v>
      </c>
      <c r="K26" s="739">
        <f t="shared" si="2"/>
        <v>374.86780852218055</v>
      </c>
      <c r="L26" s="739">
        <f t="shared" si="2"/>
        <v>0</v>
      </c>
      <c r="M26" s="739">
        <f t="shared" si="2"/>
        <v>0</v>
      </c>
      <c r="N26" s="739">
        <f t="shared" si="2"/>
        <v>0</v>
      </c>
      <c r="O26" s="739">
        <f t="shared" si="2"/>
        <v>0</v>
      </c>
      <c r="P26" s="739">
        <f t="shared" si="2"/>
        <v>0</v>
      </c>
      <c r="Q26" s="739">
        <f t="shared" si="2"/>
        <v>0</v>
      </c>
      <c r="R26" s="739">
        <f t="shared" si="2"/>
        <v>48987.889782504499</v>
      </c>
      <c r="S26" s="67"/>
    </row>
    <row r="27" spans="1:19" s="437" customFormat="1" ht="17.25" thickTop="1" thickBot="1">
      <c r="A27" s="634" t="s">
        <v>109</v>
      </c>
      <c r="B27" s="732"/>
      <c r="C27" s="635">
        <f ca="1">C22+C16+C26</f>
        <v>221578.77664792642</v>
      </c>
      <c r="D27" s="635">
        <f t="shared" ref="D27:R27" ca="1" si="3">D22+D16+D26</f>
        <v>33306.428571428572</v>
      </c>
      <c r="E27" s="635">
        <f t="shared" ca="1" si="3"/>
        <v>248011.85480382779</v>
      </c>
      <c r="F27" s="635">
        <f t="shared" si="3"/>
        <v>9776.975180269701</v>
      </c>
      <c r="G27" s="635">
        <f t="shared" ca="1" si="3"/>
        <v>95965.332598360721</v>
      </c>
      <c r="H27" s="635">
        <f t="shared" si="3"/>
        <v>185861.94472017657</v>
      </c>
      <c r="I27" s="635">
        <f t="shared" si="3"/>
        <v>33424.767158469978</v>
      </c>
      <c r="J27" s="635">
        <f t="shared" si="3"/>
        <v>0</v>
      </c>
      <c r="K27" s="635">
        <f t="shared" si="3"/>
        <v>1651.1198242066894</v>
      </c>
      <c r="L27" s="635">
        <f t="shared" si="3"/>
        <v>0</v>
      </c>
      <c r="M27" s="635">
        <f t="shared" ca="1" si="3"/>
        <v>0</v>
      </c>
      <c r="N27" s="635">
        <f t="shared" si="3"/>
        <v>6848.3872070305706</v>
      </c>
      <c r="O27" s="635">
        <f t="shared" ca="1" si="3"/>
        <v>24601.218864994233</v>
      </c>
      <c r="P27" s="635">
        <f t="shared" si="3"/>
        <v>381.45333333333338</v>
      </c>
      <c r="Q27" s="635">
        <f t="shared" si="3"/>
        <v>1296.5333333333333</v>
      </c>
      <c r="R27" s="635">
        <f t="shared" ca="1" si="3"/>
        <v>862704.79224335798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15840.511283264148</v>
      </c>
      <c r="D40" s="930">
        <f ca="1">tertiair!C20</f>
        <v>0</v>
      </c>
      <c r="E40" s="930">
        <f ca="1">tertiair!D20</f>
        <v>13438.561194143314</v>
      </c>
      <c r="F40" s="930">
        <f>tertiair!E20</f>
        <v>253.08498136468029</v>
      </c>
      <c r="G40" s="930">
        <f ca="1">tertiair!F20</f>
        <v>4243.4134558203996</v>
      </c>
      <c r="H40" s="930">
        <f>tertiair!G20</f>
        <v>0</v>
      </c>
      <c r="I40" s="930">
        <f>tertiair!H20</f>
        <v>0</v>
      </c>
      <c r="J40" s="930">
        <f>tertiair!I20</f>
        <v>0</v>
      </c>
      <c r="K40" s="930">
        <f>tertiair!J20</f>
        <v>4.1688234972655974E-2</v>
      </c>
      <c r="L40" s="930">
        <f>tertiair!K20</f>
        <v>0</v>
      </c>
      <c r="M40" s="930">
        <f ca="1">tertiair!L20</f>
        <v>0</v>
      </c>
      <c r="N40" s="930">
        <f>tertiair!M20</f>
        <v>0</v>
      </c>
      <c r="O40" s="930">
        <f ca="1">tertiair!N20</f>
        <v>0</v>
      </c>
      <c r="P40" s="930">
        <f>tertiair!O20</f>
        <v>0</v>
      </c>
      <c r="Q40" s="702">
        <f>tertiair!P20</f>
        <v>0</v>
      </c>
      <c r="R40" s="777">
        <f t="shared" ca="1" si="4"/>
        <v>33775.612602827518</v>
      </c>
    </row>
    <row r="41" spans="1:18">
      <c r="A41" s="749" t="s">
        <v>214</v>
      </c>
      <c r="B41" s="756"/>
      <c r="C41" s="930">
        <f ca="1">huishoudens!B12</f>
        <v>9191.1388279431449</v>
      </c>
      <c r="D41" s="930">
        <f ca="1">huishoudens!C12</f>
        <v>0</v>
      </c>
      <c r="E41" s="930">
        <f>huishoudens!D12</f>
        <v>26202.115129417482</v>
      </c>
      <c r="F41" s="930">
        <f>huishoudens!E12</f>
        <v>337.01000258812485</v>
      </c>
      <c r="G41" s="930">
        <f>huishoudens!F12</f>
        <v>10777.196118598029</v>
      </c>
      <c r="H41" s="930">
        <f>huishoudens!G12</f>
        <v>0</v>
      </c>
      <c r="I41" s="930">
        <f>huishoudens!H12</f>
        <v>0</v>
      </c>
      <c r="J41" s="930">
        <f>huishoudens!I12</f>
        <v>0</v>
      </c>
      <c r="K41" s="930">
        <f>huishoudens!J12</f>
        <v>263.51222482608739</v>
      </c>
      <c r="L41" s="930">
        <f>huishoudens!K12</f>
        <v>0</v>
      </c>
      <c r="M41" s="930">
        <f>huishoudens!L12</f>
        <v>0</v>
      </c>
      <c r="N41" s="930">
        <f>huishoudens!M12</f>
        <v>0</v>
      </c>
      <c r="O41" s="930">
        <f>huishoudens!N12</f>
        <v>0</v>
      </c>
      <c r="P41" s="930">
        <f>huishoudens!O12</f>
        <v>0</v>
      </c>
      <c r="Q41" s="702">
        <f>huishoudens!P12</f>
        <v>0</v>
      </c>
      <c r="R41" s="777">
        <f t="shared" ca="1" si="4"/>
        <v>46770.972303372866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20787.174183794268</v>
      </c>
      <c r="D43" s="930">
        <f ca="1">industrie!C22</f>
        <v>213.88235294117658</v>
      </c>
      <c r="E43" s="930">
        <f>industrie!D22</f>
        <v>9247.3606036541951</v>
      </c>
      <c r="F43" s="930">
        <f>industrie!E22</f>
        <v>1516.8458606294048</v>
      </c>
      <c r="G43" s="930">
        <f>industrie!F22</f>
        <v>9064.9101735243366</v>
      </c>
      <c r="H43" s="930">
        <f>industrie!G22</f>
        <v>0</v>
      </c>
      <c r="I43" s="930">
        <f>industrie!H22</f>
        <v>0</v>
      </c>
      <c r="J43" s="930">
        <f>industrie!I22</f>
        <v>0</v>
      </c>
      <c r="K43" s="930">
        <f>industrie!J22</f>
        <v>188.23930049125605</v>
      </c>
      <c r="L43" s="930">
        <f>industrie!K22</f>
        <v>0</v>
      </c>
      <c r="M43" s="930">
        <f>industrie!L22</f>
        <v>0</v>
      </c>
      <c r="N43" s="930">
        <f>industrie!M22</f>
        <v>0</v>
      </c>
      <c r="O43" s="930">
        <f>industrie!N22</f>
        <v>0</v>
      </c>
      <c r="P43" s="930">
        <f>industrie!O22</f>
        <v>0</v>
      </c>
      <c r="Q43" s="702">
        <f>industrie!P22</f>
        <v>0</v>
      </c>
      <c r="R43" s="776">
        <f t="shared" ca="1" si="4"/>
        <v>41018.412475034638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45818.824295001563</v>
      </c>
      <c r="D46" s="660">
        <f t="shared" ref="D46:Q46" ca="1" si="5">SUM(D39:D45)</f>
        <v>213.88235294117658</v>
      </c>
      <c r="E46" s="660">
        <f t="shared" ca="1" si="5"/>
        <v>48888.036927214991</v>
      </c>
      <c r="F46" s="660">
        <f t="shared" si="5"/>
        <v>2106.94084458221</v>
      </c>
      <c r="G46" s="660">
        <f t="shared" ca="1" si="5"/>
        <v>24085.519747942766</v>
      </c>
      <c r="H46" s="660">
        <f t="shared" si="5"/>
        <v>0</v>
      </c>
      <c r="I46" s="660">
        <f t="shared" si="5"/>
        <v>0</v>
      </c>
      <c r="J46" s="660">
        <f t="shared" si="5"/>
        <v>0</v>
      </c>
      <c r="K46" s="660">
        <f t="shared" si="5"/>
        <v>451.79321355231605</v>
      </c>
      <c r="L46" s="660">
        <f t="shared" si="5"/>
        <v>0</v>
      </c>
      <c r="M46" s="660">
        <f t="shared" ca="1" si="5"/>
        <v>0</v>
      </c>
      <c r="N46" s="660">
        <f t="shared" si="5"/>
        <v>0</v>
      </c>
      <c r="O46" s="660">
        <f t="shared" ca="1" si="5"/>
        <v>0</v>
      </c>
      <c r="P46" s="660">
        <f t="shared" si="5"/>
        <v>0</v>
      </c>
      <c r="Q46" s="660">
        <f t="shared" si="5"/>
        <v>0</v>
      </c>
      <c r="R46" s="660">
        <f ca="1">SUM(R39:R45)</f>
        <v>121564.99738123502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2.6906554183471374</v>
      </c>
      <c r="D49" s="930">
        <f ca="1">transport!C58</f>
        <v>0</v>
      </c>
      <c r="E49" s="930">
        <f>transport!D58</f>
        <v>0</v>
      </c>
      <c r="F49" s="930">
        <f>transport!E58</f>
        <v>0</v>
      </c>
      <c r="G49" s="930">
        <f>transport!F58</f>
        <v>0</v>
      </c>
      <c r="H49" s="930">
        <f>transport!G58</f>
        <v>606.60858090733279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609.29923632567989</v>
      </c>
    </row>
    <row r="50" spans="1:18">
      <c r="A50" s="752" t="s">
        <v>296</v>
      </c>
      <c r="B50" s="762"/>
      <c r="C50" s="631">
        <f ca="1">transport!B18</f>
        <v>12.97810819692587</v>
      </c>
      <c r="D50" s="631">
        <f>transport!C18</f>
        <v>0</v>
      </c>
      <c r="E50" s="631">
        <f>transport!D18</f>
        <v>19.200812203141641</v>
      </c>
      <c r="F50" s="631">
        <f>transport!E18</f>
        <v>105.3326100691193</v>
      </c>
      <c r="G50" s="631">
        <f>transport!F18</f>
        <v>0</v>
      </c>
      <c r="H50" s="631">
        <f>transport!G18</f>
        <v>49018.530659379816</v>
      </c>
      <c r="I50" s="631">
        <f>transport!H18</f>
        <v>8322.7670224590238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57478.809212308028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15.668763615273008</v>
      </c>
      <c r="D52" s="660">
        <f t="shared" ref="D52:Q52" ca="1" si="6">SUM(D48:D51)</f>
        <v>0</v>
      </c>
      <c r="E52" s="660">
        <f t="shared" si="6"/>
        <v>19.200812203141641</v>
      </c>
      <c r="F52" s="660">
        <f t="shared" si="6"/>
        <v>105.3326100691193</v>
      </c>
      <c r="G52" s="660">
        <f t="shared" si="6"/>
        <v>0</v>
      </c>
      <c r="H52" s="660">
        <f t="shared" si="6"/>
        <v>49625.13924028715</v>
      </c>
      <c r="I52" s="660">
        <f t="shared" si="6"/>
        <v>8322.7670224590238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58088.108448633706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333.38114189764588</v>
      </c>
      <c r="D54" s="631">
        <f ca="1">+landbouw!C12</f>
        <v>7701.2924369747916</v>
      </c>
      <c r="E54" s="631">
        <f>+landbouw!D12</f>
        <v>299.28585639628972</v>
      </c>
      <c r="F54" s="631">
        <f>+landbouw!E12</f>
        <v>7.0999112698927584</v>
      </c>
      <c r="G54" s="631">
        <f>+landbouw!F12</f>
        <v>1537.2240558195479</v>
      </c>
      <c r="H54" s="631">
        <f>+landbouw!G12</f>
        <v>0</v>
      </c>
      <c r="I54" s="631">
        <f>+landbouw!H12</f>
        <v>0</v>
      </c>
      <c r="J54" s="631">
        <f>+landbouw!I12</f>
        <v>0</v>
      </c>
      <c r="K54" s="631">
        <f>+landbouw!J12</f>
        <v>132.7032042168519</v>
      </c>
      <c r="L54" s="631">
        <f>+landbouw!K12</f>
        <v>0</v>
      </c>
      <c r="M54" s="631">
        <f>+landbouw!L12</f>
        <v>0</v>
      </c>
      <c r="N54" s="631">
        <f>+landbouw!M12</f>
        <v>0</v>
      </c>
      <c r="O54" s="631">
        <f>+landbouw!N12</f>
        <v>0</v>
      </c>
      <c r="P54" s="631">
        <f>+landbouw!O12</f>
        <v>0</v>
      </c>
      <c r="Q54" s="632">
        <f>+landbouw!P12</f>
        <v>0</v>
      </c>
      <c r="R54" s="659">
        <f ca="1">SUM(C54:Q54)</f>
        <v>10010.986606575019</v>
      </c>
    </row>
    <row r="55" spans="1:18" ht="15" thickBot="1">
      <c r="A55" s="752" t="s">
        <v>788</v>
      </c>
      <c r="B55" s="762"/>
      <c r="C55" s="631">
        <f ca="1">C25*'EF ele_warmte'!B12</f>
        <v>621.30806643223468</v>
      </c>
      <c r="D55" s="631"/>
      <c r="E55" s="631">
        <f>E25*EF_CO2_aardgas</f>
        <v>891.87107455880005</v>
      </c>
      <c r="F55" s="631"/>
      <c r="G55" s="631"/>
      <c r="H55" s="631"/>
      <c r="I55" s="631"/>
      <c r="J55" s="631"/>
      <c r="K55" s="631"/>
      <c r="L55" s="631"/>
      <c r="M55" s="631"/>
      <c r="N55" s="631"/>
      <c r="O55" s="631"/>
      <c r="P55" s="631"/>
      <c r="Q55" s="632"/>
      <c r="R55" s="659">
        <f ca="1">SUM(C55:Q55)</f>
        <v>1513.1791409910347</v>
      </c>
    </row>
    <row r="56" spans="1:18" ht="15.75" thickBot="1">
      <c r="A56" s="750" t="s">
        <v>789</v>
      </c>
      <c r="B56" s="763"/>
      <c r="C56" s="660">
        <f ca="1">SUM(C54:C55)</f>
        <v>954.68920832988056</v>
      </c>
      <c r="D56" s="660">
        <f t="shared" ref="D56:Q56" ca="1" si="7">SUM(D54:D55)</f>
        <v>7701.2924369747916</v>
      </c>
      <c r="E56" s="660">
        <f t="shared" si="7"/>
        <v>1191.1569309550898</v>
      </c>
      <c r="F56" s="660">
        <f t="shared" si="7"/>
        <v>7.0999112698927584</v>
      </c>
      <c r="G56" s="660">
        <f t="shared" si="7"/>
        <v>1537.2240558195479</v>
      </c>
      <c r="H56" s="660">
        <f t="shared" si="7"/>
        <v>0</v>
      </c>
      <c r="I56" s="660">
        <f t="shared" si="7"/>
        <v>0</v>
      </c>
      <c r="J56" s="660">
        <f t="shared" si="7"/>
        <v>0</v>
      </c>
      <c r="K56" s="660">
        <f t="shared" si="7"/>
        <v>132.7032042168519</v>
      </c>
      <c r="L56" s="660">
        <f t="shared" si="7"/>
        <v>0</v>
      </c>
      <c r="M56" s="660">
        <f t="shared" si="7"/>
        <v>0</v>
      </c>
      <c r="N56" s="660">
        <f t="shared" si="7"/>
        <v>0</v>
      </c>
      <c r="O56" s="660">
        <f t="shared" si="7"/>
        <v>0</v>
      </c>
      <c r="P56" s="660">
        <f t="shared" si="7"/>
        <v>0</v>
      </c>
      <c r="Q56" s="661">
        <f t="shared" si="7"/>
        <v>0</v>
      </c>
      <c r="R56" s="662">
        <f ca="1">SUM(R54:R55)</f>
        <v>11524.165747566054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46789.182266946715</v>
      </c>
      <c r="D61" s="668">
        <f t="shared" ref="D61:Q61" ca="1" si="8">D46+D52+D56</f>
        <v>7915.1747899159682</v>
      </c>
      <c r="E61" s="668">
        <f t="shared" ca="1" si="8"/>
        <v>50098.394670373222</v>
      </c>
      <c r="F61" s="668">
        <f t="shared" si="8"/>
        <v>2219.3733659212221</v>
      </c>
      <c r="G61" s="668">
        <f t="shared" ca="1" si="8"/>
        <v>25622.743803762314</v>
      </c>
      <c r="H61" s="668">
        <f t="shared" si="8"/>
        <v>49625.13924028715</v>
      </c>
      <c r="I61" s="668">
        <f t="shared" si="8"/>
        <v>8322.7670224590238</v>
      </c>
      <c r="J61" s="668">
        <f t="shared" si="8"/>
        <v>0</v>
      </c>
      <c r="K61" s="668">
        <f t="shared" si="8"/>
        <v>584.49641776916792</v>
      </c>
      <c r="L61" s="668">
        <f t="shared" si="8"/>
        <v>0</v>
      </c>
      <c r="M61" s="668">
        <f t="shared" ca="1" si="8"/>
        <v>0</v>
      </c>
      <c r="N61" s="668">
        <f t="shared" si="8"/>
        <v>0</v>
      </c>
      <c r="O61" s="668">
        <f t="shared" ca="1" si="8"/>
        <v>0</v>
      </c>
      <c r="P61" s="668">
        <f t="shared" si="8"/>
        <v>0</v>
      </c>
      <c r="Q61" s="668">
        <f t="shared" si="8"/>
        <v>0</v>
      </c>
      <c r="R61" s="668">
        <f ca="1">R46+R52+R56</f>
        <v>191177.27157743479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0.21116274299723001</v>
      </c>
      <c r="D63" s="709">
        <f t="shared" ca="1" si="9"/>
        <v>0.23764705882352946</v>
      </c>
      <c r="E63" s="941">
        <f t="shared" ca="1" si="9"/>
        <v>0.20200000000000004</v>
      </c>
      <c r="F63" s="709">
        <f t="shared" si="9"/>
        <v>0.22700000000000001</v>
      </c>
      <c r="G63" s="709">
        <f t="shared" ca="1" si="9"/>
        <v>0.26700000000000002</v>
      </c>
      <c r="H63" s="709">
        <f t="shared" si="9"/>
        <v>0.26700000000000002</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10719.209163738469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23314.5</v>
      </c>
      <c r="D76" s="951">
        <f>'lokale energieproductie'!C8</f>
        <v>27428.823529411766</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5540.6223529411773</v>
      </c>
      <c r="R76" s="779">
        <v>0</v>
      </c>
    </row>
    <row r="77" spans="1:18" ht="30.75" thickBot="1">
      <c r="A77" s="681" t="s">
        <v>340</v>
      </c>
      <c r="B77" s="678">
        <f>'lokale energieproductie'!B9*IFERROR(SUM(I77:O77)/SUM(D77:O77),0)</f>
        <v>900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2571.4285714285716</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11619.209163738469</v>
      </c>
      <c r="C78" s="683">
        <f>SUM(C72:C77)</f>
        <v>23314.5</v>
      </c>
      <c r="D78" s="684">
        <f t="shared" ref="D78:H78" si="10">SUM(D76:D77)</f>
        <v>27428.823529411766</v>
      </c>
      <c r="E78" s="684">
        <f t="shared" si="10"/>
        <v>0</v>
      </c>
      <c r="F78" s="684">
        <f t="shared" si="10"/>
        <v>0</v>
      </c>
      <c r="G78" s="684">
        <f t="shared" si="10"/>
        <v>0</v>
      </c>
      <c r="H78" s="684">
        <f t="shared" si="10"/>
        <v>0</v>
      </c>
      <c r="I78" s="684">
        <f>SUM(I76:I77)</f>
        <v>0</v>
      </c>
      <c r="J78" s="684">
        <f>SUM(J76:J77)</f>
        <v>2571.4285714285716</v>
      </c>
      <c r="K78" s="684">
        <f t="shared" ref="K78:L78" si="11">SUM(K76:K77)</f>
        <v>0</v>
      </c>
      <c r="L78" s="684">
        <f t="shared" si="11"/>
        <v>0</v>
      </c>
      <c r="M78" s="684">
        <f>SUM(M76:M77)</f>
        <v>0</v>
      </c>
      <c r="N78" s="684">
        <f>SUM(N76:N77)</f>
        <v>0</v>
      </c>
      <c r="O78" s="787">
        <f>SUM(O76:O77)</f>
        <v>0</v>
      </c>
      <c r="P78" s="685">
        <v>0</v>
      </c>
      <c r="Q78" s="685">
        <f>SUM(Q76:Q77)</f>
        <v>5540.6223529411773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33306.428571428572</v>
      </c>
      <c r="D87" s="705">
        <f>'lokale energieproductie'!C17</f>
        <v>39184.033613445383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7915.1747899159682</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33306.428571428572</v>
      </c>
      <c r="D90" s="683">
        <f t="shared" ref="D90:H90" si="12">SUM(D87:D89)</f>
        <v>39184.033613445383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7915.1747899159682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43526.328070400719</v>
      </c>
      <c r="C4" s="441">
        <f>huishoudens!C8</f>
        <v>0</v>
      </c>
      <c r="D4" s="441">
        <f>huishoudens!D8</f>
        <v>129713.44123473999</v>
      </c>
      <c r="E4" s="441">
        <f>huishoudens!E8</f>
        <v>1484.6255620622239</v>
      </c>
      <c r="F4" s="441">
        <f>huishoudens!F8</f>
        <v>40364.030406734186</v>
      </c>
      <c r="G4" s="441">
        <f>huishoudens!G8</f>
        <v>0</v>
      </c>
      <c r="H4" s="441">
        <f>huishoudens!H8</f>
        <v>0</v>
      </c>
      <c r="I4" s="441">
        <f>huishoudens!I8</f>
        <v>0</v>
      </c>
      <c r="J4" s="441">
        <f>huishoudens!J8</f>
        <v>744.38481589290222</v>
      </c>
      <c r="K4" s="441">
        <f>huishoudens!K8</f>
        <v>0</v>
      </c>
      <c r="L4" s="441">
        <f>huishoudens!L8</f>
        <v>0</v>
      </c>
      <c r="M4" s="441">
        <f>huishoudens!M8</f>
        <v>0</v>
      </c>
      <c r="N4" s="441">
        <f>huishoudens!N8</f>
        <v>15137.950325171811</v>
      </c>
      <c r="O4" s="441">
        <f>huishoudens!O8</f>
        <v>379.89000000000004</v>
      </c>
      <c r="P4" s="442">
        <f>huishoudens!P8</f>
        <v>953.33333333333326</v>
      </c>
      <c r="Q4" s="443">
        <f>SUM(B4:P4)</f>
        <v>232303.98374833519</v>
      </c>
    </row>
    <row r="5" spans="1:17">
      <c r="A5" s="440" t="s">
        <v>149</v>
      </c>
      <c r="B5" s="441">
        <f ca="1">tertiair!B16</f>
        <v>73653.478080000001</v>
      </c>
      <c r="C5" s="441">
        <f ca="1">tertiair!C16</f>
        <v>0</v>
      </c>
      <c r="D5" s="441">
        <f ca="1">tertiair!D16</f>
        <v>66527.530664075806</v>
      </c>
      <c r="E5" s="441">
        <f>tertiair!E16</f>
        <v>1114.9118121792083</v>
      </c>
      <c r="F5" s="441">
        <f ca="1">tertiair!F16</f>
        <v>15892.93429146217</v>
      </c>
      <c r="G5" s="441">
        <f>tertiair!G16</f>
        <v>0</v>
      </c>
      <c r="H5" s="441">
        <f>tertiair!H16</f>
        <v>0</v>
      </c>
      <c r="I5" s="441">
        <f>tertiair!I16</f>
        <v>0</v>
      </c>
      <c r="J5" s="441">
        <f>tertiair!J16</f>
        <v>0.11776337562897168</v>
      </c>
      <c r="K5" s="441">
        <f>tertiair!K16</f>
        <v>0</v>
      </c>
      <c r="L5" s="441">
        <f ca="1">tertiair!L16</f>
        <v>0</v>
      </c>
      <c r="M5" s="441">
        <f>tertiair!M16</f>
        <v>0</v>
      </c>
      <c r="N5" s="441">
        <f ca="1">tertiair!N16</f>
        <v>1687.3293196218337</v>
      </c>
      <c r="O5" s="441">
        <f>tertiair!O16</f>
        <v>1.5633333333333335</v>
      </c>
      <c r="P5" s="442">
        <f>tertiair!P16</f>
        <v>343.2</v>
      </c>
      <c r="Q5" s="440">
        <f t="shared" ref="Q5:Q14" ca="1" si="0">SUM(B5:P5)</f>
        <v>159221.065264048</v>
      </c>
    </row>
    <row r="6" spans="1:17">
      <c r="A6" s="440" t="s">
        <v>187</v>
      </c>
      <c r="B6" s="441">
        <f>'openbare verlichting'!B8</f>
        <v>1362.1759999999999</v>
      </c>
      <c r="C6" s="441"/>
      <c r="D6" s="441"/>
      <c r="E6" s="441"/>
      <c r="F6" s="441"/>
      <c r="G6" s="441"/>
      <c r="H6" s="441"/>
      <c r="I6" s="441"/>
      <c r="J6" s="441"/>
      <c r="K6" s="441"/>
      <c r="L6" s="441"/>
      <c r="M6" s="441"/>
      <c r="N6" s="441"/>
      <c r="O6" s="441"/>
      <c r="P6" s="442"/>
      <c r="Q6" s="440">
        <f t="shared" si="0"/>
        <v>1362.1759999999999</v>
      </c>
    </row>
    <row r="7" spans="1:17">
      <c r="A7" s="440" t="s">
        <v>105</v>
      </c>
      <c r="B7" s="441">
        <f>landbouw!B8</f>
        <v>1578.78770263</v>
      </c>
      <c r="C7" s="441">
        <f>landbouw!C8</f>
        <v>32406.428571428572</v>
      </c>
      <c r="D7" s="441">
        <f>landbouw!D8</f>
        <v>1481.6131504766818</v>
      </c>
      <c r="E7" s="441">
        <f>landbouw!E8</f>
        <v>31.277142158117876</v>
      </c>
      <c r="F7" s="441">
        <f>landbouw!F8</f>
        <v>5757.3934674889433</v>
      </c>
      <c r="G7" s="441">
        <f>landbouw!G8</f>
        <v>0</v>
      </c>
      <c r="H7" s="441">
        <f>landbouw!H8</f>
        <v>0</v>
      </c>
      <c r="I7" s="441">
        <f>landbouw!I8</f>
        <v>0</v>
      </c>
      <c r="J7" s="441">
        <f>landbouw!J8</f>
        <v>374.86780852218055</v>
      </c>
      <c r="K7" s="441">
        <f>landbouw!K8</f>
        <v>0</v>
      </c>
      <c r="L7" s="441">
        <f>landbouw!L8</f>
        <v>0</v>
      </c>
      <c r="M7" s="441">
        <f>landbouw!M8</f>
        <v>0</v>
      </c>
      <c r="N7" s="441">
        <f>landbouw!N8</f>
        <v>0</v>
      </c>
      <c r="O7" s="441">
        <f>landbouw!O8</f>
        <v>0</v>
      </c>
      <c r="P7" s="442">
        <f>landbouw!P8</f>
        <v>0</v>
      </c>
      <c r="Q7" s="440">
        <f t="shared" si="0"/>
        <v>41630.367842704502</v>
      </c>
    </row>
    <row r="8" spans="1:17">
      <c r="A8" s="440" t="s">
        <v>600</v>
      </c>
      <c r="B8" s="441">
        <f>industrie!B18</f>
        <v>98441.485883079993</v>
      </c>
      <c r="C8" s="441">
        <f>industrie!C18</f>
        <v>900.00000000000023</v>
      </c>
      <c r="D8" s="441">
        <f>industrie!D18</f>
        <v>45779.012889377198</v>
      </c>
      <c r="E8" s="441">
        <f>industrie!E18</f>
        <v>6682.1403551956155</v>
      </c>
      <c r="F8" s="441">
        <f>industrie!F18</f>
        <v>33950.974432675415</v>
      </c>
      <c r="G8" s="441">
        <f>industrie!G18</f>
        <v>0</v>
      </c>
      <c r="H8" s="441">
        <f>industrie!H18</f>
        <v>0</v>
      </c>
      <c r="I8" s="441">
        <f>industrie!I18</f>
        <v>0</v>
      </c>
      <c r="J8" s="441">
        <f>industrie!J18</f>
        <v>531.74943641597758</v>
      </c>
      <c r="K8" s="441">
        <f>industrie!K18</f>
        <v>0</v>
      </c>
      <c r="L8" s="441">
        <f>industrie!L18</f>
        <v>0</v>
      </c>
      <c r="M8" s="441">
        <f>industrie!M18</f>
        <v>0</v>
      </c>
      <c r="N8" s="441">
        <f>industrie!N18</f>
        <v>7775.9392202005874</v>
      </c>
      <c r="O8" s="441">
        <f>industrie!O18</f>
        <v>0</v>
      </c>
      <c r="P8" s="442">
        <f>industrie!P18</f>
        <v>0</v>
      </c>
      <c r="Q8" s="440">
        <f t="shared" si="0"/>
        <v>194061.30221694475</v>
      </c>
    </row>
    <row r="9" spans="1:17" s="446" customFormat="1">
      <c r="A9" s="444" t="s">
        <v>549</v>
      </c>
      <c r="B9" s="445">
        <f>transport!B14</f>
        <v>61.460217899784126</v>
      </c>
      <c r="C9" s="445">
        <f>transport!C14</f>
        <v>0</v>
      </c>
      <c r="D9" s="445">
        <f>transport!D14</f>
        <v>95.053525758126924</v>
      </c>
      <c r="E9" s="445">
        <f>transport!E14</f>
        <v>464.02030867453436</v>
      </c>
      <c r="F9" s="445">
        <f>transport!F14</f>
        <v>0</v>
      </c>
      <c r="G9" s="445">
        <f>transport!G14</f>
        <v>183590.00246958731</v>
      </c>
      <c r="H9" s="445">
        <f>transport!H14</f>
        <v>33424.767158469978</v>
      </c>
      <c r="I9" s="445">
        <f>transport!I14</f>
        <v>0</v>
      </c>
      <c r="J9" s="445">
        <f>transport!J14</f>
        <v>0</v>
      </c>
      <c r="K9" s="445">
        <f>transport!K14</f>
        <v>0</v>
      </c>
      <c r="L9" s="445">
        <f>transport!L14</f>
        <v>0</v>
      </c>
      <c r="M9" s="445">
        <f>transport!M14</f>
        <v>6777.4659729117921</v>
      </c>
      <c r="N9" s="445">
        <f>transport!N14</f>
        <v>0</v>
      </c>
      <c r="O9" s="445">
        <f>transport!O14</f>
        <v>0</v>
      </c>
      <c r="P9" s="445">
        <f>transport!P14</f>
        <v>0</v>
      </c>
      <c r="Q9" s="444">
        <f>SUM(B9:P9)</f>
        <v>224412.76965330154</v>
      </c>
    </row>
    <row r="10" spans="1:17">
      <c r="A10" s="440" t="s">
        <v>539</v>
      </c>
      <c r="B10" s="441">
        <f>transport!B54</f>
        <v>12.742093515911719</v>
      </c>
      <c r="C10" s="441">
        <f>transport!C54</f>
        <v>0</v>
      </c>
      <c r="D10" s="441">
        <f>transport!D54</f>
        <v>0</v>
      </c>
      <c r="E10" s="441">
        <f>transport!E54</f>
        <v>0</v>
      </c>
      <c r="F10" s="441">
        <f>transport!F54</f>
        <v>0</v>
      </c>
      <c r="G10" s="441">
        <f>transport!G54</f>
        <v>2271.9422505892612</v>
      </c>
      <c r="H10" s="441">
        <f>transport!H54</f>
        <v>0</v>
      </c>
      <c r="I10" s="441">
        <f>transport!I54</f>
        <v>0</v>
      </c>
      <c r="J10" s="441">
        <f>transport!J54</f>
        <v>0</v>
      </c>
      <c r="K10" s="441">
        <f>transport!K54</f>
        <v>0</v>
      </c>
      <c r="L10" s="441">
        <f>transport!L54</f>
        <v>0</v>
      </c>
      <c r="M10" s="441">
        <f>transport!M54</f>
        <v>70.921234118778543</v>
      </c>
      <c r="N10" s="441">
        <f>transport!N54</f>
        <v>0</v>
      </c>
      <c r="O10" s="441">
        <f>transport!O54</f>
        <v>0</v>
      </c>
      <c r="P10" s="442">
        <f>transport!P54</f>
        <v>0</v>
      </c>
      <c r="Q10" s="440">
        <f t="shared" si="0"/>
        <v>2355.6055782239514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2942.3186003999999</v>
      </c>
      <c r="C14" s="448"/>
      <c r="D14" s="448">
        <f>'SEAP template'!E25</f>
        <v>4415.2033394</v>
      </c>
      <c r="E14" s="448"/>
      <c r="F14" s="448"/>
      <c r="G14" s="448"/>
      <c r="H14" s="448"/>
      <c r="I14" s="448"/>
      <c r="J14" s="448"/>
      <c r="K14" s="448"/>
      <c r="L14" s="448"/>
      <c r="M14" s="448"/>
      <c r="N14" s="448"/>
      <c r="O14" s="448"/>
      <c r="P14" s="449"/>
      <c r="Q14" s="440">
        <f t="shared" si="0"/>
        <v>7357.5219397999999</v>
      </c>
    </row>
    <row r="15" spans="1:17" s="450" customFormat="1">
      <c r="A15" s="956" t="s">
        <v>543</v>
      </c>
      <c r="B15" s="896">
        <f ca="1">SUM(B4:B14)</f>
        <v>221578.77664792642</v>
      </c>
      <c r="C15" s="896">
        <f t="shared" ref="C15:Q15" ca="1" si="1">SUM(C4:C14)</f>
        <v>33306.428571428572</v>
      </c>
      <c r="D15" s="896">
        <f t="shared" ca="1" si="1"/>
        <v>248011.85480382779</v>
      </c>
      <c r="E15" s="896">
        <f t="shared" si="1"/>
        <v>9776.975180269701</v>
      </c>
      <c r="F15" s="896">
        <f t="shared" ca="1" si="1"/>
        <v>95965.332598360721</v>
      </c>
      <c r="G15" s="896">
        <f t="shared" si="1"/>
        <v>185861.94472017657</v>
      </c>
      <c r="H15" s="896">
        <f t="shared" si="1"/>
        <v>33424.767158469978</v>
      </c>
      <c r="I15" s="896">
        <f t="shared" si="1"/>
        <v>0</v>
      </c>
      <c r="J15" s="896">
        <f t="shared" si="1"/>
        <v>1651.1198242066894</v>
      </c>
      <c r="K15" s="896">
        <f t="shared" si="1"/>
        <v>0</v>
      </c>
      <c r="L15" s="896">
        <f t="shared" ca="1" si="1"/>
        <v>0</v>
      </c>
      <c r="M15" s="896">
        <f t="shared" si="1"/>
        <v>6848.3872070305706</v>
      </c>
      <c r="N15" s="896">
        <f t="shared" ca="1" si="1"/>
        <v>24601.218864994233</v>
      </c>
      <c r="O15" s="896">
        <f t="shared" si="1"/>
        <v>381.45333333333338</v>
      </c>
      <c r="P15" s="896">
        <f t="shared" si="1"/>
        <v>1296.5333333333333</v>
      </c>
      <c r="Q15" s="896">
        <f t="shared" ca="1" si="1"/>
        <v>862704.79224335798</v>
      </c>
    </row>
    <row r="17" spans="1:17">
      <c r="A17" s="451" t="s">
        <v>544</v>
      </c>
      <c r="B17" s="714">
        <f ca="1">huishoudens!B10</f>
        <v>0.21116274299723001</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9191.1388279431449</v>
      </c>
      <c r="C22" s="441">
        <f t="shared" ref="C22:C32" ca="1" si="3">C4*$C$17</f>
        <v>0</v>
      </c>
      <c r="D22" s="441">
        <f t="shared" ref="D22:D32" si="4">D4*$D$17</f>
        <v>26202.115129417482</v>
      </c>
      <c r="E22" s="441">
        <f t="shared" ref="E22:E32" si="5">E4*$E$17</f>
        <v>337.01000258812485</v>
      </c>
      <c r="F22" s="441">
        <f t="shared" ref="F22:F32" si="6">F4*$F$17</f>
        <v>10777.196118598029</v>
      </c>
      <c r="G22" s="441">
        <f t="shared" ref="G22:G32" si="7">G4*$G$17</f>
        <v>0</v>
      </c>
      <c r="H22" s="441">
        <f t="shared" ref="H22:H32" si="8">H4*$H$17</f>
        <v>0</v>
      </c>
      <c r="I22" s="441">
        <f t="shared" ref="I22:I32" si="9">I4*$I$17</f>
        <v>0</v>
      </c>
      <c r="J22" s="441">
        <f t="shared" ref="J22:J32" si="10">J4*$J$17</f>
        <v>263.51222482608739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46770.972303372866</v>
      </c>
    </row>
    <row r="23" spans="1:17">
      <c r="A23" s="440" t="s">
        <v>149</v>
      </c>
      <c r="B23" s="441">
        <f t="shared" ca="1" si="2"/>
        <v>15552.870462659153</v>
      </c>
      <c r="C23" s="441">
        <f t="shared" ca="1" si="3"/>
        <v>0</v>
      </c>
      <c r="D23" s="441">
        <f t="shared" ca="1" si="4"/>
        <v>13438.561194143314</v>
      </c>
      <c r="E23" s="441">
        <f t="shared" si="5"/>
        <v>253.08498136468029</v>
      </c>
      <c r="F23" s="441">
        <f t="shared" ca="1" si="6"/>
        <v>4243.4134558203996</v>
      </c>
      <c r="G23" s="441">
        <f t="shared" si="7"/>
        <v>0</v>
      </c>
      <c r="H23" s="441">
        <f t="shared" si="8"/>
        <v>0</v>
      </c>
      <c r="I23" s="441">
        <f t="shared" si="9"/>
        <v>0</v>
      </c>
      <c r="J23" s="441">
        <f t="shared" si="10"/>
        <v>4.1688234972655974E-2</v>
      </c>
      <c r="K23" s="441">
        <f t="shared" si="11"/>
        <v>0</v>
      </c>
      <c r="L23" s="441">
        <f t="shared" ca="1" si="12"/>
        <v>0</v>
      </c>
      <c r="M23" s="441">
        <f t="shared" si="13"/>
        <v>0</v>
      </c>
      <c r="N23" s="441">
        <f t="shared" ca="1" si="14"/>
        <v>0</v>
      </c>
      <c r="O23" s="441">
        <f t="shared" si="15"/>
        <v>0</v>
      </c>
      <c r="P23" s="442">
        <f t="shared" si="16"/>
        <v>0</v>
      </c>
      <c r="Q23" s="440">
        <f t="shared" ref="Q23:Q32" ca="1" si="17">SUM(B23:P23)</f>
        <v>33487.971782222521</v>
      </c>
    </row>
    <row r="24" spans="1:17">
      <c r="A24" s="440" t="s">
        <v>187</v>
      </c>
      <c r="B24" s="441">
        <f t="shared" ca="1" si="2"/>
        <v>287.64082060499476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287.64082060499476</v>
      </c>
    </row>
    <row r="25" spans="1:17">
      <c r="A25" s="440" t="s">
        <v>105</v>
      </c>
      <c r="B25" s="441">
        <f t="shared" ca="1" si="2"/>
        <v>333.38114189764588</v>
      </c>
      <c r="C25" s="441">
        <f t="shared" ca="1" si="3"/>
        <v>7701.2924369747916</v>
      </c>
      <c r="D25" s="441">
        <f t="shared" si="4"/>
        <v>299.28585639628972</v>
      </c>
      <c r="E25" s="441">
        <f t="shared" si="5"/>
        <v>7.0999112698927584</v>
      </c>
      <c r="F25" s="441">
        <f t="shared" si="6"/>
        <v>1537.2240558195479</v>
      </c>
      <c r="G25" s="441">
        <f t="shared" si="7"/>
        <v>0</v>
      </c>
      <c r="H25" s="441">
        <f t="shared" si="8"/>
        <v>0</v>
      </c>
      <c r="I25" s="441">
        <f t="shared" si="9"/>
        <v>0</v>
      </c>
      <c r="J25" s="441">
        <f t="shared" si="10"/>
        <v>132.7032042168519</v>
      </c>
      <c r="K25" s="441">
        <f t="shared" si="11"/>
        <v>0</v>
      </c>
      <c r="L25" s="441">
        <f t="shared" si="12"/>
        <v>0</v>
      </c>
      <c r="M25" s="441">
        <f t="shared" si="13"/>
        <v>0</v>
      </c>
      <c r="N25" s="441">
        <f t="shared" si="14"/>
        <v>0</v>
      </c>
      <c r="O25" s="441">
        <f t="shared" si="15"/>
        <v>0</v>
      </c>
      <c r="P25" s="442">
        <f t="shared" si="16"/>
        <v>0</v>
      </c>
      <c r="Q25" s="440">
        <f t="shared" ca="1" si="17"/>
        <v>10010.986606575019</v>
      </c>
    </row>
    <row r="26" spans="1:17">
      <c r="A26" s="440" t="s">
        <v>600</v>
      </c>
      <c r="B26" s="441">
        <f t="shared" ca="1" si="2"/>
        <v>20787.174183794268</v>
      </c>
      <c r="C26" s="441">
        <f t="shared" ca="1" si="3"/>
        <v>213.88235294117658</v>
      </c>
      <c r="D26" s="441">
        <f t="shared" si="4"/>
        <v>9247.3606036541951</v>
      </c>
      <c r="E26" s="441">
        <f t="shared" si="5"/>
        <v>1516.8458606294048</v>
      </c>
      <c r="F26" s="441">
        <f t="shared" si="6"/>
        <v>9064.9101735243366</v>
      </c>
      <c r="G26" s="441">
        <f t="shared" si="7"/>
        <v>0</v>
      </c>
      <c r="H26" s="441">
        <f t="shared" si="8"/>
        <v>0</v>
      </c>
      <c r="I26" s="441">
        <f t="shared" si="9"/>
        <v>0</v>
      </c>
      <c r="J26" s="441">
        <f t="shared" si="10"/>
        <v>188.23930049125605</v>
      </c>
      <c r="K26" s="441">
        <f t="shared" si="11"/>
        <v>0</v>
      </c>
      <c r="L26" s="441">
        <f t="shared" si="12"/>
        <v>0</v>
      </c>
      <c r="M26" s="441">
        <f t="shared" si="13"/>
        <v>0</v>
      </c>
      <c r="N26" s="441">
        <f t="shared" si="14"/>
        <v>0</v>
      </c>
      <c r="O26" s="441">
        <f t="shared" si="15"/>
        <v>0</v>
      </c>
      <c r="P26" s="442">
        <f t="shared" si="16"/>
        <v>0</v>
      </c>
      <c r="Q26" s="440">
        <f t="shared" ca="1" si="17"/>
        <v>41018.412475034638</v>
      </c>
    </row>
    <row r="27" spans="1:17" s="446" customFormat="1">
      <c r="A27" s="444" t="s">
        <v>549</v>
      </c>
      <c r="B27" s="708">
        <f t="shared" ca="1" si="2"/>
        <v>12.97810819692587</v>
      </c>
      <c r="C27" s="445">
        <f t="shared" ca="1" si="3"/>
        <v>0</v>
      </c>
      <c r="D27" s="445">
        <f t="shared" si="4"/>
        <v>19.200812203141641</v>
      </c>
      <c r="E27" s="445">
        <f t="shared" si="5"/>
        <v>105.3326100691193</v>
      </c>
      <c r="F27" s="445">
        <f t="shared" si="6"/>
        <v>0</v>
      </c>
      <c r="G27" s="445">
        <f t="shared" si="7"/>
        <v>49018.530659379816</v>
      </c>
      <c r="H27" s="445">
        <f t="shared" si="8"/>
        <v>8322.7670224590238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57478.809212308028</v>
      </c>
    </row>
    <row r="28" spans="1:17">
      <c r="A28" s="440" t="s">
        <v>539</v>
      </c>
      <c r="B28" s="441">
        <f t="shared" ca="1" si="2"/>
        <v>2.6906554183471374</v>
      </c>
      <c r="C28" s="441">
        <f t="shared" ca="1" si="3"/>
        <v>0</v>
      </c>
      <c r="D28" s="441">
        <f t="shared" si="4"/>
        <v>0</v>
      </c>
      <c r="E28" s="441">
        <f t="shared" si="5"/>
        <v>0</v>
      </c>
      <c r="F28" s="441">
        <f t="shared" si="6"/>
        <v>0</v>
      </c>
      <c r="G28" s="441">
        <f t="shared" si="7"/>
        <v>606.60858090733279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609.29923632567989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621.30806643223468</v>
      </c>
      <c r="C32" s="441">
        <f t="shared" ca="1" si="3"/>
        <v>0</v>
      </c>
      <c r="D32" s="441">
        <f t="shared" si="4"/>
        <v>891.87107455880005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1513.1791409910347</v>
      </c>
    </row>
    <row r="33" spans="1:17" s="450" customFormat="1">
      <c r="A33" s="956" t="s">
        <v>543</v>
      </c>
      <c r="B33" s="896">
        <f ca="1">SUM(B22:B32)</f>
        <v>46789.182266946715</v>
      </c>
      <c r="C33" s="896">
        <f t="shared" ref="C33:Q33" ca="1" si="18">SUM(C22:C32)</f>
        <v>7915.1747899159682</v>
      </c>
      <c r="D33" s="896">
        <f t="shared" ca="1" si="18"/>
        <v>50098.394670373222</v>
      </c>
      <c r="E33" s="896">
        <f t="shared" si="18"/>
        <v>2219.3733659212221</v>
      </c>
      <c r="F33" s="896">
        <f t="shared" ca="1" si="18"/>
        <v>25622.743803762314</v>
      </c>
      <c r="G33" s="896">
        <f t="shared" si="18"/>
        <v>49625.13924028715</v>
      </c>
      <c r="H33" s="896">
        <f t="shared" si="18"/>
        <v>8322.7670224590238</v>
      </c>
      <c r="I33" s="896">
        <f t="shared" si="18"/>
        <v>0</v>
      </c>
      <c r="J33" s="896">
        <f t="shared" si="18"/>
        <v>584.49641776916792</v>
      </c>
      <c r="K33" s="896">
        <f t="shared" si="18"/>
        <v>0</v>
      </c>
      <c r="L33" s="896">
        <f t="shared" ca="1" si="18"/>
        <v>0</v>
      </c>
      <c r="M33" s="896">
        <f t="shared" si="18"/>
        <v>0</v>
      </c>
      <c r="N33" s="896">
        <f t="shared" ca="1" si="18"/>
        <v>0</v>
      </c>
      <c r="O33" s="896">
        <f t="shared" si="18"/>
        <v>0</v>
      </c>
      <c r="P33" s="896">
        <f t="shared" si="18"/>
        <v>0</v>
      </c>
      <c r="Q33" s="896">
        <f t="shared" ca="1" si="18"/>
        <v>191177.27157743479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10719.209163738469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23314.5</v>
      </c>
      <c r="D8" s="973">
        <f>'SEAP template'!D76</f>
        <v>27428.823529411766</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5540.6223529411773</v>
      </c>
    </row>
    <row r="9" spans="1:16">
      <c r="A9" s="976" t="s">
        <v>803</v>
      </c>
      <c r="B9" s="973">
        <f>'SEAP template'!B77</f>
        <v>900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2571.4285714285716</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11619.209163738469</v>
      </c>
      <c r="C10" s="977">
        <f>SUM(C4:C9)</f>
        <v>23314.5</v>
      </c>
      <c r="D10" s="977">
        <f t="shared" ref="D10:H10" si="0">SUM(D8:D9)</f>
        <v>27428.823529411766</v>
      </c>
      <c r="E10" s="977">
        <f t="shared" si="0"/>
        <v>0</v>
      </c>
      <c r="F10" s="977">
        <f t="shared" si="0"/>
        <v>0</v>
      </c>
      <c r="G10" s="977">
        <f t="shared" si="0"/>
        <v>0</v>
      </c>
      <c r="H10" s="977">
        <f t="shared" si="0"/>
        <v>0</v>
      </c>
      <c r="I10" s="977">
        <f>SUM(I8:I9)</f>
        <v>0</v>
      </c>
      <c r="J10" s="977">
        <f>SUM(J8:J9)</f>
        <v>2571.4285714285716</v>
      </c>
      <c r="K10" s="977">
        <f t="shared" ref="K10:L10" si="1">SUM(K8:K9)</f>
        <v>0</v>
      </c>
      <c r="L10" s="977">
        <f t="shared" si="1"/>
        <v>0</v>
      </c>
      <c r="M10" s="977">
        <f>SUM(M8:M9)</f>
        <v>0</v>
      </c>
      <c r="N10" s="977">
        <f>SUM(N8:N9)</f>
        <v>0</v>
      </c>
      <c r="O10" s="977">
        <f>SUM(O8:O9)</f>
        <v>0</v>
      </c>
      <c r="P10" s="977">
        <f>SUM(P8:P9)</f>
        <v>5540.6223529411773</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0.21116274299723001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33306.428571428572</v>
      </c>
      <c r="D17" s="974">
        <f>'SEAP template'!D87</f>
        <v>39184.033613445383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7915.1747899159682</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33306.428571428572</v>
      </c>
      <c r="D20" s="977">
        <f t="shared" ref="D20:H20" si="2">SUM(D17:D19)</f>
        <v>39184.033613445383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7915.1747899159682</v>
      </c>
    </row>
    <row r="22" spans="1:16">
      <c r="A22" s="451" t="s">
        <v>811</v>
      </c>
      <c r="B22" s="714" t="s">
        <v>805</v>
      </c>
      <c r="C22" s="714">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0.21116274299723001</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2</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3.1266666666666669</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2</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38.133333333333333</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2022-07-26T10:59:25Z</dcterms:modified>
</cp:coreProperties>
</file>