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3CAEC3E0-3F0F-4710-9EAF-00C8B1820AC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<sst xmlns="http://schemas.openxmlformats.org/spreadsheetml/2006/main" count="2416" uniqueCount="890">
  <si>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</si>
  <si>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</si>
  <si>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</si>
  <si>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</si>
  <si>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</si>
  <si>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</si>
  <si>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</si>
  <si>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</si>
  <si>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</si>
  <si>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</si>
  <si>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</si>
  <si>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</si>
  <si>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</si>
  <si>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</si>
  <si>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</si>
  <si>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</si>
  <si>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</si>
  <si>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</si>
  <si>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</si>
  <si>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</si>
  <si>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</si>
  <si>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</si>
  <si>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</si>
  <si>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</si>
  <si>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</si>
  <si>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</si>
  <si>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</si>
  <si>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</si>
  <si>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</si>
  <si>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</si>
  <si>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</si>
  <si>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</si>
  <si>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</si>
  <si>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</si>
  <si>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</si>
  <si>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</si>
  <si>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</si>
  <si>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</si>
  <si>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</si>
  <si>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</si>
  <si>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</si>
  <si>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</si>
  <si>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</si>
  <si>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</si>
  <si>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</si>
  <si>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</si>
  <si>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</si>
  <si>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</si>
  <si>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</si>
  <si>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</si>
  <si>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</si>
  <si>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</si>
  <si>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</si>
  <si>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</si>
  <si>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</si>
  <si>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</si>
  <si>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</si>
  <si>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</si>
  <si>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</si>
  <si>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</si>
  <si>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</si>
  <si>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</si>
  <si>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</si>
  <si>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</si>
  <si>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</si>
  <si>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</si>
  <si>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</si>
  <si>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</si>
  <si>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</si>
  <si>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</si>
  <si>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</si>
  <si>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</si>
  <si>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</si>
  <si>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</si>
  <si>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</si>
  <si>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</si>
  <si>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</si>
  <si>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</si>
  <si>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</si>
  <si>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</si>
  <si>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</si>
  <si>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</si>
  <si>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</si>
  <si>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</si>
  <si>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</si>
  <si>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</si>
  <si>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</si>
  <si>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</si>
  <si>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</si>
  <si>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</si>
  <si>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</si>
  <si>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</si>
  <si>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</si>
  <si>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</si>
  <si>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</si>
  <si>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</si>
  <si>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</si>
  <si>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</si>
  <si>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</si>
  <si>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</si>
  <si>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</si>
  <si>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</si>
  <si>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</si>
  <si>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</si>
  <si>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</si>
  <si>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</si>
  <si>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</si>
  <si>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</si>
  <si>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</si>
  <si>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</si>
  <si>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</si>
  <si>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</si>
  <si>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</si>
  <si>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</si>
  <si>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</si>
  <si>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</si>
  <si>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</si>
  <si>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</si>
  <si>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</si>
  <si>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</si>
  <si>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</si>
  <si>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</si>
  <si>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</si>
  <si>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</si>
  <si>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</si>
  <si>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</si>
  <si>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</si>
  <si>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</si>
  <si>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</si>
  <si>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</si>
  <si>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</si>
  <si>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</si>
  <si>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</si>
  <si>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</si>
  <si>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</si>
  <si>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</si>
  <si>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</si>
  <si>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</si>
  <si>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</si>
  <si>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</si>
  <si>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</si>
  <si>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</si>
  <si>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</si>
  <si>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</si>
  <si>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</si>
  <si>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</si>
  <si>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</si>
  <si>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</si>
  <si>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</si>
  <si>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</si>
  <si>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</si>
  <si>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</si>
  <si>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</si>
  <si>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</si>
  <si>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</si>
  <si>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</si>
  <si>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</si>
  <si>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</si>
  <si>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</si>
  <si>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</si>
  <si>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</si>
  <si>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</si>
  <si>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</si>
  <si>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</si>
  <si>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</si>
  <si>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</si>
  <si>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</si>
  <si>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</si>
  <si>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</si>
  <si>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</si>
  <si>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</si>
  <si>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</si>
  <si>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</si>
  <si>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</si>
  <si>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</si>
  <si>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</si>
  <si>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</si>
  <si>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</si>
  <si>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</si>
  <si>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</si>
  <si>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</si>
  <si>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</si>
  <si>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</si>
  <si>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</si>
  <si>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</si>
  <si>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</si>
  <si>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</si>
  <si>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</si>
  <si>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</si>
  <si>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</si>
  <si>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</si>
  <si>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</si>
  <si>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</si>
  <si>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</si>
  <si>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</si>
  <si>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</si>
  <si>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</si>
  <si>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</si>
  <si>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</si>
  <si>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</si>
  <si>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</si>
  <si>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</si>
  <si>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</si>
  <si>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</si>
  <si>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</si>
  <si>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</si>
  <si>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</si>
  <si>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</si>
  <si>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</si>
  <si>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</si>
  <si>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</si>
  <si>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</si>
  <si>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</si>
  <si>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</si>
  <si>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</si>
  <si>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</si>
  <si>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</si>
  <si>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</si>
  <si>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</si>
  <si>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</si>
  <si>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</si>
  <si>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</si>
  <si>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</si>
  <si>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</si>
  <si>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</si>
  <si>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</si>
  <si>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</si>
  <si>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</si>
  <si>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</si>
  <si>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</si>
  <si>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</si>
  <si>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</si>
  <si>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</si>
  <si>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</si>
  <si>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</si>
  <si>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</si>
  <si>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</si>
  <si>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</si>
  <si>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</si>
  <si>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</si>
  <si>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</si>
  <si>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</si>
  <si>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</si>
  <si>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</si>
  <si>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</si>
  <si>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</si>
  <si>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</si>
  <si>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</si>
  <si>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</si>
  <si>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</si>
  <si>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</si>
  <si>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</si>
  <si>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</si>
  <si>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</si>
  <si>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</si>
  <si>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</si>
  <si>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</si>
  <si>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</si>
  <si>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</si>
  <si>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</si>
  <si>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</si>
  <si>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</si>
  <si>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</si>
  <si>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</si>
  <si>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</si>
  <si>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</si>
  <si>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</si>
  <si>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</si>
  <si>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</si>
  <si>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</si>
  <si>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</si>
  <si>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</si>
  <si>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</si>
  <si>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</si>
  <si>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</si>
  <si>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</si>
  <si>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</si>
  <si>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</si>
  <si>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</si>
  <si>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</si>
  <si>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</si>
  <si>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</si>
  <si>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</si>
  <si>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</si>
  <si>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</si>
  <si>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</si>
  <si>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</si>
  <si>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</si>
  <si>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</si>
  <si>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</si>
  <si>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</si>
  <si>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</si>
  <si>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</si>
  <si>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</si>
  <si>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</si>
  <si>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</si>
  <si>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</si>
  <si>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</si>
  <si>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</si>
  <si>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</si>
  <si>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</si>
  <si>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</si>
  <si>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</si>
  <si>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</si>
  <si>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</si>
  <si>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</si>
  <si>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</si>
  <si>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</si>
  <si>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</si>
  <si>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</si>
  <si>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</si>
  <si>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</si>
  <si>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</si>
  <si>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</si>
  <si>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</si>
  <si>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</si>
  <si>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</si>
  <si>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</si>
  <si>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</si>
  <si>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</si>
  <si>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</si>
  <si>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</si>
  <si>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</si>
  <si>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</si>
  <si>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</si>
  <si>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</si>
  <si>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</si>
  <si>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</si>
  <si>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</si>
  <si>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</si>
  <si>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</si>
  <si>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</si>
  <si>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</si>
  <si>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</si>
  <si>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</si>
  <si>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</si>
  <si>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</si>
  <si>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</si>
  <si>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</si>
  <si>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</si>
  <si>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</si>
  <si>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</si>
  <si>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</si>
  <si>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</si>
  <si>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</si>
  <si>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</si>
  <si>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</si>
  <si>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</si>
  <si>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</si>
  <si>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</si>
  <si>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</si>
  <si>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</si>
  <si>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</si>
  <si>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</si>
  <si>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</si>
  <si>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</si>
  <si>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</si>
  <si>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</si>
  <si>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</si>
  <si>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</si>
  <si>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</si>
  <si>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</si>
  <si>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</si>
  <si>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</si>
  <si>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</si>
  <si>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</si>
  <si>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</si>
  <si>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</si>
  <si>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</si>
  <si>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</si>
  <si>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</si>
  <si>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</si>
  <si>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</si>
  <si>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</si>
  <si>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</si>
  <si>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</si>
  <si>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</si>
  <si>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</si>
  <si>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</si>
  <si>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</si>
  <si>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</si>
  <si>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</si>
  <si>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</si>
  <si>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</si>
  <si>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</si>
  <si>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</si>
  <si>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</si>
  <si>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</si>
  <si>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</si>
  <si>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</si>
  <si>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</si>
  <si>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</si>
  <si>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</si>
  <si>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</si>
  <si>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</si>
  <si>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</si>
  <si>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</si>
  <si>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</si>
  <si>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</si>
  <si>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</si>
  <si>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</si>
  <si>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</si>
  <si>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</si>
  <si>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</si>
  <si>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</si>
  <si>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</si>
  <si>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</si>
  <si>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</si>
  <si>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</si>
  <si>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</si>
  <si>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</si>
  <si>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</si>
  <si>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</si>
  <si>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</si>
  <si>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</si>
  <si>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</si>
  <si>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</si>
  <si>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</si>
  <si>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</si>
  <si>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</si>
  <si>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</si>
  <si>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</si>
  <si>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</si>
  <si>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</si>
  <si>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</si>
  <si>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</si>
  <si>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</si>
  <si>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</si>
  <si>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</si>
  <si>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</si>
  <si>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</si>
  <si>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</si>
  <si>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</si>
  <si>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</si>
  <si>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</si>
  <si>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</si>
  <si>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</si>
  <si>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</si>
  <si>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</si>
  <si>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</si>
  <si>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</si>
  <si>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</si>
  <si>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</si>
  <si>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</si>
  <si>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</si>
  <si>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</si>
  <si>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</si>
  <si>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</si>
  <si>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</si>
  <si>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</si>
  <si>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</si>
  <si>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</si>
  <si>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</si>
  <si>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</si>
  <si>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</si>
  <si>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</si>
  <si>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</si>
  <si>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</si>
  <si>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</si>
  <si>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</si>
  <si>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</si>
  <si>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</si>
  <si>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</si>
  <si>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</si>
  <si>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</si>
  <si>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</si>
  <si>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</si>
  <si>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</si>
  <si>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</si>
  <si>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</si>
  <si>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</si>
  <si>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</si>
  <si>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</si>
  <si>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</si>
  <si>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</si>
  <si>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</si>
  <si>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</si>
  <si>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</si>
  <si>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</si>
  <si>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</si>
  <si>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</si>
  <si>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</si>
  <si>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</si>
  <si>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</si>
  <si>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</si>
  <si>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</si>
  <si>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</si>
  <si>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</si>
  <si>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</si>
  <si>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</si>
  <si>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</si>
  <si>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</si>
  <si>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</si>
  <si>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</si>
  <si>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</si>
  <si>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</si>
  <si>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</si>
  <si>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</si>
  <si>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</si>
  <si>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</si>
  <si>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</si>
  <si>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</si>
  <si>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</si>
  <si>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</si>
  <si>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</si>
  <si>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</si>
  <si>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</si>
  <si>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</si>
  <si>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</si>
  <si>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</si>
  <si>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</si>
  <si>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</si>
  <si>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</si>
  <si>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</si>
  <si>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</si>
  <si>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</si>
  <si>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</si>
  <si>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</si>
  <si>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</si>
  <si>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</si>
  <si>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</si>
  <si>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</si>
  <si>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</si>
  <si>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</si>
  <si>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</si>
  <si>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</si>
  <si>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</si>
  <si>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</si>
  <si>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</si>
  <si>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</si>
  <si>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</si>
  <si>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</si>
  <si>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</si>
  <si>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</si>
  <si>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</si>
  <si>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</si>
  <si>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</si>
  <si>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</si>
  <si>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</si>
  <si>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</si>
  <si>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</si>
  <si>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</si>
  <si>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</si>
  <si>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</si>
  <si>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</si>
  <si>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</si>
  <si>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</si>
  <si>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</si>
  <si>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</si>
  <si>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</si>
  <si>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</si>
  <si>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</si>
  <si>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</si>
  <si>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</si>
  <si>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</si>
  <si>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</si>
  <si>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</si>
  <si>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</si>
  <si>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</si>
  <si>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</si>
  <si>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</si>
  <si>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</si>
  <si>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</si>
  <si>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</si>
  <si>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</si>
  <si>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</si>
  <si>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</si>
  <si>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</si>
  <si>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</si>
  <si>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</si>
  <si>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</si>
  <si>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</si>
  <si>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</si>
  <si>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</si>
  <si>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</si>
  <si>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</si>
  <si>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</si>
  <si>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</si>
  <si>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</si>
  <si>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</si>
  <si>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</si>
  <si>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</si>
  <si>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</si>
  <si>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</si>
  <si>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</si>
  <si>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</si>
  <si>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</si>
  <si>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</si>
  <si>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</si>
  <si>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</si>
  <si>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</si>
  <si>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</si>
  <si>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</si>
  <si>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</si>
  <si>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</si>
  <si>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</si>
  <si>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</si>
  <si>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</si>
  <si>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</si>
  <si>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</si>
  <si>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</si>
  <si>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</si>
  <si>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</si>
  <si>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</si>
  <si>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</si>
  <si>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</si>
  <si>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</si>
  <si>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</si>
  <si>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</si>
  <si>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</si>
  <si>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</si>
  <si>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</si>
  <si>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</si>
  <si>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</si>
  <si>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</si>
  <si>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</si>
  <si>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</si>
  <si>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</si>
  <si>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</si>
  <si>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</si>
  <si>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</si>
  <si>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</si>
  <si>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</si>
  <si>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</si>
  <si>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</si>
  <si>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</si>
  <si>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</si>
  <si>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</si>
  <si>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</si>
  <si>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</si>
  <si>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</si>
  <si>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</si>
  <si>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</si>
  <si>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</si>
  <si>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</si>
  <si>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</si>
  <si>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</si>
  <si>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</si>
  <si>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</si>
  <si>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</si>
  <si>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</si>
  <si>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</si>
  <si>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</si>
  <si>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</si>
  <si>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</si>
  <si>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</si>
  <si>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</si>
  <si>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</si>
  <si>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</si>
  <si>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</si>
  <si>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</si>
  <si>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</si>
  <si>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</si>
  <si>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</si>
  <si>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</si>
  <si>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</si>
  <si>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</si>
  <si>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</si>
  <si>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</si>
  <si>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</si>
  <si>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</si>
  <si>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</si>
  <si>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</si>
  <si>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</si>
  <si>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</si>
  <si>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</si>
  <si>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</si>
  <si>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</si>
  <si>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</si>
  <si>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</si>
  <si>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</si>
  <si>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</si>
  <si>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</si>
  <si>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</si>
  <si>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</si>
  <si>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</si>
  <si>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</si>
  <si>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</si>
  <si>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</si>
  <si>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</si>
  <si>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</si>
  <si>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</si>
  <si>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</si>
  <si>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</si>
  <si>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</si>
  <si>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</si>
  <si>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</si>
  <si>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</si>
  <si>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</si>
  <si>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</si>
  <si>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</si>
  <si>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</si>
  <si>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</si>
  <si>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</si>
  <si>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</si>
  <si>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</si>
  <si>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</si>
  <si>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</si>
  <si>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</si>
  <si>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</si>
  <si>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</si>
  <si>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</si>
  <si>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</si>
  <si>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</si>
  <si>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</si>
  <si>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</si>
  <si>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</si>
  <si>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</si>
  <si>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</si>
  <si>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</si>
  <si>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</si>
  <si>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</si>
  <si>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</si>
  <si>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</si>
  <si>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</si>
  <si>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</si>
  <si>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</si>
  <si>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</si>
  <si>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</si>
  <si>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</si>
  <si>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</si>
  <si>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</si>
  <si>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</si>
  <si>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</si>
  <si>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</si>
  <si>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</si>
  <si>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</si>
  <si>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</si>
  <si>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</si>
  <si>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</si>
  <si>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</si>
  <si>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</si>
  <si>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</si>
  <si>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</si>
  <si>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</si>
  <si>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</si>
  <si>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</si>
  <si>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</si>
  <si>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</si>
  <si>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</si>
  <si>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</si>
  <si>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</si>
  <si>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</si>
  <si>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</si>
  <si>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</si>
  <si>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</si>
  <si>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</si>
  <si>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</si>
  <si>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</si>
  <si>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</si>
  <si>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</si>
  <si>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</si>
  <si>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</si>
  <si>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</si>
  <si>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</si>
  <si>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</si>
  <si>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</si>
  <si>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</si>
  <si>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</si>
  <si>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</si>
  <si>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</si>
  <si>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</si>
  <si>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</si>
  <si>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</si>
  <si>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</si>
  <si>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</si>
  <si>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</si>
  <si>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</si>
  <si>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</si>
  <si>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</si>
  <si>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</si>
  <si>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</si>
  <si>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</si>
  <si>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</si>
  <si>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</si>
  <si>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</si>
  <si>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</si>
  <si>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</si>
  <si>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</si>
  <si>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</si>
  <si>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</si>
  <si>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</si>
  <si>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</si>
  <si>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</si>
  <si>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</si>
  <si>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</si>
  <si>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</si>
  <si>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</si>
  <si>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</si>
  <si>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</si>
  <si>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</si>
  <si>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</si>
  <si>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</si>
  <si>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</si>
  <si>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</si>
  <si>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</si>
  <si>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</si>
  <si>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</si>
  <si>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</si>
  <si>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</si>
  <si>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</si>
  <si>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</si>
  <si>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</si>
  <si>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</si>
  <si>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</si>
  <si>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</si>
  <si>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</si>
  <si>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</si>
  <si>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</si>
  <si>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</si>
  <si>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</si>
  <si>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</si>
  <si>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</si>
  <si>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</si>
  <si>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</si>
  <si>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</si>
  <si>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</si>
  <si>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</si>
  <si>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</si>
  <si>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</si>
  <si>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</si>
  <si>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</si>
  <si>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</si>
  <si>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</si>
  <si>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</si>
  <si>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</si>
  <si>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</si>
  <si>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</si>
  <si>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</si>
  <si>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</si>
  <si>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</si>
  <si>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</si>
  <si>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</si>
  <si>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</si>
  <si>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</si>
  <si>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</si>
  <si>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</si>
  <si>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</si>
  <si>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</si>
  <si>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</si>
  <si>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</si>
  <si>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</si>
  <si>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</si>
  <si>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</si>
  <si>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</si>
  <si>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</si>
  <si>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</si>
  <si>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</si>
  <si>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</si>
  <si>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</si>
  <si>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</si>
  <si>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</si>
  <si>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</si>
  <si>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</si>
  <si>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</si>
  <si>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</si>
  <si>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</si>
  <si>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</si>
  <si>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</si>
  <si>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</si>
  <si>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</si>
  <si>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</si>
  <si>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</si>
  <si>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</si>
  <si>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</si>
  <si>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</si>
  <si>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</si>
  <si>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</si>
  <si>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</si>
  <si>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</si>
  <si>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</si>
  <si>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</si>
  <si>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</si>
  <si>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</si>
  <si>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</si>
  <si>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</si>
  <si>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</si>
  <si>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</si>
  <si>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</si>
  <si>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</si>
  <si>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</si>
  <si>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</si>
  <si>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13001</t>
  </si>
  <si>
    <t>ARENDONK</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</si>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</sst>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7427D273-E0D4-43B6-9518-6E13F94FB89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111588.98065227133</c:v>
                </c:pt>
                <c:pt idx="1">
                  <c:v>94973.168063402642</c:v>
                </c:pt>
                <c:pt idx="2">
                  <c:v>826.46299999999997</c:v>
                </c:pt>
                <c:pt idx="3">
                  <c:v>72015.989142456645</c:v>
                </c:pt>
                <c:pt idx="4">
                  <c:v>40466.102612820992</c:v>
                </c:pt>
                <c:pt idx="5">
                  <c:v>94870.573075885142</c:v>
                </c:pt>
                <c:pt idx="6">
                  <c:v>765.3382118763335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111588.98065227133</c:v>
                </c:pt>
                <c:pt idx="1">
                  <c:v>94973.168063402642</c:v>
                </c:pt>
                <c:pt idx="2">
                  <c:v>826.46299999999997</c:v>
                </c:pt>
                <c:pt idx="3">
                  <c:v>72015.989142456645</c:v>
                </c:pt>
                <c:pt idx="4">
                  <c:v>40466.102612820992</c:v>
                </c:pt>
                <c:pt idx="5">
                  <c:v>94870.573075885142</c:v>
                </c:pt>
                <c:pt idx="6">
                  <c:v>765.3382118763335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19474.360594437148</c:v>
                </c:pt>
                <c:pt idx="2">
                  <c:v>11589.073411114952</c:v>
                </c:pt>
                <c:pt idx="3">
                  <c:v>47.096424921946472</c:v>
                </c:pt>
                <c:pt idx="4">
                  <c:v>6359.7015794396848</c:v>
                </c:pt>
                <c:pt idx="5">
                  <c:v>5765.0459995256469</c:v>
                </c:pt>
                <c:pt idx="6">
                  <c:v>24348.621995307749</c:v>
                </c:pt>
                <c:pt idx="7">
                  <c:v>197.32354786053253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19474.360594437148</c:v>
                </c:pt>
                <c:pt idx="2">
                  <c:v>11589.073411114952</c:v>
                </c:pt>
                <c:pt idx="3">
                  <c:v>47.096424921946472</c:v>
                </c:pt>
                <c:pt idx="4">
                  <c:v>6359.7015794396848</c:v>
                </c:pt>
                <c:pt idx="5">
                  <c:v>5765.0459995256469</c:v>
                </c:pt>
                <c:pt idx="6">
                  <c:v>24348.621995307749</c:v>
                </c:pt>
                <c:pt idx="7">
                  <c:v>197.32354786053253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13001</v>
      </c>
      <c r="B6" s="380"/>
      <c r="C6" s="381"/>
    </row>
    <row r="7" spans="1:7" s="378" customFormat="1" ht="15.75" customHeight="1">
      <c r="A7" s="382" t="str">
        <f>txtMunicipality</f>
        <v>ARENDONK</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5.6985521338458557E-2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5.6985521338458557E-2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5235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2439.94</v>
      </c>
      <c r="C14" s="322"/>
      <c r="D14" s="322"/>
      <c r="E14" s="322"/>
      <c r="F14" s="322"/>
    </row>
    <row r="15" spans="1:6">
      <c r="A15" s="1248" t="s">
        <v>177</v>
      </c>
      <c r="B15" s="1249">
        <v>4236</v>
      </c>
      <c r="C15" s="322"/>
      <c r="D15" s="322"/>
      <c r="E15" s="322"/>
      <c r="F15" s="322"/>
    </row>
    <row r="16" spans="1:6">
      <c r="A16" s="1248" t="s">
        <v>6</v>
      </c>
      <c r="B16" s="1249">
        <v>1483</v>
      </c>
      <c r="C16" s="322"/>
      <c r="D16" s="322"/>
      <c r="E16" s="322"/>
      <c r="F16" s="322"/>
    </row>
    <row r="17" spans="1:6">
      <c r="A17" s="1248" t="s">
        <v>7</v>
      </c>
      <c r="B17" s="1249">
        <v>142</v>
      </c>
      <c r="C17" s="322"/>
      <c r="D17" s="322"/>
      <c r="E17" s="322"/>
      <c r="F17" s="322"/>
    </row>
    <row r="18" spans="1:6">
      <c r="A18" s="1248" t="s">
        <v>8</v>
      </c>
      <c r="B18" s="1249">
        <v>803</v>
      </c>
      <c r="C18" s="322"/>
      <c r="D18" s="322"/>
      <c r="E18" s="322"/>
      <c r="F18" s="322"/>
    </row>
    <row r="19" spans="1:6">
      <c r="A19" s="1248" t="s">
        <v>9</v>
      </c>
      <c r="B19" s="1249">
        <v>739</v>
      </c>
      <c r="C19" s="322"/>
      <c r="D19" s="322"/>
      <c r="E19" s="322"/>
      <c r="F19" s="322"/>
    </row>
    <row r="20" spans="1:6">
      <c r="A20" s="1248" t="s">
        <v>10</v>
      </c>
      <c r="B20" s="1249">
        <v>465</v>
      </c>
      <c r="C20" s="322"/>
      <c r="D20" s="322"/>
      <c r="E20" s="322"/>
      <c r="F20" s="322"/>
    </row>
    <row r="21" spans="1:6">
      <c r="A21" s="1248" t="s">
        <v>11</v>
      </c>
      <c r="B21" s="1249">
        <v>19877</v>
      </c>
      <c r="C21" s="322"/>
      <c r="D21" s="322"/>
      <c r="E21" s="322"/>
      <c r="F21" s="322"/>
    </row>
    <row r="22" spans="1:6">
      <c r="A22" s="1248" t="s">
        <v>12</v>
      </c>
      <c r="B22" s="1249">
        <v>16874</v>
      </c>
      <c r="C22" s="322"/>
      <c r="D22" s="322"/>
      <c r="E22" s="322"/>
      <c r="F22" s="322"/>
    </row>
    <row r="23" spans="1:6">
      <c r="A23" s="1248" t="s">
        <v>13</v>
      </c>
      <c r="B23" s="1249">
        <v>1038</v>
      </c>
      <c r="C23" s="322"/>
      <c r="D23" s="322"/>
      <c r="E23" s="322"/>
      <c r="F23" s="322"/>
    </row>
    <row r="24" spans="1:6">
      <c r="A24" s="1248" t="s">
        <v>14</v>
      </c>
      <c r="B24" s="1249">
        <v>11</v>
      </c>
      <c r="C24" s="322"/>
      <c r="D24" s="322"/>
      <c r="E24" s="322"/>
      <c r="F24" s="322"/>
    </row>
    <row r="25" spans="1:6">
      <c r="A25" s="1248" t="s">
        <v>15</v>
      </c>
      <c r="B25" s="1249">
        <v>4919</v>
      </c>
      <c r="C25" s="322"/>
      <c r="D25" s="322"/>
      <c r="E25" s="322"/>
      <c r="F25" s="322"/>
    </row>
    <row r="26" spans="1:6">
      <c r="A26" s="1248" t="s">
        <v>16</v>
      </c>
      <c r="B26" s="1249">
        <v>10</v>
      </c>
      <c r="C26" s="322"/>
      <c r="D26" s="322"/>
      <c r="E26" s="322"/>
      <c r="F26" s="322"/>
    </row>
    <row r="27" spans="1:6">
      <c r="A27" s="1248" t="s">
        <v>17</v>
      </c>
      <c r="B27" s="1249">
        <v>1</v>
      </c>
      <c r="C27" s="322"/>
      <c r="D27" s="322"/>
      <c r="E27" s="322"/>
      <c r="F27" s="322"/>
    </row>
    <row r="28" spans="1:6">
      <c r="A28" s="1248" t="s">
        <v>18</v>
      </c>
      <c r="B28" s="1250">
        <v>388226</v>
      </c>
      <c r="C28" s="322"/>
      <c r="D28" s="322"/>
      <c r="E28" s="322"/>
      <c r="F28" s="322"/>
    </row>
    <row r="29" spans="1:6">
      <c r="A29" s="1248" t="s">
        <v>884</v>
      </c>
      <c r="B29" s="1250">
        <v>58</v>
      </c>
      <c r="C29" s="322"/>
      <c r="D29" s="322"/>
      <c r="E29" s="322"/>
      <c r="F29" s="322"/>
    </row>
    <row r="30" spans="1:6">
      <c r="A30" s="1243" t="s">
        <v>885</v>
      </c>
      <c r="B30" s="1251">
        <v>12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159230.56159</v>
      </c>
      <c r="E38" s="1249">
        <v>1</v>
      </c>
      <c r="F38" s="1249">
        <v>4676.8753131000003</v>
      </c>
    </row>
    <row r="39" spans="1:6">
      <c r="A39" s="1248" t="s">
        <v>29</v>
      </c>
      <c r="B39" s="1248" t="s">
        <v>30</v>
      </c>
      <c r="C39" s="1249">
        <v>3714</v>
      </c>
      <c r="D39" s="1249">
        <v>63338853.152000003</v>
      </c>
      <c r="E39" s="1249">
        <v>5081</v>
      </c>
      <c r="F39" s="1249">
        <v>18251632.787999999</v>
      </c>
    </row>
    <row r="40" spans="1:6">
      <c r="A40" s="1248" t="s">
        <v>29</v>
      </c>
      <c r="B40" s="1248" t="s">
        <v>28</v>
      </c>
      <c r="C40" s="1249">
        <v>0</v>
      </c>
      <c r="D40" s="1249">
        <v>0</v>
      </c>
      <c r="E40" s="1249">
        <v>0</v>
      </c>
      <c r="F40" s="1249">
        <v>0</v>
      </c>
    </row>
    <row r="41" spans="1:6">
      <c r="A41" s="1248" t="s">
        <v>31</v>
      </c>
      <c r="B41" s="1248" t="s">
        <v>32</v>
      </c>
      <c r="C41" s="1249">
        <v>73</v>
      </c>
      <c r="D41" s="1249">
        <v>1757151.0719000001</v>
      </c>
      <c r="E41" s="1249">
        <v>146</v>
      </c>
      <c r="F41" s="1249">
        <v>6617575.9298</v>
      </c>
    </row>
    <row r="42" spans="1:6">
      <c r="A42" s="1248" t="s">
        <v>31</v>
      </c>
      <c r="B42" s="1248" t="s">
        <v>33</v>
      </c>
      <c r="C42" s="1249">
        <v>0</v>
      </c>
      <c r="D42" s="1249">
        <v>0</v>
      </c>
      <c r="E42" s="1249">
        <v>3</v>
      </c>
      <c r="F42" s="1249">
        <v>286079.42932</v>
      </c>
    </row>
    <row r="43" spans="1:6">
      <c r="A43" s="1248" t="s">
        <v>31</v>
      </c>
      <c r="B43" s="1248" t="s">
        <v>34</v>
      </c>
      <c r="C43" s="1249">
        <v>0</v>
      </c>
      <c r="D43" s="1249">
        <v>0</v>
      </c>
      <c r="E43" s="1249">
        <v>0</v>
      </c>
      <c r="F43" s="1249">
        <v>0</v>
      </c>
    </row>
    <row r="44" spans="1:6">
      <c r="A44" s="1248" t="s">
        <v>31</v>
      </c>
      <c r="B44" s="1248" t="s">
        <v>35</v>
      </c>
      <c r="C44" s="1249">
        <v>14</v>
      </c>
      <c r="D44" s="1249">
        <v>4249366.7231000001</v>
      </c>
      <c r="E44" s="1249">
        <v>26</v>
      </c>
      <c r="F44" s="1249">
        <v>5595066.5472999997</v>
      </c>
    </row>
    <row r="45" spans="1:6">
      <c r="A45" s="1248" t="s">
        <v>31</v>
      </c>
      <c r="B45" s="1248" t="s">
        <v>36</v>
      </c>
      <c r="C45" s="1249">
        <v>3</v>
      </c>
      <c r="D45" s="1249">
        <v>124292.60705999999</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1352228.4479</v>
      </c>
    </row>
    <row r="48" spans="1:6">
      <c r="A48" s="1248" t="s">
        <v>31</v>
      </c>
      <c r="B48" s="1248" t="s">
        <v>28</v>
      </c>
      <c r="C48" s="1249">
        <v>26</v>
      </c>
      <c r="D48" s="1249">
        <v>2497901.7230000002</v>
      </c>
      <c r="E48" s="1249">
        <v>29</v>
      </c>
      <c r="F48" s="1249">
        <v>4922328.9782999996</v>
      </c>
    </row>
    <row r="49" spans="1:6">
      <c r="A49" s="1248" t="s">
        <v>31</v>
      </c>
      <c r="B49" s="1248" t="s">
        <v>39</v>
      </c>
      <c r="C49" s="1249">
        <v>0</v>
      </c>
      <c r="D49" s="1249">
        <v>0</v>
      </c>
      <c r="E49" s="1249">
        <v>0</v>
      </c>
      <c r="F49" s="1249">
        <v>0</v>
      </c>
    </row>
    <row r="50" spans="1:6">
      <c r="A50" s="1248" t="s">
        <v>31</v>
      </c>
      <c r="B50" s="1248" t="s">
        <v>40</v>
      </c>
      <c r="C50" s="1249">
        <v>6</v>
      </c>
      <c r="D50" s="1249">
        <v>386685.05802</v>
      </c>
      <c r="E50" s="1249">
        <v>12</v>
      </c>
      <c r="F50" s="1249">
        <v>370682.40536999999</v>
      </c>
    </row>
    <row r="51" spans="1:6">
      <c r="A51" s="1248" t="s">
        <v>41</v>
      </c>
      <c r="B51" s="1248" t="s">
        <v>42</v>
      </c>
      <c r="C51" s="1249">
        <v>0</v>
      </c>
      <c r="D51" s="1249">
        <v>0</v>
      </c>
      <c r="E51" s="1249">
        <v>59</v>
      </c>
      <c r="F51" s="1249">
        <v>5152007.3585000001</v>
      </c>
    </row>
    <row r="52" spans="1:6">
      <c r="A52" s="1248" t="s">
        <v>41</v>
      </c>
      <c r="B52" s="1248" t="s">
        <v>28</v>
      </c>
      <c r="C52" s="1249">
        <v>8</v>
      </c>
      <c r="D52" s="1249">
        <v>1475774.7668000001</v>
      </c>
      <c r="E52" s="1249">
        <v>11</v>
      </c>
      <c r="F52" s="1249">
        <v>290053.31955999997</v>
      </c>
    </row>
    <row r="53" spans="1:6">
      <c r="A53" s="1248" t="s">
        <v>43</v>
      </c>
      <c r="B53" s="1248" t="s">
        <v>44</v>
      </c>
      <c r="C53" s="1249">
        <v>76</v>
      </c>
      <c r="D53" s="1249">
        <v>1750559.5697000001</v>
      </c>
      <c r="E53" s="1249">
        <v>167</v>
      </c>
      <c r="F53" s="1249">
        <v>1241306.0194000001</v>
      </c>
    </row>
    <row r="54" spans="1:6">
      <c r="A54" s="1248" t="s">
        <v>45</v>
      </c>
      <c r="B54" s="1248" t="s">
        <v>46</v>
      </c>
      <c r="C54" s="1249">
        <v>0</v>
      </c>
      <c r="D54" s="1249">
        <v>0</v>
      </c>
      <c r="E54" s="1249">
        <v>1</v>
      </c>
      <c r="F54" s="1249">
        <v>826463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18</v>
      </c>
      <c r="D57" s="1249">
        <v>1033669.0272</v>
      </c>
      <c r="E57" s="1249">
        <v>93</v>
      </c>
      <c r="F57" s="1249">
        <v>33703162.307999998</v>
      </c>
    </row>
    <row r="58" spans="1:6">
      <c r="A58" s="1248" t="s">
        <v>48</v>
      </c>
      <c r="B58" s="1248" t="s">
        <v>50</v>
      </c>
      <c r="C58" s="1249">
        <v>13</v>
      </c>
      <c r="D58" s="1249">
        <v>120796.87506999999</v>
      </c>
      <c r="E58" s="1249">
        <v>25</v>
      </c>
      <c r="F58" s="1249">
        <v>130374.03924</v>
      </c>
    </row>
    <row r="59" spans="1:6">
      <c r="A59" s="1248" t="s">
        <v>48</v>
      </c>
      <c r="B59" s="1248" t="s">
        <v>51</v>
      </c>
      <c r="C59" s="1249">
        <v>66</v>
      </c>
      <c r="D59" s="1249">
        <v>1990096.7845999999</v>
      </c>
      <c r="E59" s="1249">
        <v>118</v>
      </c>
      <c r="F59" s="1249">
        <v>2870562.0674000001</v>
      </c>
    </row>
    <row r="60" spans="1:6">
      <c r="A60" s="1248" t="s">
        <v>48</v>
      </c>
      <c r="B60" s="1248" t="s">
        <v>52</v>
      </c>
      <c r="C60" s="1249">
        <v>37</v>
      </c>
      <c r="D60" s="1249">
        <v>1720321.5216999999</v>
      </c>
      <c r="E60" s="1249">
        <v>49</v>
      </c>
      <c r="F60" s="1249">
        <v>1254850.1728000001</v>
      </c>
    </row>
    <row r="61" spans="1:6">
      <c r="A61" s="1248" t="s">
        <v>48</v>
      </c>
      <c r="B61" s="1248" t="s">
        <v>53</v>
      </c>
      <c r="C61" s="1249">
        <v>76</v>
      </c>
      <c r="D61" s="1249">
        <v>4932451.3346999995</v>
      </c>
      <c r="E61" s="1249">
        <v>125</v>
      </c>
      <c r="F61" s="1249">
        <v>1733856.8221</v>
      </c>
    </row>
    <row r="62" spans="1:6">
      <c r="A62" s="1248" t="s">
        <v>48</v>
      </c>
      <c r="B62" s="1248" t="s">
        <v>54</v>
      </c>
      <c r="C62" s="1249">
        <v>3</v>
      </c>
      <c r="D62" s="1249">
        <v>795247.71664999996</v>
      </c>
      <c r="E62" s="1249">
        <v>0</v>
      </c>
      <c r="F62" s="1249">
        <v>0</v>
      </c>
    </row>
    <row r="63" spans="1:6">
      <c r="A63" s="1248" t="s">
        <v>48</v>
      </c>
      <c r="B63" s="1248" t="s">
        <v>28</v>
      </c>
      <c r="C63" s="1249">
        <v>93</v>
      </c>
      <c r="D63" s="1249">
        <v>3782371.8906999999</v>
      </c>
      <c r="E63" s="1249">
        <v>86</v>
      </c>
      <c r="F63" s="1249">
        <v>3281581.6798999999</v>
      </c>
    </row>
    <row r="64" spans="1:6">
      <c r="A64" s="1248" t="s">
        <v>55</v>
      </c>
      <c r="B64" s="1248" t="s">
        <v>56</v>
      </c>
      <c r="C64" s="1249">
        <v>0</v>
      </c>
      <c r="D64" s="1249">
        <v>0</v>
      </c>
      <c r="E64" s="1249">
        <v>0</v>
      </c>
      <c r="F64" s="1249">
        <v>0</v>
      </c>
    </row>
    <row r="65" spans="1:6">
      <c r="A65" s="1248" t="s">
        <v>55</v>
      </c>
      <c r="B65" s="1248" t="s">
        <v>28</v>
      </c>
      <c r="C65" s="1249">
        <v>0</v>
      </c>
      <c r="D65" s="1249">
        <v>0</v>
      </c>
      <c r="E65" s="1249">
        <v>1</v>
      </c>
      <c r="F65" s="1249">
        <v>1416.3779711</v>
      </c>
    </row>
    <row r="66" spans="1:6">
      <c r="A66" s="1248" t="s">
        <v>55</v>
      </c>
      <c r="B66" s="1248" t="s">
        <v>57</v>
      </c>
      <c r="C66" s="1249">
        <v>0</v>
      </c>
      <c r="D66" s="1249">
        <v>0</v>
      </c>
      <c r="E66" s="1249">
        <v>5</v>
      </c>
      <c r="F66" s="1249">
        <v>14987</v>
      </c>
    </row>
    <row r="67" spans="1:6">
      <c r="A67" s="1248" t="s">
        <v>55</v>
      </c>
      <c r="B67" s="1248" t="s">
        <v>58</v>
      </c>
      <c r="C67" s="1249">
        <v>0</v>
      </c>
      <c r="D67" s="1249">
        <v>0</v>
      </c>
      <c r="E67" s="1249">
        <v>0</v>
      </c>
      <c r="F67" s="1249">
        <v>0</v>
      </c>
    </row>
    <row r="68" spans="1:6">
      <c r="A68" s="1243" t="s">
        <v>55</v>
      </c>
      <c r="B68" s="1243" t="s">
        <v>59</v>
      </c>
      <c r="C68" s="1251">
        <v>6</v>
      </c>
      <c r="D68" s="1251">
        <v>161648.61647000001</v>
      </c>
      <c r="E68" s="1251">
        <v>10</v>
      </c>
      <c r="F68" s="1251">
        <v>233768.10165999999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32347597</v>
      </c>
      <c r="E73" s="439"/>
      <c r="F73" s="322"/>
    </row>
    <row r="74" spans="1:6">
      <c r="A74" s="1248" t="s">
        <v>63</v>
      </c>
      <c r="B74" s="1248" t="s">
        <v>626</v>
      </c>
      <c r="C74" s="1261" t="s">
        <v>628</v>
      </c>
      <c r="D74" s="1249">
        <v>1733040.301068471</v>
      </c>
      <c r="E74" s="439"/>
      <c r="F74" s="322"/>
    </row>
    <row r="75" spans="1:6">
      <c r="A75" s="1248" t="s">
        <v>64</v>
      </c>
      <c r="B75" s="1248" t="s">
        <v>625</v>
      </c>
      <c r="C75" s="1261" t="s">
        <v>629</v>
      </c>
      <c r="D75" s="1249">
        <v>11783140</v>
      </c>
      <c r="E75" s="439"/>
      <c r="F75" s="322"/>
    </row>
    <row r="76" spans="1:6">
      <c r="A76" s="1248" t="s">
        <v>64</v>
      </c>
      <c r="B76" s="1248" t="s">
        <v>626</v>
      </c>
      <c r="C76" s="1261" t="s">
        <v>630</v>
      </c>
      <c r="D76" s="1249">
        <v>499948.3010684711</v>
      </c>
      <c r="E76" s="439"/>
      <c r="F76" s="322"/>
    </row>
    <row r="77" spans="1:6">
      <c r="A77" s="1248" t="s">
        <v>65</v>
      </c>
      <c r="B77" s="1248" t="s">
        <v>625</v>
      </c>
      <c r="C77" s="1261" t="s">
        <v>631</v>
      </c>
      <c r="D77" s="1249">
        <v>33812343</v>
      </c>
      <c r="E77" s="439"/>
      <c r="F77" s="322"/>
    </row>
    <row r="78" spans="1:6">
      <c r="A78" s="1243" t="s">
        <v>65</v>
      </c>
      <c r="B78" s="1243" t="s">
        <v>626</v>
      </c>
      <c r="C78" s="1243" t="s">
        <v>632</v>
      </c>
      <c r="D78" s="1251">
        <v>13374373</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206997.39786305782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28398.00584985939</v>
      </c>
      <c r="C90" s="322"/>
      <c r="D90" s="322"/>
      <c r="E90" s="322"/>
      <c r="F90" s="322"/>
    </row>
    <row r="91" spans="1:6">
      <c r="A91" s="1248" t="s">
        <v>67</v>
      </c>
      <c r="B91" s="1249">
        <v>3278.2202137458585</v>
      </c>
      <c r="C91" s="322"/>
      <c r="D91" s="322"/>
      <c r="E91" s="322"/>
      <c r="F91" s="322"/>
    </row>
    <row r="92" spans="1:6">
      <c r="A92" s="1243" t="s">
        <v>68</v>
      </c>
      <c r="B92" s="1244">
        <v>5197.2563743479141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2294</v>
      </c>
      <c r="C97" s="322"/>
      <c r="D97" s="322"/>
      <c r="E97" s="322"/>
      <c r="F97" s="322"/>
    </row>
    <row r="98" spans="1:6">
      <c r="A98" s="1248" t="s">
        <v>71</v>
      </c>
      <c r="B98" s="1249">
        <v>6</v>
      </c>
      <c r="C98" s="322"/>
      <c r="D98" s="322"/>
      <c r="E98" s="322"/>
      <c r="F98" s="322"/>
    </row>
    <row r="99" spans="1:6">
      <c r="A99" s="1248" t="s">
        <v>72</v>
      </c>
      <c r="B99" s="1249">
        <v>78</v>
      </c>
      <c r="C99" s="322"/>
      <c r="D99" s="322"/>
      <c r="E99" s="322"/>
      <c r="F99" s="322"/>
    </row>
    <row r="100" spans="1:6">
      <c r="A100" s="1248" t="s">
        <v>73</v>
      </c>
      <c r="B100" s="1249">
        <v>168</v>
      </c>
      <c r="C100" s="322"/>
      <c r="D100" s="322"/>
      <c r="E100" s="322"/>
      <c r="F100" s="322"/>
    </row>
    <row r="101" spans="1:6">
      <c r="A101" s="1248" t="s">
        <v>74</v>
      </c>
      <c r="B101" s="1249">
        <v>133</v>
      </c>
      <c r="C101" s="322"/>
      <c r="D101" s="322"/>
      <c r="E101" s="322"/>
      <c r="F101" s="322"/>
    </row>
    <row r="102" spans="1:6">
      <c r="A102" s="1248" t="s">
        <v>75</v>
      </c>
      <c r="B102" s="1249">
        <v>48</v>
      </c>
      <c r="C102" s="322"/>
      <c r="D102" s="322"/>
      <c r="E102" s="322"/>
      <c r="F102" s="322"/>
    </row>
    <row r="103" spans="1:6">
      <c r="A103" s="1248" t="s">
        <v>76</v>
      </c>
      <c r="B103" s="1249">
        <v>44</v>
      </c>
      <c r="C103" s="322"/>
      <c r="D103" s="322"/>
      <c r="E103" s="322"/>
      <c r="F103" s="322"/>
    </row>
    <row r="104" spans="1:6">
      <c r="A104" s="1248" t="s">
        <v>77</v>
      </c>
      <c r="B104" s="1249">
        <v>1624</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24</v>
      </c>
      <c r="C123" s="1249">
        <v>19</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163</v>
      </c>
      <c r="C129" s="322"/>
      <c r="D129" s="322"/>
      <c r="E129" s="322"/>
      <c r="F129" s="322"/>
    </row>
    <row r="130" spans="1:6">
      <c r="A130" s="1248" t="s">
        <v>284</v>
      </c>
      <c r="B130" s="1249">
        <v>5</v>
      </c>
      <c r="C130" s="322"/>
      <c r="D130" s="322"/>
      <c r="E130" s="322"/>
      <c r="F130" s="322"/>
    </row>
    <row r="131" spans="1:6">
      <c r="A131" s="1248" t="s">
        <v>285</v>
      </c>
      <c r="B131" s="1249">
        <v>2</v>
      </c>
      <c r="C131" s="322"/>
      <c r="D131" s="322"/>
      <c r="E131" s="322"/>
      <c r="F131" s="322"/>
    </row>
    <row r="132" spans="1:6">
      <c r="A132" s="1243" t="s">
        <v>286</v>
      </c>
      <c r="B132" s="1244">
        <v>20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91183.398812305168</v>
      </c>
      <c r="C3" s="43" t="s">
        <v>163</v>
      </c>
      <c r="D3" s="43"/>
      <c r="E3" s="153"/>
      <c r="F3" s="43"/>
      <c r="G3" s="43"/>
      <c r="H3" s="43"/>
      <c r="I3" s="43"/>
      <c r="J3" s="43"/>
      <c r="K3" s="96"/>
    </row>
    <row r="4" spans="1:11">
      <c r="A4" s="348" t="s">
        <v>164</v>
      </c>
      <c r="B4" s="49">
        <f>IF(ISERROR('SEAP template'!B78+'SEAP template'!C78),0,'SEAP template'!B78+'SEAP template'!C78)</f>
        <v>67671.482437953164</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5.6985521338458557E-2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43997.142857142855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826.46299999999997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826.46299999999997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5.6985521338458557E-2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47.096424921946472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18251.632787999999</v>
      </c>
      <c r="C5" s="17">
        <f>IF(ISERROR('Eigen informatie GS &amp; warmtenet'!B57),0,'Eigen informatie GS &amp; warmtenet'!B57)</f>
        <v>0</v>
      </c>
      <c r="D5" s="30">
        <f>(SUM(HH_hh_gas_kWh,HH_rest_gas_kWh)/1000)*0.902</f>
        <v>57131.645543104001</v>
      </c>
      <c r="E5" s="17">
        <f>B32*B41</f>
        <v>875.14936287582145</v>
      </c>
      <c r="F5" s="17">
        <f>B36*B45</f>
        <v>23793.578930761516</v>
      </c>
      <c r="G5" s="18"/>
      <c r="H5" s="17"/>
      <c r="I5" s="17"/>
      <c r="J5" s="17">
        <f>B35*B44+C35*C44</f>
        <v>438.796093782875</v>
      </c>
      <c r="K5" s="17"/>
      <c r="L5" s="17"/>
      <c r="M5" s="17"/>
      <c r="N5" s="17">
        <f>B34*B43+C34*C43</f>
        <v>6677.4310533345788</v>
      </c>
      <c r="O5" s="17">
        <f>B52*B53*B54</f>
        <v>284.52666666666664</v>
      </c>
      <c r="P5" s="17">
        <f>B60*B61*B62/1000-B60*B61*B62/1000/B63</f>
        <v>858</v>
      </c>
    </row>
    <row r="6" spans="1:16">
      <c r="A6" s="16" t="s">
        <v>586</v>
      </c>
      <c r="B6" s="716">
        <f>kWh_PV_kleiner_dan_10kW</f>
        <v>3278.2202137458585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21529.853001745858</v>
      </c>
      <c r="C8" s="21">
        <f>C5</f>
        <v>0</v>
      </c>
      <c r="D8" s="21">
        <f>D5</f>
        <v>57131.645543104001</v>
      </c>
      <c r="E8" s="21">
        <f>E5</f>
        <v>875.14936287582145</v>
      </c>
      <c r="F8" s="21">
        <f>F5</f>
        <v>23793.578930761516</v>
      </c>
      <c r="G8" s="21"/>
      <c r="H8" s="21"/>
      <c r="I8" s="21"/>
      <c r="J8" s="21">
        <f>J5</f>
        <v>438.796093782875</v>
      </c>
      <c r="K8" s="21"/>
      <c r="L8" s="21">
        <f>L5</f>
        <v>0</v>
      </c>
      <c r="M8" s="21">
        <f>M5</f>
        <v>0</v>
      </c>
      <c r="N8" s="21">
        <f>N5</f>
        <v>6677.4310533345788</v>
      </c>
      <c r="O8" s="21">
        <f>O5</f>
        <v>284.52666666666664</v>
      </c>
      <c r="P8" s="21">
        <f>P5</f>
        <v>858</v>
      </c>
    </row>
    <row r="9" spans="1:16">
      <c r="B9" s="19"/>
      <c r="C9" s="19"/>
      <c r="D9" s="253"/>
      <c r="E9" s="19"/>
      <c r="F9" s="19"/>
      <c r="G9" s="19"/>
      <c r="H9" s="19"/>
      <c r="I9" s="19"/>
      <c r="J9" s="19"/>
      <c r="K9" s="19"/>
      <c r="L9" s="19"/>
      <c r="M9" s="19"/>
      <c r="N9" s="19"/>
      <c r="O9" s="19"/>
      <c r="P9" s="19"/>
    </row>
    <row r="10" spans="1:16">
      <c r="A10" s="24" t="s">
        <v>207</v>
      </c>
      <c r="B10" s="25">
        <f ca="1">'EF ele_warmte'!B12</f>
        <v>5.6985521338458557E-2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1226.8898976448645</v>
      </c>
      <c r="C12" s="23">
        <f ca="1">C10*C8</f>
        <v>0</v>
      </c>
      <c r="D12" s="23">
        <f>D8*D10</f>
        <v>11540.592399707009</v>
      </c>
      <c r="E12" s="23">
        <f>E10*E8</f>
        <v>198.65890537281149</v>
      </c>
      <c r="F12" s="23">
        <f>F10*F8</f>
        <v>6352.8855745133251</v>
      </c>
      <c r="G12" s="23"/>
      <c r="H12" s="23"/>
      <c r="I12" s="23"/>
      <c r="J12" s="23">
        <f>J10*J8</f>
        <v>155.33381719913774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5235</v>
      </c>
      <c r="C26" s="36"/>
      <c r="D26" s="224"/>
    </row>
    <row r="27" spans="1:5" s="15" customFormat="1">
      <c r="A27" s="226" t="s">
        <v>655</v>
      </c>
      <c r="B27" s="37">
        <f>SUM(HH_hh_gas_aantal,HH_rest_gas_aantal)</f>
        <v>3714</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3528.3</v>
      </c>
      <c r="C31" s="34" t="s">
        <v>104</v>
      </c>
      <c r="D31" s="170"/>
    </row>
    <row r="32" spans="1:5">
      <c r="A32" s="167" t="s">
        <v>72</v>
      </c>
      <c r="B32" s="33">
        <f>IF((B21*($B$26-($B$27-0.05*$B$27)-$B$60))&lt;0,0,B21*($B$26-($B$27-0.05*$B$27)-$B$60))</f>
        <v>10.723659365397964</v>
      </c>
      <c r="C32" s="34" t="s">
        <v>104</v>
      </c>
      <c r="D32" s="170"/>
    </row>
    <row r="33" spans="1:6">
      <c r="A33" s="167" t="s">
        <v>73</v>
      </c>
      <c r="B33" s="33">
        <f>IF((B22*($B$26-($B$27-0.05*$B$27)-$B$60))&lt;0,0,B22*($B$26-($B$27-0.05*$B$27)-$B$60))</f>
        <v>373.43677509603492</v>
      </c>
      <c r="C33" s="34" t="s">
        <v>104</v>
      </c>
      <c r="D33" s="170"/>
    </row>
    <row r="34" spans="1:6">
      <c r="A34" s="167" t="s">
        <v>74</v>
      </c>
      <c r="B34" s="33">
        <f>IF((B24*($B$26-($B$27-0.05*$B$27)-$B$60))&lt;0,0,B24*($B$26-($B$27-0.05*$B$27)-$B$60))</f>
        <v>74.156891206156558</v>
      </c>
      <c r="C34" s="33">
        <f>B26*C24</f>
        <v>1071.4073519870135</v>
      </c>
      <c r="D34" s="229"/>
    </row>
    <row r="35" spans="1:6">
      <c r="A35" s="167" t="s">
        <v>76</v>
      </c>
      <c r="B35" s="33">
        <f>IF((B19*($B$26-($B$27-0.05*$B$27)-$B$60))&lt;0,0,B19*($B$26-($B$27-0.05*$B$27)-$B$60))</f>
        <v>36.214545588966885</v>
      </c>
      <c r="C35" s="33">
        <f>B35/2</f>
        <v>18.107272794483443</v>
      </c>
      <c r="D35" s="229"/>
    </row>
    <row r="36" spans="1:6">
      <c r="A36" s="167" t="s">
        <v>77</v>
      </c>
      <c r="B36" s="33">
        <f>IF((B18*($B$26-($B$27-0.05*$B$27)-$B$60))&lt;0,0,B18*($B$26-($B$27-0.05*$B$27)-$B$60))</f>
        <v>1167.168128743444</v>
      </c>
      <c r="C36" s="34" t="s">
        <v>104</v>
      </c>
      <c r="D36" s="170"/>
    </row>
    <row r="37" spans="1:6">
      <c r="A37" s="167" t="s">
        <v>78</v>
      </c>
      <c r="B37" s="33">
        <f>B60</f>
        <v>45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182</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42974.387089440002</v>
      </c>
      <c r="C5" s="17">
        <f>IF(ISERROR('Eigen informatie GS &amp; warmtenet'!B58),0,'Eigen informatie GS &amp; warmtenet'!B58)</f>
        <v>0</v>
      </c>
      <c r="D5" s="30">
        <f>SUM(D6:D12)</f>
        <v>12966.209545859239</v>
      </c>
      <c r="E5" s="17">
        <f>SUM(E6:E12)</f>
        <v>589.39592282107515</v>
      </c>
      <c r="F5" s="17">
        <f>SUM(F6:F12)</f>
        <v>23921.502917209913</v>
      </c>
      <c r="G5" s="18"/>
      <c r="H5" s="17"/>
      <c r="I5" s="17"/>
      <c r="J5" s="17">
        <f>SUM(J6:J12)</f>
        <v>0.41547170478443973</v>
      </c>
      <c r="K5" s="17"/>
      <c r="L5" s="17"/>
      <c r="M5" s="17"/>
      <c r="N5" s="17">
        <f>SUM(N6:N12)</f>
        <v>14475.30711636763</v>
      </c>
      <c r="O5" s="17">
        <f>B38*B39*B40</f>
        <v>7.8166666666666664</v>
      </c>
      <c r="P5" s="17">
        <f>B46*B47*B48/1000-B46*B47*B48/1000/B49</f>
        <v>38.133333333333333</v>
      </c>
      <c r="R5" s="32"/>
    </row>
    <row r="6" spans="1:18">
      <c r="A6" s="32" t="s">
        <v>53</v>
      </c>
      <c r="B6" s="37">
        <f>B26</f>
        <v>1733.8568221</v>
      </c>
      <c r="C6" s="33"/>
      <c r="D6" s="37">
        <f>IF(ISERROR(TER_kantoor_gas_kWh/1000),0,TER_kantoor_gas_kWh/1000)*0.902</f>
        <v>4449.0711038993995</v>
      </c>
      <c r="E6" s="33">
        <f>$C$26*'E Balans VL '!I12/100/3.6*1000000</f>
        <v>9.8711344693977038E-19</v>
      </c>
      <c r="F6" s="33">
        <f>$C$26*('E Balans VL '!L12+'E Balans VL '!N12)/100/3.6*1000000</f>
        <v>234.38887327524913</v>
      </c>
      <c r="G6" s="34"/>
      <c r="H6" s="33"/>
      <c r="I6" s="33"/>
      <c r="J6" s="33">
        <f>$C$26*('E Balans VL '!D12+'E Balans VL '!E12)/100/3.6*1000000</f>
        <v>0</v>
      </c>
      <c r="K6" s="33"/>
      <c r="L6" s="33"/>
      <c r="M6" s="33"/>
      <c r="N6" s="33">
        <f>$C$26*'E Balans VL '!Y12/100/3.6*1000000</f>
        <v>2.1791057210355618</v>
      </c>
      <c r="O6" s="33"/>
      <c r="P6" s="33"/>
      <c r="R6" s="32"/>
    </row>
    <row r="7" spans="1:18">
      <c r="A7" s="32" t="s">
        <v>52</v>
      </c>
      <c r="B7" s="37">
        <f t="shared" ref="B7:B12" si="0">B27</f>
        <v>1254.8501728000001</v>
      </c>
      <c r="C7" s="33"/>
      <c r="D7" s="37">
        <f>IF(ISERROR(TER_horeca_gas_kWh/1000),0,TER_horeca_gas_kWh/1000)*0.902</f>
        <v>1551.7300125734</v>
      </c>
      <c r="E7" s="33">
        <f>$C$27*'E Balans VL '!I9/100/3.6*1000000</f>
        <v>16.026990086206265</v>
      </c>
      <c r="F7" s="33">
        <f>$C$27*('E Balans VL '!L9+'E Balans VL '!N9)/100/3.6*1000000</f>
        <v>141.72968876191703</v>
      </c>
      <c r="G7" s="34"/>
      <c r="H7" s="33"/>
      <c r="I7" s="33"/>
      <c r="J7" s="33">
        <f>$C$27*('E Balans VL '!D9+'E Balans VL '!E9)/100/3.6*1000000</f>
        <v>0</v>
      </c>
      <c r="K7" s="33"/>
      <c r="L7" s="33"/>
      <c r="M7" s="33"/>
      <c r="N7" s="33">
        <f>$C$27*'E Balans VL '!Y9/100/3.6*1000000</f>
        <v>0.29903612271786745</v>
      </c>
      <c r="O7" s="33"/>
      <c r="P7" s="33"/>
      <c r="R7" s="32"/>
    </row>
    <row r="8" spans="1:18">
      <c r="A8" s="6" t="s">
        <v>51</v>
      </c>
      <c r="B8" s="37">
        <f t="shared" si="0"/>
        <v>2870.5620674000002</v>
      </c>
      <c r="C8" s="33"/>
      <c r="D8" s="37">
        <f>IF(ISERROR(TER_handel_gas_kWh/1000),0,TER_handel_gas_kWh/1000)*0.902</f>
        <v>1795.0672997091999</v>
      </c>
      <c r="E8" s="33">
        <f>$C$28*'E Balans VL '!I13/100/3.6*1000000</f>
        <v>93.747897871994553</v>
      </c>
      <c r="F8" s="33">
        <f>$C$28*('E Balans VL '!L13+'E Balans VL '!N13)/100/3.6*1000000</f>
        <v>497.01449819219232</v>
      </c>
      <c r="G8" s="34"/>
      <c r="H8" s="33"/>
      <c r="I8" s="33"/>
      <c r="J8" s="33">
        <f>$C$28*('E Balans VL '!D13+'E Balans VL '!E13)/100/3.6*1000000</f>
        <v>0</v>
      </c>
      <c r="K8" s="33"/>
      <c r="L8" s="33"/>
      <c r="M8" s="33"/>
      <c r="N8" s="33">
        <f>$C$28*'E Balans VL '!Y13/100/3.6*1000000</f>
        <v>3.3785719244696488</v>
      </c>
      <c r="O8" s="33"/>
      <c r="P8" s="33"/>
      <c r="R8" s="32"/>
    </row>
    <row r="9" spans="1:18">
      <c r="A9" s="32" t="s">
        <v>50</v>
      </c>
      <c r="B9" s="37">
        <f t="shared" si="0"/>
        <v>130.37403924</v>
      </c>
      <c r="C9" s="33"/>
      <c r="D9" s="37">
        <f>IF(ISERROR(TER_gezond_gas_kWh/1000),0,TER_gezond_gas_kWh/1000)*0.902</f>
        <v>108.95878131314001</v>
      </c>
      <c r="E9" s="33">
        <f>$C$29*'E Balans VL '!I10/100/3.6*1000000</f>
        <v>7.2804139400522465E-3</v>
      </c>
      <c r="F9" s="33">
        <f>$C$29*('E Balans VL '!L10+'E Balans VL '!N10)/100/3.6*1000000</f>
        <v>17.274075189511574</v>
      </c>
      <c r="G9" s="34"/>
      <c r="H9" s="33"/>
      <c r="I9" s="33"/>
      <c r="J9" s="33">
        <f>$C$29*('E Balans VL '!D10+'E Balans VL '!E10)/100/3.6*1000000</f>
        <v>0</v>
      </c>
      <c r="K9" s="33"/>
      <c r="L9" s="33"/>
      <c r="M9" s="33"/>
      <c r="N9" s="33">
        <f>$C$29*'E Balans VL '!Y10/100/3.6*1000000</f>
        <v>1.3818771874728668</v>
      </c>
      <c r="O9" s="33"/>
      <c r="P9" s="33"/>
      <c r="R9" s="32"/>
    </row>
    <row r="10" spans="1:18">
      <c r="A10" s="32" t="s">
        <v>49</v>
      </c>
      <c r="B10" s="37">
        <f t="shared" si="0"/>
        <v>33703.162307999999</v>
      </c>
      <c r="C10" s="33"/>
      <c r="D10" s="37">
        <f>IF(ISERROR(TER_ander_gas_kWh/1000),0,TER_ander_gas_kWh/1000)*0.902</f>
        <v>932.3694625344001</v>
      </c>
      <c r="E10" s="33">
        <f>$C$30*'E Balans VL '!I14/100/3.6*1000000</f>
        <v>435.22326532946835</v>
      </c>
      <c r="F10" s="33">
        <f>$C$30*('E Balans VL '!L14+'E Balans VL '!N14)/100/3.6*1000000</f>
        <v>22246.491072830471</v>
      </c>
      <c r="G10" s="34"/>
      <c r="H10" s="33"/>
      <c r="I10" s="33"/>
      <c r="J10" s="33">
        <f>$C$30*('E Balans VL '!D14+'E Balans VL '!E14)/100/3.6*1000000</f>
        <v>0.40828733247856386</v>
      </c>
      <c r="K10" s="33"/>
      <c r="L10" s="33"/>
      <c r="M10" s="33"/>
      <c r="N10" s="33">
        <f>$C$30*'E Balans VL '!Y14/100/3.6*1000000</f>
        <v>14212.486320550312</v>
      </c>
      <c r="O10" s="33"/>
      <c r="P10" s="33"/>
      <c r="R10" s="32"/>
    </row>
    <row r="11" spans="1:18">
      <c r="A11" s="32" t="s">
        <v>54</v>
      </c>
      <c r="B11" s="37">
        <f t="shared" si="0"/>
        <v>0</v>
      </c>
      <c r="C11" s="33"/>
      <c r="D11" s="37">
        <f>IF(ISERROR(TER_onderwijs_gas_kWh/1000),0,TER_onderwijs_gas_kWh/1000)*0.902</f>
        <v>717.31344041829993</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3281.5816798999999</v>
      </c>
      <c r="C12" s="33"/>
      <c r="D12" s="37">
        <f>IF(ISERROR(TER_rest_gas_kWh/1000),0,TER_rest_gas_kWh/1000)*0.902</f>
        <v>3411.6994454113997</v>
      </c>
      <c r="E12" s="33">
        <f>$C$32*'E Balans VL '!I8/100/3.6*1000000</f>
        <v>44.39048911946594</v>
      </c>
      <c r="F12" s="33">
        <f>$C$32*('E Balans VL '!L8+'E Balans VL '!N8)/100/3.6*1000000</f>
        <v>784.60470896057234</v>
      </c>
      <c r="G12" s="34"/>
      <c r="H12" s="33"/>
      <c r="I12" s="33"/>
      <c r="J12" s="33">
        <f>$C$32*('E Balans VL '!D8+'E Balans VL '!E8)/100/3.6*1000000</f>
        <v>7.1843723058758755E-3</v>
      </c>
      <c r="K12" s="33"/>
      <c r="L12" s="33"/>
      <c r="M12" s="33"/>
      <c r="N12" s="33">
        <f>$C$32*'E Balans VL '!Y8/100/3.6*1000000</f>
        <v>255.58220486162313</v>
      </c>
      <c r="O12" s="33"/>
      <c r="P12" s="33"/>
      <c r="R12" s="32"/>
    </row>
    <row r="13" spans="1:18">
      <c r="A13" s="16" t="s">
        <v>477</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42974.387089440002</v>
      </c>
      <c r="C16" s="21">
        <f t="shared" ca="1" si="1"/>
        <v>0</v>
      </c>
      <c r="D16" s="21">
        <f t="shared" ca="1" si="1"/>
        <v>12966.209545859239</v>
      </c>
      <c r="E16" s="21">
        <f t="shared" si="1"/>
        <v>589.39592282107515</v>
      </c>
      <c r="F16" s="21">
        <f t="shared" ca="1" si="1"/>
        <v>23921.502917209913</v>
      </c>
      <c r="G16" s="21">
        <f t="shared" si="1"/>
        <v>0</v>
      </c>
      <c r="H16" s="21">
        <f t="shared" si="1"/>
        <v>0</v>
      </c>
      <c r="I16" s="21">
        <f t="shared" si="1"/>
        <v>0</v>
      </c>
      <c r="J16" s="21">
        <f t="shared" si="1"/>
        <v>0.41547170478443973</v>
      </c>
      <c r="K16" s="21">
        <f t="shared" si="1"/>
        <v>0</v>
      </c>
      <c r="L16" s="21">
        <f t="shared" ca="1" si="1"/>
        <v>0</v>
      </c>
      <c r="M16" s="21">
        <f t="shared" si="1"/>
        <v>0</v>
      </c>
      <c r="N16" s="21">
        <f t="shared" ca="1" si="1"/>
        <v>14475.30711636763</v>
      </c>
      <c r="O16" s="21">
        <f>O5</f>
        <v>7.8166666666666664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5.6985521338458557E-2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2448.9178524924614</v>
      </c>
      <c r="C20" s="23">
        <f t="shared" ref="C20:P20" ca="1" si="2">C16*C18</f>
        <v>0</v>
      </c>
      <c r="D20" s="23">
        <f t="shared" ca="1" si="2"/>
        <v>2619.1743282635666</v>
      </c>
      <c r="E20" s="23">
        <f t="shared" si="2"/>
        <v>133.79287448038406</v>
      </c>
      <c r="F20" s="23">
        <f t="shared" ca="1" si="2"/>
        <v>6387.0412788950471</v>
      </c>
      <c r="G20" s="23">
        <f t="shared" si="2"/>
        <v>0</v>
      </c>
      <c r="H20" s="23">
        <f t="shared" si="2"/>
        <v>0</v>
      </c>
      <c r="I20" s="23">
        <f t="shared" si="2"/>
        <v>0</v>
      </c>
      <c r="J20" s="23">
        <f t="shared" si="2"/>
        <v>0.14707698349369167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1733.8568221</v>
      </c>
      <c r="C26" s="39">
        <f>IF(ISERROR(B26*3.6/1000000/'E Balans VL '!Z12*100),0,B26*3.6/1000000/'E Balans VL '!Z12*100)</f>
        <v>4.6521478837731445E-2</v>
      </c>
      <c r="D26" s="232" t="s">
        <v>621</v>
      </c>
      <c r="F26" s="6"/>
    </row>
    <row r="27" spans="1:18">
      <c r="A27" s="227" t="s">
        <v>52</v>
      </c>
      <c r="B27" s="33">
        <f>IF(ISERROR(TER_horeca_ele_kWh/1000),0,TER_horeca_ele_kWh/1000)</f>
        <v>1254.8501728000001</v>
      </c>
      <c r="C27" s="39">
        <f>IF(ISERROR(B27*3.6/1000000/'E Balans VL '!Z9*100),0,B27*3.6/1000000/'E Balans VL '!Z9*100)</f>
        <v>9.9689080867619698E-2</v>
      </c>
      <c r="D27" s="232" t="s">
        <v>621</v>
      </c>
      <c r="F27" s="6"/>
    </row>
    <row r="28" spans="1:18">
      <c r="A28" s="167" t="s">
        <v>51</v>
      </c>
      <c r="B28" s="33">
        <f>IF(ISERROR(TER_handel_ele_kWh/1000),0,TER_handel_ele_kWh/1000)</f>
        <v>2870.5620674000002</v>
      </c>
      <c r="C28" s="39">
        <f>IF(ISERROR(B28*3.6/1000000/'E Balans VL '!Z13*100),0,B28*3.6/1000000/'E Balans VL '!Z13*100)</f>
        <v>8.3963601001905488E-2</v>
      </c>
      <c r="D28" s="232" t="s">
        <v>621</v>
      </c>
      <c r="F28" s="6"/>
    </row>
    <row r="29" spans="1:18">
      <c r="A29" s="227" t="s">
        <v>50</v>
      </c>
      <c r="B29" s="33">
        <f>IF(ISERROR(TER_gezond_ele_kWh/1000),0,TER_gezond_ele_kWh/1000)</f>
        <v>130.37403924</v>
      </c>
      <c r="C29" s="39">
        <f>IF(ISERROR(B29*3.6/1000000/'E Balans VL '!Z10*100),0,B29*3.6/1000000/'E Balans VL '!Z10*100)</f>
        <v>1.3837366835779628E-2</v>
      </c>
      <c r="D29" s="232" t="s">
        <v>621</v>
      </c>
      <c r="F29" s="6"/>
    </row>
    <row r="30" spans="1:18">
      <c r="A30" s="227" t="s">
        <v>49</v>
      </c>
      <c r="B30" s="33">
        <f>IF(ISERROR(TER_ander_ele_kWh/1000),0,TER_ander_ele_kWh/1000)</f>
        <v>33703.162307999999</v>
      </c>
      <c r="C30" s="39">
        <f>IF(ISERROR(B30*3.6/1000000/'E Balans VL '!Z14*100),0,B30*3.6/1000000/'E Balans VL '!Z14*100)</f>
        <v>1.5676561400627449</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3281.5816798999999</v>
      </c>
      <c r="C32" s="39">
        <f>IF(ISERROR(B32*3.6/1000000/'E Balans VL '!Z8*100),0,B32*3.6/1000000/'E Balans VL '!Z8*100)</f>
        <v>2.7585047249523414E-2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5</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19143.961737990001</v>
      </c>
      <c r="C5" s="17">
        <f>IF(ISERROR('Eigen informatie GS &amp; warmtenet'!B59),0,'Eigen informatie GS &amp; warmtenet'!B59)</f>
        <v>0</v>
      </c>
      <c r="D5" s="30">
        <f>SUM(D6:D15)</f>
        <v>8131.8882591381607</v>
      </c>
      <c r="E5" s="17">
        <f>SUM(E6:E15)</f>
        <v>2173.0404908165797</v>
      </c>
      <c r="F5" s="17">
        <f>SUM(F6:F15)</f>
        <v>9333.4211994995785</v>
      </c>
      <c r="G5" s="18"/>
      <c r="H5" s="17"/>
      <c r="I5" s="17"/>
      <c r="J5" s="17">
        <f>SUM(J6:J15)</f>
        <v>130.43016772634024</v>
      </c>
      <c r="K5" s="17"/>
      <c r="L5" s="17"/>
      <c r="M5" s="17"/>
      <c r="N5" s="17">
        <f>SUM(N6:N15)</f>
        <v>1553.3607576503291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5595.0665472999999</v>
      </c>
      <c r="C8" s="33"/>
      <c r="D8" s="37">
        <f>IF( ISERROR(IND_metaal_Gas_kWH/1000),0,IND_metaal_Gas_kWH/1000)*0.902</f>
        <v>3832.9287842362</v>
      </c>
      <c r="E8" s="33">
        <f>C30*'E Balans VL '!I18/100/3.6*1000000</f>
        <v>201.32742059555454</v>
      </c>
      <c r="F8" s="33">
        <f>C30*'E Balans VL '!L18/100/3.6*1000000+C30*'E Balans VL '!N18/100/3.6*1000000</f>
        <v>2443.1841886622951</v>
      </c>
      <c r="G8" s="34"/>
      <c r="H8" s="33"/>
      <c r="I8" s="33"/>
      <c r="J8" s="40">
        <f>C30*'E Balans VL '!D18/100/3.6*1000000+C30*'E Balans VL '!E18/100/3.6*1000000</f>
        <v>0</v>
      </c>
      <c r="K8" s="33"/>
      <c r="L8" s="33"/>
      <c r="M8" s="33"/>
      <c r="N8" s="33">
        <f>C30*'E Balans VL '!Y18/100/3.6*1000000</f>
        <v>280.42093310007215</v>
      </c>
      <c r="O8" s="33"/>
      <c r="P8" s="33"/>
      <c r="R8" s="32"/>
    </row>
    <row r="9" spans="1:18">
      <c r="A9" s="6" t="s">
        <v>32</v>
      </c>
      <c r="B9" s="37">
        <f t="shared" si="0"/>
        <v>6617.5759298000003</v>
      </c>
      <c r="C9" s="33"/>
      <c r="D9" s="37">
        <f>IF( ISERROR(IND_andere_gas_kWh/1000),0,IND_andere_gas_kWh/1000)*0.902</f>
        <v>1584.9502668538</v>
      </c>
      <c r="E9" s="33">
        <f>C31*'E Balans VL '!I19/100/3.6*1000000</f>
        <v>1688.6556504358553</v>
      </c>
      <c r="F9" s="33">
        <f>C31*'E Balans VL '!L19/100/3.6*1000000+C31*'E Balans VL '!N19/100/3.6*1000000</f>
        <v>5697.2354792138085</v>
      </c>
      <c r="G9" s="34"/>
      <c r="H9" s="33"/>
      <c r="I9" s="33"/>
      <c r="J9" s="40">
        <f>C31*'E Balans VL '!D19/100/3.6*1000000+C31*'E Balans VL '!E19/100/3.6*1000000</f>
        <v>0</v>
      </c>
      <c r="K9" s="33"/>
      <c r="L9" s="33"/>
      <c r="M9" s="33"/>
      <c r="N9" s="33">
        <f>C31*'E Balans VL '!Y19/100/3.6*1000000</f>
        <v>522.04930386509466</v>
      </c>
      <c r="O9" s="33"/>
      <c r="P9" s="33"/>
      <c r="R9" s="32"/>
    </row>
    <row r="10" spans="1:18">
      <c r="A10" s="6" t="s">
        <v>40</v>
      </c>
      <c r="B10" s="37">
        <f t="shared" si="0"/>
        <v>370.68240536999997</v>
      </c>
      <c r="C10" s="33"/>
      <c r="D10" s="37">
        <f>IF( ISERROR(IND_voed_gas_kWh/1000),0,IND_voed_gas_kWh/1000)*0.902</f>
        <v>348.78992233404</v>
      </c>
      <c r="E10" s="33">
        <f>C32*'E Balans VL '!I20/100/3.6*1000000</f>
        <v>9.423255733158733</v>
      </c>
      <c r="F10" s="33">
        <f>C32*'E Balans VL '!L20/100/3.6*1000000+C32*'E Balans VL '!N20/100/3.6*1000000</f>
        <v>83.879863912450276</v>
      </c>
      <c r="G10" s="34"/>
      <c r="H10" s="33"/>
      <c r="I10" s="33"/>
      <c r="J10" s="40">
        <f>C32*'E Balans VL '!D20/100/3.6*1000000+C32*'E Balans VL '!E20/100/3.6*1000000</f>
        <v>0</v>
      </c>
      <c r="K10" s="33"/>
      <c r="L10" s="33"/>
      <c r="M10" s="33"/>
      <c r="N10" s="33">
        <f>C32*'E Balans VL '!Y20/100/3.6*1000000</f>
        <v>139.01594975556202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112.11193156812</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1352.2284479</v>
      </c>
      <c r="C13" s="33"/>
      <c r="D13" s="37">
        <f>IF( ISERROR(IND_papier_gas_kWh/1000),0,IND_papier_gas_kWh/1000)*0.902</f>
        <v>0</v>
      </c>
      <c r="E13" s="33">
        <f>C35*'E Balans VL '!I23/100/3.6*1000000</f>
        <v>5.7993144257401541</v>
      </c>
      <c r="F13" s="33">
        <f>C35*'E Balans VL '!L23/100/3.6*1000000+C35*'E Balans VL '!N23/100/3.6*1000000</f>
        <v>33.985697945644901</v>
      </c>
      <c r="G13" s="34"/>
      <c r="H13" s="33"/>
      <c r="I13" s="33"/>
      <c r="J13" s="40">
        <f>C35*'E Balans VL '!D23/100/3.6*1000000+C35*'E Balans VL '!E23/100/3.6*1000000</f>
        <v>90.524277918960024</v>
      </c>
      <c r="K13" s="33"/>
      <c r="L13" s="33"/>
      <c r="M13" s="33"/>
      <c r="N13" s="33">
        <f>C35*'E Balans VL '!Y23/100/3.6*1000000</f>
        <v>329.7593660900003</v>
      </c>
      <c r="O13" s="33"/>
      <c r="P13" s="33"/>
      <c r="R13" s="32"/>
    </row>
    <row r="14" spans="1:18">
      <c r="A14" s="6" t="s">
        <v>33</v>
      </c>
      <c r="B14" s="37">
        <f t="shared" si="0"/>
        <v>286.07942931999997</v>
      </c>
      <c r="C14" s="33"/>
      <c r="D14" s="37">
        <f>IF( ISERROR(IND_chemie_gas_kWh/1000),0,IND_chemie_gas_kWh/1000)*0.902</f>
        <v>0</v>
      </c>
      <c r="E14" s="33">
        <f>C36*'E Balans VL '!I24/100/3.6*1000000</f>
        <v>0.68583062122227401</v>
      </c>
      <c r="F14" s="33">
        <f>C36*'E Balans VL '!L24/100/3.6*1000000+C36*'E Balans VL '!N24/100/3.6*1000000</f>
        <v>2.295852132669745</v>
      </c>
      <c r="G14" s="34"/>
      <c r="H14" s="33"/>
      <c r="I14" s="33"/>
      <c r="J14" s="40">
        <f>C36*'E Balans VL '!D24/100/3.6*1000000+C36*'E Balans VL '!E24/100/3.6*1000000</f>
        <v>0</v>
      </c>
      <c r="K14" s="33"/>
      <c r="L14" s="33"/>
      <c r="M14" s="33"/>
      <c r="N14" s="33">
        <f>C36*'E Balans VL '!Y24/100/3.6*1000000</f>
        <v>5.9130400178835529</v>
      </c>
      <c r="O14" s="33"/>
      <c r="P14" s="33"/>
      <c r="R14" s="32"/>
    </row>
    <row r="15" spans="1:18">
      <c r="A15" s="6" t="s">
        <v>259</v>
      </c>
      <c r="B15" s="37">
        <f t="shared" si="0"/>
        <v>4922.3289783</v>
      </c>
      <c r="C15" s="33"/>
      <c r="D15" s="37">
        <f>IF( ISERROR(IND_rest_gas_kWh/1000),0,IND_rest_gas_kWh/1000)*0.902</f>
        <v>2253.1073541460005</v>
      </c>
      <c r="E15" s="33">
        <f>C37*'E Balans VL '!I15/100/3.6*1000000</f>
        <v>267.14901900504873</v>
      </c>
      <c r="F15" s="33">
        <f>C37*'E Balans VL '!L15/100/3.6*1000000+C37*'E Balans VL '!N15/100/3.6*1000000</f>
        <v>1072.8401176327095</v>
      </c>
      <c r="G15" s="34"/>
      <c r="H15" s="33"/>
      <c r="I15" s="33"/>
      <c r="J15" s="40">
        <f>C37*'E Balans VL '!D15/100/3.6*1000000+C37*'E Balans VL '!E15/100/3.6*1000000</f>
        <v>39.905889807380234</v>
      </c>
      <c r="K15" s="33"/>
      <c r="L15" s="33"/>
      <c r="M15" s="33"/>
      <c r="N15" s="33">
        <f>C37*'E Balans VL '!Y15/100/3.6*1000000</f>
        <v>276.20216482171656</v>
      </c>
      <c r="O15" s="33"/>
      <c r="P15" s="33"/>
      <c r="R15" s="32"/>
    </row>
    <row r="16" spans="1:18">
      <c r="A16" s="16" t="s">
        <v>477</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19143.961737990001</v>
      </c>
      <c r="C18" s="21">
        <f>C5+C16</f>
        <v>0</v>
      </c>
      <c r="D18" s="21">
        <f>MAX((D5+D16),0)</f>
        <v>8131.8882591381607</v>
      </c>
      <c r="E18" s="21">
        <f>MAX((E5+E16),0)</f>
        <v>2173.0404908165797</v>
      </c>
      <c r="F18" s="21">
        <f>MAX((F5+F16),0)</f>
        <v>9333.4211994995785</v>
      </c>
      <c r="G18" s="21"/>
      <c r="H18" s="21"/>
      <c r="I18" s="21"/>
      <c r="J18" s="21">
        <f>MAX((J5+J16),0)</f>
        <v>130.43016772634024</v>
      </c>
      <c r="K18" s="21"/>
      <c r="L18" s="21">
        <f>MAX((L5+L16),0)</f>
        <v>0</v>
      </c>
      <c r="M18" s="21"/>
      <c r="N18" s="21">
        <f>MAX((N5+N16),0)</f>
        <v>1553.3607576503291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5.6985521338458557E-2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1090.9286401228633</v>
      </c>
      <c r="C22" s="23">
        <f ca="1">C18*C20</f>
        <v>0</v>
      </c>
      <c r="D22" s="23">
        <f>D18*D20</f>
        <v>1642.6414283459085</v>
      </c>
      <c r="E22" s="23">
        <f>E18*E20</f>
        <v>493.28019141536362</v>
      </c>
      <c r="F22" s="23">
        <f>F18*F20</f>
        <v>2492.0234602663877</v>
      </c>
      <c r="G22" s="23"/>
      <c r="H22" s="23"/>
      <c r="I22" s="23"/>
      <c r="J22" s="23">
        <f>J18*J20</f>
        <v>46.172279375124447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5595.0665472999999</v>
      </c>
      <c r="C30" s="39">
        <f>IF(ISERROR(B30*3.6/1000000/'E Balans VL '!Z18*100),0,B30*3.6/1000000/'E Balans VL '!Z18*100)</f>
        <v>1.1854746463075767</v>
      </c>
      <c r="D30" s="232" t="s">
        <v>621</v>
      </c>
    </row>
    <row r="31" spans="1:18">
      <c r="A31" s="6" t="s">
        <v>32</v>
      </c>
      <c r="B31" s="37">
        <f>IF( ISERROR(IND_ander_ele_kWh/1000),0,IND_ander_ele_kWh/1000)</f>
        <v>6617.5759298000003</v>
      </c>
      <c r="C31" s="39">
        <f>IF(ISERROR(B31*3.6/1000000/'E Balans VL '!Z19*100),0,B31*3.6/1000000/'E Balans VL '!Z19*100)</f>
        <v>0.27854879718423198</v>
      </c>
      <c r="D31" s="232" t="s">
        <v>621</v>
      </c>
    </row>
    <row r="32" spans="1:18">
      <c r="A32" s="167" t="s">
        <v>40</v>
      </c>
      <c r="B32" s="37">
        <f>IF( ISERROR(IND_voed_ele_kWh/1000),0,IND_voed_ele_kWh/1000)</f>
        <v>370.68240536999997</v>
      </c>
      <c r="C32" s="39">
        <f>IF(ISERROR(B32*3.6/1000000/'E Balans VL '!Z20*100),0,B32*3.6/1000000/'E Balans VL '!Z20*100)</f>
        <v>6.1926689800027065E-2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1352.2284479</v>
      </c>
      <c r="C35" s="39">
        <f>IF(ISERROR(B35*3.6/1000000/'E Balans VL '!Z22*100),0,B35*3.6/1000000/'E Balans VL '!Z22*100)</f>
        <v>0.17140224831780626</v>
      </c>
      <c r="D35" s="232" t="s">
        <v>621</v>
      </c>
    </row>
    <row r="36" spans="1:5">
      <c r="A36" s="167" t="s">
        <v>33</v>
      </c>
      <c r="B36" s="37">
        <f>IF( ISERROR(IND_chemie_ele_kWh/1000),0,IND_chemie_ele_kWh/1000)</f>
        <v>286.07942931999997</v>
      </c>
      <c r="C36" s="39">
        <f>IF(ISERROR(B36*3.6/1000000/'E Balans VL '!Z24*100),0,B36*3.6/1000000/'E Balans VL '!Z24*100)</f>
        <v>9.2918690897224009E-3</v>
      </c>
      <c r="D36" s="232" t="s">
        <v>621</v>
      </c>
    </row>
    <row r="37" spans="1:5">
      <c r="A37" s="167" t="s">
        <v>259</v>
      </c>
      <c r="B37" s="37">
        <f>IF( ISERROR(IND_rest_ele_kWh/1000),0,IND_rest_ele_kWh/1000)</f>
        <v>4922.3289783</v>
      </c>
      <c r="C37" s="39">
        <f>IF(ISERROR(B37*3.6/1000000/'E Balans VL '!Z15*100),0,B37*3.6/1000000/'E Balans VL '!Z15*100)</f>
        <v>3.9739867854956021E-2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5442.0606780600001</v>
      </c>
      <c r="C5" s="17">
        <f>'Eigen informatie GS &amp; warmtenet'!B60</f>
        <v>0</v>
      </c>
      <c r="D5" s="30">
        <f>IF(ISERROR(SUM(LB_lb_gas_kWh,LB_rest_gas_kWh)/1000),0,SUM(LB_lb_gas_kWh,LB_rest_gas_kWh)/1000)*0.902</f>
        <v>1331.1488396536001</v>
      </c>
      <c r="E5" s="17">
        <f>B17*'E Balans VL '!I25/3.6*1000000/100</f>
        <v>107.81190224451373</v>
      </c>
      <c r="F5" s="17">
        <f>B17*('E Balans VL '!L25/3.6*1000000+'E Balans VL '!N25/3.6*1000000)/100</f>
        <v>19845.660404718768</v>
      </c>
      <c r="G5" s="18"/>
      <c r="H5" s="17"/>
      <c r="I5" s="17"/>
      <c r="J5" s="17">
        <f>('E Balans VL '!D25+'E Balans VL '!E25)/3.6*1000000*landbouw!B17/100</f>
        <v>1292.1644606369127</v>
      </c>
      <c r="K5" s="17"/>
      <c r="L5" s="17">
        <f>L6*(-1)</f>
        <v>0</v>
      </c>
      <c r="M5" s="17"/>
      <c r="N5" s="17">
        <f>N6*(-1)</f>
        <v>87994.28571428571</v>
      </c>
      <c r="O5" s="17"/>
      <c r="P5" s="17"/>
      <c r="R5" s="32"/>
    </row>
    <row r="6" spans="1:18">
      <c r="A6" s="16" t="s">
        <v>477</v>
      </c>
      <c r="B6" s="17" t="s">
        <v>204</v>
      </c>
      <c r="C6" s="17">
        <f>'lokale energieproductie'!O40+'lokale energieproductie'!O33</f>
        <v>43997.142857142855</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-87994.28571428571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5442.0606780600001</v>
      </c>
      <c r="C8" s="21">
        <f>C5+C6</f>
        <v>43997.142857142855</v>
      </c>
      <c r="D8" s="21">
        <f>MAX((D5+D6),0)</f>
        <v>1331.1488396536001</v>
      </c>
      <c r="E8" s="21">
        <f>MAX((E5+E6),0)</f>
        <v>107.81190224451373</v>
      </c>
      <c r="F8" s="21">
        <f>MAX((F5+F6),0)</f>
        <v>19845.660404718768</v>
      </c>
      <c r="G8" s="21"/>
      <c r="H8" s="21"/>
      <c r="I8" s="21"/>
      <c r="J8" s="21">
        <f>MAX((J5+J6),0)</f>
        <v>1292.1644606369127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5.6985521338458557E-2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310.11866489477438</v>
      </c>
      <c r="C12" s="23">
        <f ca="1">C8*C10</f>
        <v>0</v>
      </c>
      <c r="D12" s="23">
        <f>D8*D10</f>
        <v>268.89206561002726</v>
      </c>
      <c r="E12" s="23">
        <f>E8*E10</f>
        <v>24.473301809504619</v>
      </c>
      <c r="F12" s="23">
        <f>F8*F10</f>
        <v>5298.7913280599114</v>
      </c>
      <c r="G12" s="23"/>
      <c r="H12" s="23"/>
      <c r="I12" s="23"/>
      <c r="J12" s="23">
        <f>J8*J10</f>
        <v>457.42621906546708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0.76736660300810522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356.96744892027107</v>
      </c>
      <c r="C26" s="242">
        <f>B26*'GWP N2O_CH4'!B5</f>
        <v>7496.3164273256925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260.21394347185247</v>
      </c>
      <c r="C27" s="242">
        <f>B27*'GWP N2O_CH4'!B5</f>
        <v>5464.4928129089021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8.7863192660418328</v>
      </c>
      <c r="C28" s="242">
        <f>B28*'GWP N2O_CH4'!B4</f>
        <v>2723.7589724729683</v>
      </c>
      <c r="D28" s="50"/>
    </row>
    <row r="29" spans="1:4">
      <c r="A29" s="41" t="s">
        <v>266</v>
      </c>
      <c r="B29" s="242">
        <f>B34*'ha_N2O bodem landbouw'!B4</f>
        <v>16.096480877882779</v>
      </c>
      <c r="C29" s="242">
        <f>B29*'GWP N2O_CH4'!B4</f>
        <v>4989.9090721436614</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3.6225829057392627E-3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7.6418527991260711E-5</v>
      </c>
      <c r="C5" s="427" t="s">
        <v>204</v>
      </c>
      <c r="D5" s="412">
        <f>SUM(D6:D11)</f>
        <v>1.1493548985577588E-4</v>
      </c>
      <c r="E5" s="412">
        <f>SUM(E6:E11)</f>
        <v>5.6688326974346716E-4</v>
      </c>
      <c r="F5" s="425" t="s">
        <v>204</v>
      </c>
      <c r="G5" s="412">
        <f>SUM(G6:G11)</f>
        <v>0.28994933604838602</v>
      </c>
      <c r="H5" s="412">
        <f>SUM(H6:H11)</f>
        <v>4.0491213804613242E-2</v>
      </c>
      <c r="I5" s="427" t="s">
        <v>204</v>
      </c>
      <c r="J5" s="427" t="s">
        <v>204</v>
      </c>
      <c r="K5" s="427" t="s">
        <v>204</v>
      </c>
      <c r="L5" s="427" t="s">
        <v>204</v>
      </c>
      <c r="M5" s="412">
        <f>SUM(M6:M11)</f>
        <v>1.0335275932596781E-2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2.730092784582983E-5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4.3018875840355936E-5</v>
      </c>
      <c r="E6" s="818">
        <f>vkm_GW_PW*SUMIFS(TableVerdeelsleutelVkm[LPG],TableVerdeelsleutelVkm[Voertuigtype],"Lichte voertuigen")*SUMIFS(TableECFTransport[EnergieConsumptieFactor (PJ per km)],TableECFTransport[Index],CONCATENATE($A6,"_LPG_LPG"))</f>
        <v>1.9637103977134627E-4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5.3020562913887723E-2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1.4971443481132059E-2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2.1167281654778272E-3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4.8360014490830277E-7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1.6669147997577478E-2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3.3864793711798456E-7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5.2441346505523927E-4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1.1953191048985604E-5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2.6681977410325769E-5</v>
      </c>
      <c r="E8" s="415">
        <f>vkm_NGW_PW*SUMIFS(TableVerdeelsleutelVkm[LPG],TableVerdeelsleutelVkm[Voertuigtype],"Lichte voertuigen")*SUMIFS(TableECFTransport[EnergieConsumptieFactor (PJ per km)],TableECFTransport[Index],CONCATENATE($A8,"_LPG_LPG"))</f>
        <v>1.1619711805680645E-4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2.9252075163405659E-2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9.0095658443048905E-3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1.1902925297128933E-3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1.3950920281213935E-7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6.1828813818380485E-3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1.1791832877272196E-7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1.9451398516910661E-4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3.2809217628724487E-5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4.5234636605094162E-5</v>
      </c>
      <c r="E10" s="415">
        <f>vkm_SW_PW*SUMIFS(TableVerdeelsleutelVkm[LPG],TableVerdeelsleutelVkm[Voertuigtype],"Lichte voertuigen")*SUMIFS(TableECFTransport[EnergieConsumptieFactor (PJ per km)],TableECFTransport[Index],CONCATENATE($A10,"_LPG_LPG"))</f>
        <v>2.5431511191531444E-4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6.2248506505060981E-2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1.6507057966408441E-2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2.4530605275510046E-3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3.7320821200003657E-6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0.12257616208661612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2.6899465019587802E-6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3.8562672596307098E-3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21.227368886461306</v>
      </c>
      <c r="C14" s="21"/>
      <c r="D14" s="21">
        <f t="shared" ref="D14:M14" si="0">((D5)*10^9/3600)+D12</f>
        <v>31.926524959937748</v>
      </c>
      <c r="E14" s="21">
        <f t="shared" si="0"/>
        <v>157.4675749287409</v>
      </c>
      <c r="F14" s="21"/>
      <c r="G14" s="21">
        <f t="shared" si="0"/>
        <v>80541.482235662785</v>
      </c>
      <c r="H14" s="21">
        <f t="shared" si="0"/>
        <v>11247.559390170345</v>
      </c>
      <c r="I14" s="21"/>
      <c r="J14" s="21"/>
      <c r="K14" s="21"/>
      <c r="L14" s="21"/>
      <c r="M14" s="21">
        <f t="shared" si="0"/>
        <v>2870.9099812768836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5.6985521338458557E-2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1.2096526826387721</v>
      </c>
      <c r="C18" s="23"/>
      <c r="D18" s="23">
        <f t="shared" ref="D18:M18" si="1">D14*D16</f>
        <v>6.4491580419074257</v>
      </c>
      <c r="E18" s="23">
        <f t="shared" si="1"/>
        <v>35.745139508824188</v>
      </c>
      <c r="F18" s="23"/>
      <c r="G18" s="23">
        <f t="shared" si="1"/>
        <v>21504.575756921964</v>
      </c>
      <c r="H18" s="23">
        <f t="shared" si="1"/>
        <v>2800.6422881524159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1.4903700418205719E-5</v>
      </c>
      <c r="C50" s="311">
        <f t="shared" ref="C50:P50" si="2">SUM(C51:C52)</f>
        <v>0</v>
      </c>
      <c r="D50" s="311">
        <f t="shared" si="2"/>
        <v>0</v>
      </c>
      <c r="E50" s="311">
        <f t="shared" si="2"/>
        <v>0</v>
      </c>
      <c r="F50" s="311">
        <f t="shared" si="2"/>
        <v>0</v>
      </c>
      <c r="G50" s="311">
        <f t="shared" si="2"/>
        <v>2.6573613376768292E-3</v>
      </c>
      <c r="H50" s="311">
        <f t="shared" si="2"/>
        <v>0</v>
      </c>
      <c r="I50" s="311">
        <f t="shared" si="2"/>
        <v>0</v>
      </c>
      <c r="J50" s="311">
        <f t="shared" si="2"/>
        <v>0</v>
      </c>
      <c r="K50" s="311">
        <f t="shared" si="2"/>
        <v>0</v>
      </c>
      <c r="L50" s="311">
        <f t="shared" si="2"/>
        <v>0</v>
      </c>
      <c r="M50" s="311">
        <f t="shared" si="2"/>
        <v>8.2952524659765558E-5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1.4903700418205719E-5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2.6573613376768292E-3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8.2952524659765558E-5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4.1399167828349217</v>
      </c>
      <c r="C54" s="21">
        <f t="shared" ref="C54:P54" si="3">(C50)*10^9/3600</f>
        <v>0</v>
      </c>
      <c r="D54" s="21">
        <f t="shared" si="3"/>
        <v>0</v>
      </c>
      <c r="E54" s="21">
        <f t="shared" si="3"/>
        <v>0</v>
      </c>
      <c r="F54" s="21">
        <f t="shared" si="3"/>
        <v>0</v>
      </c>
      <c r="G54" s="21">
        <f t="shared" si="3"/>
        <v>738.15592713245258</v>
      </c>
      <c r="H54" s="21">
        <f t="shared" si="3"/>
        <v>0</v>
      </c>
      <c r="I54" s="21">
        <f t="shared" si="3"/>
        <v>0</v>
      </c>
      <c r="J54" s="21">
        <f t="shared" si="3"/>
        <v>0</v>
      </c>
      <c r="K54" s="21">
        <f t="shared" si="3"/>
        <v>0</v>
      </c>
      <c r="L54" s="21">
        <f t="shared" si="3"/>
        <v>0</v>
      </c>
      <c r="M54" s="21">
        <f t="shared" si="3"/>
        <v>23.04236796104599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5.6985521338458557E-2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0.23591531616768213</v>
      </c>
      <c r="C58" s="23">
        <f t="shared" ref="C58:P58" ca="1" si="4">C54*C56</f>
        <v>0</v>
      </c>
      <c r="D58" s="23">
        <f t="shared" si="4"/>
        <v>0</v>
      </c>
      <c r="E58" s="23">
        <f t="shared" si="4"/>
        <v>0</v>
      </c>
      <c r="F58" s="23">
        <f t="shared" si="4"/>
        <v>0</v>
      </c>
      <c r="G58" s="23">
        <f t="shared" si="4"/>
        <v>197.08763254436485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28398.00584985939</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8475.4765880937721</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30798</v>
      </c>
      <c r="C8" s="534">
        <f>B49</f>
        <v>0</v>
      </c>
      <c r="D8" s="961"/>
      <c r="E8" s="961">
        <f>E49</f>
        <v>0</v>
      </c>
      <c r="F8" s="962"/>
      <c r="G8" s="535"/>
      <c r="H8" s="961">
        <f>I49</f>
        <v>0</v>
      </c>
      <c r="I8" s="961">
        <f>G49+F49</f>
        <v>0</v>
      </c>
      <c r="J8" s="961">
        <f>H49+D49+C49</f>
        <v>36232.941176470587</v>
      </c>
      <c r="K8" s="961"/>
      <c r="L8" s="961"/>
      <c r="M8" s="961"/>
      <c r="N8" s="536"/>
      <c r="O8" s="537">
        <f>C8*$C$12+D8*$D$12+E8*$E$12+F8*$F$12+G8*$G$12+H8*$H$12+I8*$I$12+J8*$J$12</f>
        <v>0</v>
      </c>
      <c r="P8" s="1205"/>
      <c r="Q8" s="1206"/>
      <c r="S8" s="925"/>
      <c r="T8" s="1180"/>
      <c r="U8" s="1180"/>
    </row>
    <row r="9" spans="1:21" s="523" customFormat="1" ht="17.45" customHeight="1" thickBot="1">
      <c r="A9" s="538" t="s">
        <v>237</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67671.482437953164</v>
      </c>
      <c r="C10" s="547">
        <f t="shared" ref="C10:L10" si="0">SUM(C8:C9)</f>
        <v>0</v>
      </c>
      <c r="D10" s="547">
        <f t="shared" si="0"/>
        <v>0</v>
      </c>
      <c r="E10" s="547">
        <f t="shared" si="0"/>
        <v>0</v>
      </c>
      <c r="F10" s="547">
        <f t="shared" si="0"/>
        <v>0</v>
      </c>
      <c r="G10" s="547">
        <f t="shared" si="0"/>
        <v>0</v>
      </c>
      <c r="H10" s="547">
        <f t="shared" si="0"/>
        <v>0</v>
      </c>
      <c r="I10" s="547">
        <f t="shared" si="0"/>
        <v>0</v>
      </c>
      <c r="J10" s="547">
        <f t="shared" si="0"/>
        <v>36232.941176470587</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43997.142857142855</v>
      </c>
      <c r="C17" s="559">
        <f>B50</f>
        <v>0</v>
      </c>
      <c r="D17" s="560"/>
      <c r="E17" s="560">
        <f>E50</f>
        <v>0</v>
      </c>
      <c r="F17" s="967"/>
      <c r="G17" s="561"/>
      <c r="H17" s="559">
        <f>I50</f>
        <v>0</v>
      </c>
      <c r="I17" s="560">
        <f>G50+F50</f>
        <v>0</v>
      </c>
      <c r="J17" s="560">
        <f>H50+D50+C50</f>
        <v>51761.344537815123</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43997.142857142855</v>
      </c>
      <c r="C20" s="546">
        <f>SUM(C17:C19)</f>
        <v>0</v>
      </c>
      <c r="D20" s="546">
        <f t="shared" ref="D20:L20" si="1">SUM(D17:D19)</f>
        <v>0</v>
      </c>
      <c r="E20" s="546">
        <f t="shared" si="1"/>
        <v>0</v>
      </c>
      <c r="F20" s="546">
        <f t="shared" si="1"/>
        <v>0</v>
      </c>
      <c r="G20" s="546">
        <f t="shared" si="1"/>
        <v>0</v>
      </c>
      <c r="H20" s="546">
        <f t="shared" si="1"/>
        <v>0</v>
      </c>
      <c r="I20" s="546">
        <f t="shared" si="1"/>
        <v>0</v>
      </c>
      <c r="J20" s="546">
        <f t="shared" si="1"/>
        <v>51761.344537815123</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13001</v>
      </c>
      <c r="C28" s="724">
        <v>2370</v>
      </c>
      <c r="D28" s="617"/>
      <c r="E28" s="616"/>
      <c r="F28" s="616"/>
      <c r="G28" s="616" t="s">
        <v>887</v>
      </c>
      <c r="H28" s="616" t="s">
        <v>888</v>
      </c>
      <c r="I28" s="616"/>
      <c r="J28" s="723"/>
      <c r="K28" s="723"/>
      <c r="L28" s="616" t="s">
        <v>889</v>
      </c>
      <c r="M28" s="616">
        <v>3277</v>
      </c>
      <c r="N28" s="616">
        <v>14746.5</v>
      </c>
      <c r="O28" s="616">
        <v>21066.428571428572</v>
      </c>
      <c r="P28" s="616">
        <v>0</v>
      </c>
      <c r="Q28" s="616">
        <v>42132.857142857145</v>
      </c>
      <c r="R28" s="616">
        <v>0</v>
      </c>
      <c r="S28" s="616">
        <v>0</v>
      </c>
      <c r="T28" s="616">
        <v>0</v>
      </c>
      <c r="U28" s="616">
        <v>0</v>
      </c>
      <c r="V28" s="616">
        <v>0</v>
      </c>
      <c r="W28" s="616">
        <v>0</v>
      </c>
      <c r="X28" s="616"/>
      <c r="Y28" s="616">
        <v>10</v>
      </c>
      <c r="Z28" s="616" t="s">
        <v>105</v>
      </c>
      <c r="AA28" s="618" t="s">
        <v>105</v>
      </c>
    </row>
    <row r="29" spans="1:27" s="570" customFormat="1" ht="25.5" hidden="1">
      <c r="A29" s="569"/>
      <c r="B29" s="724">
        <v>13001</v>
      </c>
      <c r="C29" s="724">
        <v>2370</v>
      </c>
      <c r="D29" s="617"/>
      <c r="E29" s="616"/>
      <c r="F29" s="616"/>
      <c r="G29" s="616" t="s">
        <v>887</v>
      </c>
      <c r="H29" s="616" t="s">
        <v>888</v>
      </c>
      <c r="I29" s="616"/>
      <c r="J29" s="723"/>
      <c r="K29" s="723"/>
      <c r="L29" s="616" t="s">
        <v>889</v>
      </c>
      <c r="M29" s="616">
        <v>3567</v>
      </c>
      <c r="N29" s="616">
        <v>16051.5</v>
      </c>
      <c r="O29" s="616">
        <v>22930.714285714286</v>
      </c>
      <c r="P29" s="616">
        <v>0</v>
      </c>
      <c r="Q29" s="616">
        <v>45861.428571428572</v>
      </c>
      <c r="R29" s="616">
        <v>0</v>
      </c>
      <c r="S29" s="616">
        <v>0</v>
      </c>
      <c r="T29" s="616">
        <v>0</v>
      </c>
      <c r="U29" s="616">
        <v>0</v>
      </c>
      <c r="V29" s="616">
        <v>0</v>
      </c>
      <c r="W29" s="616">
        <v>0</v>
      </c>
      <c r="X29" s="616"/>
      <c r="Y29" s="616">
        <v>10</v>
      </c>
      <c r="Z29" s="616" t="s">
        <v>105</v>
      </c>
      <c r="AA29" s="618" t="s">
        <v>105</v>
      </c>
    </row>
    <row r="30" spans="1:27" s="554" customFormat="1" hidden="1">
      <c r="A30" s="572" t="s">
        <v>269</v>
      </c>
      <c r="B30" s="573"/>
      <c r="C30" s="573"/>
      <c r="D30" s="573"/>
      <c r="E30" s="573"/>
      <c r="F30" s="573"/>
      <c r="G30" s="573"/>
      <c r="H30" s="573"/>
      <c r="I30" s="573"/>
      <c r="J30" s="573"/>
      <c r="K30" s="573"/>
      <c r="L30" s="574"/>
      <c r="M30" s="574">
        <f>SUM(M28:M29)</f>
        <v>6844</v>
      </c>
      <c r="N30" s="574">
        <f>SUM(N28:N29)</f>
        <v>30798</v>
      </c>
      <c r="O30" s="574">
        <f>SUM(O28:O29)</f>
        <v>43997.142857142855</v>
      </c>
      <c r="P30" s="574">
        <f>SUM(P28:P29)</f>
        <v>0</v>
      </c>
      <c r="Q30" s="574">
        <f>SUM(Q28:Q29)</f>
        <v>87994.28571428571</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0</v>
      </c>
      <c r="N32" s="574">
        <f ca="1">SUMIF($AA$28:AE29,"tertiair",N28:N29)</f>
        <v>0</v>
      </c>
      <c r="O32" s="574">
        <f ca="1">SUMIF($AA$28:AF29,"tertiair",O28:O29)</f>
        <v>0</v>
      </c>
      <c r="P32" s="574">
        <f ca="1">SUMIF($AA$28:AG29,"tertiair",P28:P29)</f>
        <v>0</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6844</v>
      </c>
      <c r="N33" s="579">
        <f>SUMIF($AA$28:$AA$29,"landbouw",N28:N29)</f>
        <v>30798</v>
      </c>
      <c r="O33" s="579">
        <f>SUMIF($AA$28:$AA$29,"landbouw",O28:O29)</f>
        <v>43997.142857142855</v>
      </c>
      <c r="P33" s="579">
        <f>SUMIF($AA$28:$AA$29,"landbouw",P28:P29)</f>
        <v>0</v>
      </c>
      <c r="Q33" s="579">
        <f>SUMIF($AA$28:$AA$29,"landbouw",Q28:Q29)</f>
        <v>87994.28571428571</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269</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0.58823529411764708</v>
      </c>
      <c r="C46" s="599">
        <f>IF(ISERROR(N30/(O30+N30)),0,N30/(N30+O30))</f>
        <v>0.41176470588235298</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0</v>
      </c>
      <c r="C49" s="608">
        <f t="shared" si="2"/>
        <v>36232.941176470587</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0</v>
      </c>
      <c r="C50" s="611">
        <f t="shared" si="3"/>
        <v>51761.344537815123</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43800.850089440006</v>
      </c>
      <c r="D10" s="930">
        <f ca="1">tertiair!C16</f>
        <v>0</v>
      </c>
      <c r="E10" s="930">
        <f ca="1">tertiair!D16</f>
        <v>12966.209545859239</v>
      </c>
      <c r="F10" s="930">
        <f>tertiair!E16</f>
        <v>589.39592282107515</v>
      </c>
      <c r="G10" s="930">
        <f ca="1">tertiair!F16</f>
        <v>23921.502917209913</v>
      </c>
      <c r="H10" s="930">
        <f>tertiair!G16</f>
        <v>0</v>
      </c>
      <c r="I10" s="930">
        <f>tertiair!H16</f>
        <v>0</v>
      </c>
      <c r="J10" s="930">
        <f>tertiair!I16</f>
        <v>0</v>
      </c>
      <c r="K10" s="930">
        <f>tertiair!J16</f>
        <v>0.41547170478443973</v>
      </c>
      <c r="L10" s="930">
        <f>tertiair!K16</f>
        <v>0</v>
      </c>
      <c r="M10" s="930">
        <f ca="1">tertiair!L16</f>
        <v>0</v>
      </c>
      <c r="N10" s="930">
        <f>tertiair!M16</f>
        <v>0</v>
      </c>
      <c r="O10" s="930">
        <f ca="1">tertiair!N16</f>
        <v>14475.30711636763</v>
      </c>
      <c r="P10" s="930">
        <f>tertiair!O16</f>
        <v>7.8166666666666664</v>
      </c>
      <c r="Q10" s="931">
        <f>tertiair!P16</f>
        <v>38.133333333333333</v>
      </c>
      <c r="R10" s="628">
        <f ca="1">SUM(C10:Q10)</f>
        <v>95799.631063402645</v>
      </c>
      <c r="S10" s="67"/>
    </row>
    <row r="11" spans="1:19" s="437" customFormat="1">
      <c r="A11" s="736" t="s">
        <v>214</v>
      </c>
      <c r="B11" s="741"/>
      <c r="C11" s="930">
        <f>huishoudens!B8</f>
        <v>21529.853001745858</v>
      </c>
      <c r="D11" s="930">
        <f>huishoudens!C8</f>
        <v>0</v>
      </c>
      <c r="E11" s="930">
        <f>huishoudens!D8</f>
        <v>57131.645543104001</v>
      </c>
      <c r="F11" s="930">
        <f>huishoudens!E8</f>
        <v>875.14936287582145</v>
      </c>
      <c r="G11" s="930">
        <f>huishoudens!F8</f>
        <v>23793.578930761516</v>
      </c>
      <c r="H11" s="930">
        <f>huishoudens!G8</f>
        <v>0</v>
      </c>
      <c r="I11" s="930">
        <f>huishoudens!H8</f>
        <v>0</v>
      </c>
      <c r="J11" s="930">
        <f>huishoudens!I8</f>
        <v>0</v>
      </c>
      <c r="K11" s="930">
        <f>huishoudens!J8</f>
        <v>438.796093782875</v>
      </c>
      <c r="L11" s="930">
        <f>huishoudens!K8</f>
        <v>0</v>
      </c>
      <c r="M11" s="930">
        <f>huishoudens!L8</f>
        <v>0</v>
      </c>
      <c r="N11" s="930">
        <f>huishoudens!M8</f>
        <v>0</v>
      </c>
      <c r="O11" s="930">
        <f>huishoudens!N8</f>
        <v>6677.4310533345788</v>
      </c>
      <c r="P11" s="930">
        <f>huishoudens!O8</f>
        <v>284.52666666666664</v>
      </c>
      <c r="Q11" s="931">
        <f>huishoudens!P8</f>
        <v>858</v>
      </c>
      <c r="R11" s="628">
        <f>SUM(C11:Q11)</f>
        <v>111588.98065227133</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19143.961737990001</v>
      </c>
      <c r="D13" s="930">
        <f>industrie!C18</f>
        <v>0</v>
      </c>
      <c r="E13" s="930">
        <f>industrie!D18</f>
        <v>8131.8882591381607</v>
      </c>
      <c r="F13" s="930">
        <f>industrie!E18</f>
        <v>2173.0404908165797</v>
      </c>
      <c r="G13" s="930">
        <f>industrie!F18</f>
        <v>9333.4211994995785</v>
      </c>
      <c r="H13" s="930">
        <f>industrie!G18</f>
        <v>0</v>
      </c>
      <c r="I13" s="930">
        <f>industrie!H18</f>
        <v>0</v>
      </c>
      <c r="J13" s="930">
        <f>industrie!I18</f>
        <v>0</v>
      </c>
      <c r="K13" s="930">
        <f>industrie!J18</f>
        <v>130.43016772634024</v>
      </c>
      <c r="L13" s="930">
        <f>industrie!K18</f>
        <v>0</v>
      </c>
      <c r="M13" s="930">
        <f>industrie!L18</f>
        <v>0</v>
      </c>
      <c r="N13" s="930">
        <f>industrie!M18</f>
        <v>0</v>
      </c>
      <c r="O13" s="930">
        <f>industrie!N18</f>
        <v>1553.3607576503291</v>
      </c>
      <c r="P13" s="930">
        <f>industrie!O18</f>
        <v>0</v>
      </c>
      <c r="Q13" s="931">
        <f>industrie!P18</f>
        <v>0</v>
      </c>
      <c r="R13" s="628">
        <f>SUM(C13:Q13)</f>
        <v>40466.102612820992</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84474.664829175861</v>
      </c>
      <c r="D16" s="660">
        <f t="shared" ref="D16:R16" ca="1" si="0">SUM(D9:D15)</f>
        <v>0</v>
      </c>
      <c r="E16" s="660">
        <f t="shared" ca="1" si="0"/>
        <v>78229.743348101401</v>
      </c>
      <c r="F16" s="660">
        <f t="shared" si="0"/>
        <v>3637.585776513476</v>
      </c>
      <c r="G16" s="660">
        <f t="shared" ca="1" si="0"/>
        <v>57048.503047471007</v>
      </c>
      <c r="H16" s="660">
        <f t="shared" si="0"/>
        <v>0</v>
      </c>
      <c r="I16" s="660">
        <f t="shared" si="0"/>
        <v>0</v>
      </c>
      <c r="J16" s="660">
        <f t="shared" si="0"/>
        <v>0</v>
      </c>
      <c r="K16" s="660">
        <f t="shared" si="0"/>
        <v>569.64173321399971</v>
      </c>
      <c r="L16" s="660">
        <f t="shared" si="0"/>
        <v>0</v>
      </c>
      <c r="M16" s="660">
        <f t="shared" ca="1" si="0"/>
        <v>0</v>
      </c>
      <c r="N16" s="660">
        <f t="shared" si="0"/>
        <v>0</v>
      </c>
      <c r="O16" s="660">
        <f t="shared" ca="1" si="0"/>
        <v>22706.098927352541</v>
      </c>
      <c r="P16" s="660">
        <f t="shared" si="0"/>
        <v>292.34333333333331</v>
      </c>
      <c r="Q16" s="660">
        <f t="shared" si="0"/>
        <v>896.13333333333333</v>
      </c>
      <c r="R16" s="660">
        <f t="shared" ca="1" si="0"/>
        <v>247854.71432849497</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4.1399167828349217</v>
      </c>
      <c r="D19" s="930">
        <f>transport!C54</f>
        <v>0</v>
      </c>
      <c r="E19" s="930">
        <f>transport!D54</f>
        <v>0</v>
      </c>
      <c r="F19" s="930">
        <f>transport!E54</f>
        <v>0</v>
      </c>
      <c r="G19" s="930">
        <f>transport!F54</f>
        <v>0</v>
      </c>
      <c r="H19" s="930">
        <f>transport!G54</f>
        <v>738.15592713245258</v>
      </c>
      <c r="I19" s="930">
        <f>transport!H54</f>
        <v>0</v>
      </c>
      <c r="J19" s="930">
        <f>transport!I54</f>
        <v>0</v>
      </c>
      <c r="K19" s="930">
        <f>transport!J54</f>
        <v>0</v>
      </c>
      <c r="L19" s="930">
        <f>transport!K54</f>
        <v>0</v>
      </c>
      <c r="M19" s="930">
        <f>transport!L54</f>
        <v>0</v>
      </c>
      <c r="N19" s="930">
        <f>transport!M54</f>
        <v>23.04236796104599</v>
      </c>
      <c r="O19" s="930">
        <f>transport!N54</f>
        <v>0</v>
      </c>
      <c r="P19" s="930">
        <f>transport!O54</f>
        <v>0</v>
      </c>
      <c r="Q19" s="931">
        <f>transport!P54</f>
        <v>0</v>
      </c>
      <c r="R19" s="628">
        <f>SUM(C19:Q19)</f>
        <v>765.3382118763335</v>
      </c>
      <c r="S19" s="67"/>
    </row>
    <row r="20" spans="1:19" s="437" customFormat="1">
      <c r="A20" s="736" t="s">
        <v>296</v>
      </c>
      <c r="B20" s="741"/>
      <c r="C20" s="930">
        <f>transport!B14</f>
        <v>21.227368886461306</v>
      </c>
      <c r="D20" s="930">
        <f>transport!C14</f>
        <v>0</v>
      </c>
      <c r="E20" s="930">
        <f>transport!D14</f>
        <v>31.926524959937748</v>
      </c>
      <c r="F20" s="930">
        <f>transport!E14</f>
        <v>157.4675749287409</v>
      </c>
      <c r="G20" s="930">
        <f>transport!F14</f>
        <v>0</v>
      </c>
      <c r="H20" s="930">
        <f>transport!G14</f>
        <v>80541.482235662785</v>
      </c>
      <c r="I20" s="930">
        <f>transport!H14</f>
        <v>11247.559390170345</v>
      </c>
      <c r="J20" s="930">
        <f>transport!I14</f>
        <v>0</v>
      </c>
      <c r="K20" s="930">
        <f>transport!J14</f>
        <v>0</v>
      </c>
      <c r="L20" s="930">
        <f>transport!K14</f>
        <v>0</v>
      </c>
      <c r="M20" s="930">
        <f>transport!L14</f>
        <v>0</v>
      </c>
      <c r="N20" s="930">
        <f>transport!M14</f>
        <v>2870.9099812768836</v>
      </c>
      <c r="O20" s="930">
        <f>transport!N14</f>
        <v>0</v>
      </c>
      <c r="P20" s="930">
        <f>transport!O14</f>
        <v>0</v>
      </c>
      <c r="Q20" s="931">
        <f>transport!P14</f>
        <v>0</v>
      </c>
      <c r="R20" s="628">
        <f>SUM(C20:Q20)</f>
        <v>94870.573075885142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25.36728566929623</v>
      </c>
      <c r="D22" s="739">
        <f t="shared" ref="D22:R22" si="1">SUM(D18:D21)</f>
        <v>0</v>
      </c>
      <c r="E22" s="739">
        <f t="shared" si="1"/>
        <v>31.926524959937748</v>
      </c>
      <c r="F22" s="739">
        <f t="shared" si="1"/>
        <v>157.4675749287409</v>
      </c>
      <c r="G22" s="739">
        <f t="shared" si="1"/>
        <v>0</v>
      </c>
      <c r="H22" s="739">
        <f t="shared" si="1"/>
        <v>81279.638162795236</v>
      </c>
      <c r="I22" s="739">
        <f t="shared" si="1"/>
        <v>11247.559390170345</v>
      </c>
      <c r="J22" s="739">
        <f t="shared" si="1"/>
        <v>0</v>
      </c>
      <c r="K22" s="739">
        <f t="shared" si="1"/>
        <v>0</v>
      </c>
      <c r="L22" s="739">
        <f t="shared" si="1"/>
        <v>0</v>
      </c>
      <c r="M22" s="739">
        <f t="shared" si="1"/>
        <v>0</v>
      </c>
      <c r="N22" s="739">
        <f t="shared" si="1"/>
        <v>2893.9523492379294</v>
      </c>
      <c r="O22" s="739">
        <f t="shared" si="1"/>
        <v>0</v>
      </c>
      <c r="P22" s="739">
        <f t="shared" si="1"/>
        <v>0</v>
      </c>
      <c r="Q22" s="739">
        <f t="shared" si="1"/>
        <v>0</v>
      </c>
      <c r="R22" s="739">
        <f t="shared" si="1"/>
        <v>95635.911287761483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5442.0606780600001</v>
      </c>
      <c r="D24" s="930">
        <f>+landbouw!C8</f>
        <v>43997.142857142855</v>
      </c>
      <c r="E24" s="930">
        <f>+landbouw!D8</f>
        <v>1331.1488396536001</v>
      </c>
      <c r="F24" s="930">
        <f>+landbouw!E8</f>
        <v>107.81190224451373</v>
      </c>
      <c r="G24" s="930">
        <f>+landbouw!F8</f>
        <v>19845.660404718768</v>
      </c>
      <c r="H24" s="930">
        <f>+landbouw!G8</f>
        <v>0</v>
      </c>
      <c r="I24" s="930">
        <f>+landbouw!H8</f>
        <v>0</v>
      </c>
      <c r="J24" s="930">
        <f>+landbouw!I8</f>
        <v>0</v>
      </c>
      <c r="K24" s="930">
        <f>+landbouw!J8</f>
        <v>1292.1644606369127</v>
      </c>
      <c r="L24" s="930">
        <f>+landbouw!K8</f>
        <v>0</v>
      </c>
      <c r="M24" s="930">
        <f>+landbouw!L8</f>
        <v>0</v>
      </c>
      <c r="N24" s="930">
        <f>+landbouw!M8</f>
        <v>0</v>
      </c>
      <c r="O24" s="930">
        <f>+landbouw!N8</f>
        <v>0</v>
      </c>
      <c r="P24" s="930">
        <f>+landbouw!O8</f>
        <v>0</v>
      </c>
      <c r="Q24" s="931">
        <f>+landbouw!P8</f>
        <v>0</v>
      </c>
      <c r="R24" s="628">
        <f>SUM(C24:Q24)</f>
        <v>72015.989142456645</v>
      </c>
      <c r="S24" s="67"/>
    </row>
    <row r="25" spans="1:19" s="437" customFormat="1" ht="15" thickBot="1">
      <c r="A25" s="758" t="s">
        <v>788</v>
      </c>
      <c r="B25" s="933"/>
      <c r="C25" s="934">
        <f>IF(Onbekend_ele_kWh="---",0,Onbekend_ele_kWh)/1000+IF(REST_rest_ele_kWh="---",0,REST_rest_ele_kWh)/1000</f>
        <v>1241.3060194000002</v>
      </c>
      <c r="D25" s="934"/>
      <c r="E25" s="934">
        <f>IF(onbekend_gas_kWh="---",0,onbekend_gas_kWh)/1000+IF(REST_rest_gas_kWh="---",0,REST_rest_gas_kWh)/1000</f>
        <v>1750.5595697000001</v>
      </c>
      <c r="F25" s="934"/>
      <c r="G25" s="934"/>
      <c r="H25" s="934"/>
      <c r="I25" s="934"/>
      <c r="J25" s="934"/>
      <c r="K25" s="934"/>
      <c r="L25" s="934"/>
      <c r="M25" s="934"/>
      <c r="N25" s="934"/>
      <c r="O25" s="934"/>
      <c r="P25" s="934"/>
      <c r="Q25" s="935"/>
      <c r="R25" s="628">
        <f>SUM(C25:Q25)</f>
        <v>2991.8655891000003</v>
      </c>
      <c r="S25" s="67"/>
    </row>
    <row r="26" spans="1:19" s="437" customFormat="1" ht="15.75" thickBot="1">
      <c r="A26" s="633" t="s">
        <v>789</v>
      </c>
      <c r="B26" s="744"/>
      <c r="C26" s="739">
        <f>SUM(C24:C25)</f>
        <v>6683.3666974600001</v>
      </c>
      <c r="D26" s="739">
        <f t="shared" ref="D26:R26" si="2">SUM(D24:D25)</f>
        <v>43997.142857142855</v>
      </c>
      <c r="E26" s="739">
        <f t="shared" si="2"/>
        <v>3081.7084093536005</v>
      </c>
      <c r="F26" s="739">
        <f t="shared" si="2"/>
        <v>107.81190224451373</v>
      </c>
      <c r="G26" s="739">
        <f t="shared" si="2"/>
        <v>19845.660404718768</v>
      </c>
      <c r="H26" s="739">
        <f t="shared" si="2"/>
        <v>0</v>
      </c>
      <c r="I26" s="739">
        <f t="shared" si="2"/>
        <v>0</v>
      </c>
      <c r="J26" s="739">
        <f t="shared" si="2"/>
        <v>0</v>
      </c>
      <c r="K26" s="739">
        <f t="shared" si="2"/>
        <v>1292.1644606369127</v>
      </c>
      <c r="L26" s="739">
        <f t="shared" si="2"/>
        <v>0</v>
      </c>
      <c r="M26" s="739">
        <f t="shared" si="2"/>
        <v>0</v>
      </c>
      <c r="N26" s="739">
        <f t="shared" si="2"/>
        <v>0</v>
      </c>
      <c r="O26" s="739">
        <f t="shared" si="2"/>
        <v>0</v>
      </c>
      <c r="P26" s="739">
        <f t="shared" si="2"/>
        <v>0</v>
      </c>
      <c r="Q26" s="739">
        <f t="shared" si="2"/>
        <v>0</v>
      </c>
      <c r="R26" s="739">
        <f t="shared" si="2"/>
        <v>75007.854731556639</v>
      </c>
      <c r="S26" s="67"/>
    </row>
    <row r="27" spans="1:19" s="437" customFormat="1" ht="17.25" thickTop="1" thickBot="1">
      <c r="A27" s="634" t="s">
        <v>109</v>
      </c>
      <c r="B27" s="732"/>
      <c r="C27" s="635">
        <f ca="1">C22+C16+C26</f>
        <v>91183.398812305168</v>
      </c>
      <c r="D27" s="635">
        <f t="shared" ref="D27:R27" ca="1" si="3">D22+D16+D26</f>
        <v>43997.142857142855</v>
      </c>
      <c r="E27" s="635">
        <f t="shared" ca="1" si="3"/>
        <v>81343.378282414938</v>
      </c>
      <c r="F27" s="635">
        <f t="shared" si="3"/>
        <v>3902.8652536867307</v>
      </c>
      <c r="G27" s="635">
        <f t="shared" ca="1" si="3"/>
        <v>76894.163452189779</v>
      </c>
      <c r="H27" s="635">
        <f t="shared" si="3"/>
        <v>81279.638162795236</v>
      </c>
      <c r="I27" s="635">
        <f t="shared" si="3"/>
        <v>11247.559390170345</v>
      </c>
      <c r="J27" s="635">
        <f t="shared" si="3"/>
        <v>0</v>
      </c>
      <c r="K27" s="635">
        <f t="shared" si="3"/>
        <v>1861.8061938509125</v>
      </c>
      <c r="L27" s="635">
        <f t="shared" si="3"/>
        <v>0</v>
      </c>
      <c r="M27" s="635">
        <f t="shared" ca="1" si="3"/>
        <v>0</v>
      </c>
      <c r="N27" s="635">
        <f t="shared" si="3"/>
        <v>2893.9523492379294</v>
      </c>
      <c r="O27" s="635">
        <f t="shared" ca="1" si="3"/>
        <v>22706.098927352541</v>
      </c>
      <c r="P27" s="635">
        <f t="shared" si="3"/>
        <v>292.34333333333331</v>
      </c>
      <c r="Q27" s="635">
        <f t="shared" si="3"/>
        <v>896.13333333333333</v>
      </c>
      <c r="R27" s="635">
        <f t="shared" ca="1" si="3"/>
        <v>418498.48034781311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2496.0142774144078</v>
      </c>
      <c r="D40" s="930">
        <f ca="1">tertiair!C20</f>
        <v>0</v>
      </c>
      <c r="E40" s="930">
        <f ca="1">tertiair!D20</f>
        <v>2619.1743282635666</v>
      </c>
      <c r="F40" s="930">
        <f>tertiair!E20</f>
        <v>133.79287448038406</v>
      </c>
      <c r="G40" s="930">
        <f ca="1">tertiair!F20</f>
        <v>6387.0412788950471</v>
      </c>
      <c r="H40" s="930">
        <f>tertiair!G20</f>
        <v>0</v>
      </c>
      <c r="I40" s="930">
        <f>tertiair!H20</f>
        <v>0</v>
      </c>
      <c r="J40" s="930">
        <f>tertiair!I20</f>
        <v>0</v>
      </c>
      <c r="K40" s="930">
        <f>tertiair!J20</f>
        <v>0.14707698349369167</v>
      </c>
      <c r="L40" s="930">
        <f>tertiair!K20</f>
        <v>0</v>
      </c>
      <c r="M40" s="930">
        <f ca="1">tertiair!L20</f>
        <v>0</v>
      </c>
      <c r="N40" s="930">
        <f>tertiair!M20</f>
        <v>0</v>
      </c>
      <c r="O40" s="930">
        <f ca="1">tertiair!N20</f>
        <v>0</v>
      </c>
      <c r="P40" s="930">
        <f>tertiair!O20</f>
        <v>0</v>
      </c>
      <c r="Q40" s="702">
        <f>tertiair!P20</f>
        <v>0</v>
      </c>
      <c r="R40" s="777">
        <f t="shared" ca="1" si="4"/>
        <v>11636.169836036899</v>
      </c>
    </row>
    <row r="41" spans="1:18">
      <c r="A41" s="749" t="s">
        <v>214</v>
      </c>
      <c r="B41" s="756"/>
      <c r="C41" s="930">
        <f ca="1">huishoudens!B12</f>
        <v>1226.8898976448645</v>
      </c>
      <c r="D41" s="930">
        <f ca="1">huishoudens!C12</f>
        <v>0</v>
      </c>
      <c r="E41" s="930">
        <f>huishoudens!D12</f>
        <v>11540.592399707009</v>
      </c>
      <c r="F41" s="930">
        <f>huishoudens!E12</f>
        <v>198.65890537281149</v>
      </c>
      <c r="G41" s="930">
        <f>huishoudens!F12</f>
        <v>6352.8855745133251</v>
      </c>
      <c r="H41" s="930">
        <f>huishoudens!G12</f>
        <v>0</v>
      </c>
      <c r="I41" s="930">
        <f>huishoudens!H12</f>
        <v>0</v>
      </c>
      <c r="J41" s="930">
        <f>huishoudens!I12</f>
        <v>0</v>
      </c>
      <c r="K41" s="930">
        <f>huishoudens!J12</f>
        <v>155.33381719913774</v>
      </c>
      <c r="L41" s="930">
        <f>huishoudens!K12</f>
        <v>0</v>
      </c>
      <c r="M41" s="930">
        <f>huishoudens!L12</f>
        <v>0</v>
      </c>
      <c r="N41" s="930">
        <f>huishoudens!M12</f>
        <v>0</v>
      </c>
      <c r="O41" s="930">
        <f>huishoudens!N12</f>
        <v>0</v>
      </c>
      <c r="P41" s="930">
        <f>huishoudens!O12</f>
        <v>0</v>
      </c>
      <c r="Q41" s="702">
        <f>huishoudens!P12</f>
        <v>0</v>
      </c>
      <c r="R41" s="777">
        <f t="shared" ca="1" si="4"/>
        <v>19474.360594437148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1090.9286401228633</v>
      </c>
      <c r="D43" s="930">
        <f ca="1">industrie!C22</f>
        <v>0</v>
      </c>
      <c r="E43" s="930">
        <f>industrie!D22</f>
        <v>1642.6414283459085</v>
      </c>
      <c r="F43" s="930">
        <f>industrie!E22</f>
        <v>493.28019141536362</v>
      </c>
      <c r="G43" s="930">
        <f>industrie!F22</f>
        <v>2492.0234602663877</v>
      </c>
      <c r="H43" s="930">
        <f>industrie!G22</f>
        <v>0</v>
      </c>
      <c r="I43" s="930">
        <f>industrie!H22</f>
        <v>0</v>
      </c>
      <c r="J43" s="930">
        <f>industrie!I22</f>
        <v>0</v>
      </c>
      <c r="K43" s="930">
        <f>industrie!J22</f>
        <v>46.172279375124447</v>
      </c>
      <c r="L43" s="930">
        <f>industrie!K22</f>
        <v>0</v>
      </c>
      <c r="M43" s="930">
        <f>industrie!L22</f>
        <v>0</v>
      </c>
      <c r="N43" s="930">
        <f>industrie!M22</f>
        <v>0</v>
      </c>
      <c r="O43" s="930">
        <f>industrie!N22</f>
        <v>0</v>
      </c>
      <c r="P43" s="930">
        <f>industrie!O22</f>
        <v>0</v>
      </c>
      <c r="Q43" s="702">
        <f>industrie!P22</f>
        <v>0</v>
      </c>
      <c r="R43" s="776">
        <f t="shared" ca="1" si="4"/>
        <v>5765.0459995256469</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4813.8328151821352</v>
      </c>
      <c r="D46" s="660">
        <f t="shared" ref="D46:Q46" ca="1" si="5">SUM(D39:D45)</f>
        <v>0</v>
      </c>
      <c r="E46" s="660">
        <f t="shared" ca="1" si="5"/>
        <v>15802.408156316485</v>
      </c>
      <c r="F46" s="660">
        <f t="shared" si="5"/>
        <v>825.73197126855916</v>
      </c>
      <c r="G46" s="660">
        <f t="shared" ca="1" si="5"/>
        <v>15231.950313674759</v>
      </c>
      <c r="H46" s="660">
        <f t="shared" si="5"/>
        <v>0</v>
      </c>
      <c r="I46" s="660">
        <f t="shared" si="5"/>
        <v>0</v>
      </c>
      <c r="J46" s="660">
        <f t="shared" si="5"/>
        <v>0</v>
      </c>
      <c r="K46" s="660">
        <f t="shared" si="5"/>
        <v>201.65317355775588</v>
      </c>
      <c r="L46" s="660">
        <f t="shared" si="5"/>
        <v>0</v>
      </c>
      <c r="M46" s="660">
        <f t="shared" ca="1" si="5"/>
        <v>0</v>
      </c>
      <c r="N46" s="660">
        <f t="shared" si="5"/>
        <v>0</v>
      </c>
      <c r="O46" s="660">
        <f t="shared" ca="1" si="5"/>
        <v>0</v>
      </c>
      <c r="P46" s="660">
        <f t="shared" si="5"/>
        <v>0</v>
      </c>
      <c r="Q46" s="660">
        <f t="shared" si="5"/>
        <v>0</v>
      </c>
      <c r="R46" s="660">
        <f ca="1">SUM(R39:R45)</f>
        <v>36875.576429999695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0.23591531616768213</v>
      </c>
      <c r="D49" s="930">
        <f ca="1">transport!C58</f>
        <v>0</v>
      </c>
      <c r="E49" s="930">
        <f>transport!D58</f>
        <v>0</v>
      </c>
      <c r="F49" s="930">
        <f>transport!E58</f>
        <v>0</v>
      </c>
      <c r="G49" s="930">
        <f>transport!F58</f>
        <v>0</v>
      </c>
      <c r="H49" s="930">
        <f>transport!G58</f>
        <v>197.08763254436485</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197.32354786053253</v>
      </c>
    </row>
    <row r="50" spans="1:18">
      <c r="A50" s="752" t="s">
        <v>296</v>
      </c>
      <c r="B50" s="762"/>
      <c r="C50" s="631">
        <f ca="1">transport!B18</f>
        <v>1.2096526826387721</v>
      </c>
      <c r="D50" s="631">
        <f>transport!C18</f>
        <v>0</v>
      </c>
      <c r="E50" s="631">
        <f>transport!D18</f>
        <v>6.4491580419074257</v>
      </c>
      <c r="F50" s="631">
        <f>transport!E18</f>
        <v>35.745139508824188</v>
      </c>
      <c r="G50" s="631">
        <f>transport!F18</f>
        <v>0</v>
      </c>
      <c r="H50" s="631">
        <f>transport!G18</f>
        <v>21504.575756921964</v>
      </c>
      <c r="I50" s="631">
        <f>transport!H18</f>
        <v>2800.6422881524159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24348.621995307749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1.4455679988064543</v>
      </c>
      <c r="D52" s="660">
        <f t="shared" ref="D52:Q52" ca="1" si="6">SUM(D48:D51)</f>
        <v>0</v>
      </c>
      <c r="E52" s="660">
        <f t="shared" si="6"/>
        <v>6.4491580419074257</v>
      </c>
      <c r="F52" s="660">
        <f t="shared" si="6"/>
        <v>35.745139508824188</v>
      </c>
      <c r="G52" s="660">
        <f t="shared" si="6"/>
        <v>0</v>
      </c>
      <c r="H52" s="660">
        <f t="shared" si="6"/>
        <v>21701.663389466328</v>
      </c>
      <c r="I52" s="660">
        <f t="shared" si="6"/>
        <v>2800.6422881524159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24545.94554316828</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310.11866489477438</v>
      </c>
      <c r="D54" s="631">
        <f ca="1">+landbouw!C12</f>
        <v>0</v>
      </c>
      <c r="E54" s="631">
        <f>+landbouw!D12</f>
        <v>268.89206561002726</v>
      </c>
      <c r="F54" s="631">
        <f>+landbouw!E12</f>
        <v>24.473301809504619</v>
      </c>
      <c r="G54" s="631">
        <f>+landbouw!F12</f>
        <v>5298.7913280599114</v>
      </c>
      <c r="H54" s="631">
        <f>+landbouw!G12</f>
        <v>0</v>
      </c>
      <c r="I54" s="631">
        <f>+landbouw!H12</f>
        <v>0</v>
      </c>
      <c r="J54" s="631">
        <f>+landbouw!I12</f>
        <v>0</v>
      </c>
      <c r="K54" s="631">
        <f>+landbouw!J12</f>
        <v>457.42621906546708</v>
      </c>
      <c r="L54" s="631">
        <f>+landbouw!K12</f>
        <v>0</v>
      </c>
      <c r="M54" s="631">
        <f>+landbouw!L12</f>
        <v>0</v>
      </c>
      <c r="N54" s="631">
        <f>+landbouw!M12</f>
        <v>0</v>
      </c>
      <c r="O54" s="631">
        <f>+landbouw!N12</f>
        <v>0</v>
      </c>
      <c r="P54" s="631">
        <f>+landbouw!O12</f>
        <v>0</v>
      </c>
      <c r="Q54" s="632">
        <f>+landbouw!P12</f>
        <v>0</v>
      </c>
      <c r="R54" s="659">
        <f ca="1">SUM(C54:Q54)</f>
        <v>6359.7015794396848</v>
      </c>
    </row>
    <row r="55" spans="1:18" ht="15" thickBot="1">
      <c r="A55" s="752" t="s">
        <v>788</v>
      </c>
      <c r="B55" s="762"/>
      <c r="C55" s="631">
        <f ca="1">C25*'EF ele_warmte'!B12</f>
        <v>70.736470656075767</v>
      </c>
      <c r="D55" s="631"/>
      <c r="E55" s="631">
        <f>E25*EF_CO2_aardgas</f>
        <v>353.61303307940005</v>
      </c>
      <c r="F55" s="631"/>
      <c r="G55" s="631"/>
      <c r="H55" s="631"/>
      <c r="I55" s="631"/>
      <c r="J55" s="631"/>
      <c r="K55" s="631"/>
      <c r="L55" s="631"/>
      <c r="M55" s="631"/>
      <c r="N55" s="631"/>
      <c r="O55" s="631"/>
      <c r="P55" s="631"/>
      <c r="Q55" s="632"/>
      <c r="R55" s="659">
        <f ca="1">SUM(C55:Q55)</f>
        <v>424.34950373547582</v>
      </c>
    </row>
    <row r="56" spans="1:18" ht="15.75" thickBot="1">
      <c r="A56" s="750" t="s">
        <v>789</v>
      </c>
      <c r="B56" s="763"/>
      <c r="C56" s="660">
        <f ca="1">SUM(C54:C55)</f>
        <v>380.85513555085015</v>
      </c>
      <c r="D56" s="660">
        <f t="shared" ref="D56:Q56" ca="1" si="7">SUM(D54:D55)</f>
        <v>0</v>
      </c>
      <c r="E56" s="660">
        <f t="shared" si="7"/>
        <v>622.50509868942731</v>
      </c>
      <c r="F56" s="660">
        <f t="shared" si="7"/>
        <v>24.473301809504619</v>
      </c>
      <c r="G56" s="660">
        <f t="shared" si="7"/>
        <v>5298.7913280599114</v>
      </c>
      <c r="H56" s="660">
        <f t="shared" si="7"/>
        <v>0</v>
      </c>
      <c r="I56" s="660">
        <f t="shared" si="7"/>
        <v>0</v>
      </c>
      <c r="J56" s="660">
        <f t="shared" si="7"/>
        <v>0</v>
      </c>
      <c r="K56" s="660">
        <f t="shared" si="7"/>
        <v>457.42621906546708</v>
      </c>
      <c r="L56" s="660">
        <f t="shared" si="7"/>
        <v>0</v>
      </c>
      <c r="M56" s="660">
        <f t="shared" si="7"/>
        <v>0</v>
      </c>
      <c r="N56" s="660">
        <f t="shared" si="7"/>
        <v>0</v>
      </c>
      <c r="O56" s="660">
        <f t="shared" si="7"/>
        <v>0</v>
      </c>
      <c r="P56" s="660">
        <f t="shared" si="7"/>
        <v>0</v>
      </c>
      <c r="Q56" s="661">
        <f t="shared" si="7"/>
        <v>0</v>
      </c>
      <c r="R56" s="662">
        <f ca="1">SUM(R54:R55)</f>
        <v>6784.0510831751608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5196.1335187317918</v>
      </c>
      <c r="D61" s="668">
        <f t="shared" ref="D61:Q61" ca="1" si="8">D46+D52+D56</f>
        <v>0</v>
      </c>
      <c r="E61" s="668">
        <f t="shared" ca="1" si="8"/>
        <v>16431.36241304782</v>
      </c>
      <c r="F61" s="668">
        <f t="shared" si="8"/>
        <v>885.95041258688798</v>
      </c>
      <c r="G61" s="668">
        <f t="shared" ca="1" si="8"/>
        <v>20530.741641734669</v>
      </c>
      <c r="H61" s="668">
        <f t="shared" si="8"/>
        <v>21701.663389466328</v>
      </c>
      <c r="I61" s="668">
        <f t="shared" si="8"/>
        <v>2800.6422881524159</v>
      </c>
      <c r="J61" s="668">
        <f t="shared" si="8"/>
        <v>0</v>
      </c>
      <c r="K61" s="668">
        <f t="shared" si="8"/>
        <v>659.07939262322293</v>
      </c>
      <c r="L61" s="668">
        <f t="shared" si="8"/>
        <v>0</v>
      </c>
      <c r="M61" s="668">
        <f t="shared" ca="1" si="8"/>
        <v>0</v>
      </c>
      <c r="N61" s="668">
        <f t="shared" si="8"/>
        <v>0</v>
      </c>
      <c r="O61" s="668">
        <f t="shared" ca="1" si="8"/>
        <v>0</v>
      </c>
      <c r="P61" s="668">
        <f t="shared" si="8"/>
        <v>0</v>
      </c>
      <c r="Q61" s="668">
        <f t="shared" si="8"/>
        <v>0</v>
      </c>
      <c r="R61" s="668">
        <f ca="1">R46+R52+R56</f>
        <v>68205.573056343143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5.6985521338458543E-2</v>
      </c>
      <c r="D63" s="709">
        <f t="shared" ca="1" si="9"/>
        <v>0</v>
      </c>
      <c r="E63" s="941">
        <f t="shared" ca="1" si="9"/>
        <v>0.20200000000000004</v>
      </c>
      <c r="F63" s="709">
        <f t="shared" si="9"/>
        <v>0.22700000000000004</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28398.00584985939</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8475.4765880937721</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30798</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36232.941176470587</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67671.482437953164</v>
      </c>
      <c r="C78" s="683">
        <f>SUM(C72:C77)</f>
        <v>0</v>
      </c>
      <c r="D78" s="684">
        <f t="shared" ref="D78:H78" si="10">SUM(D76:D77)</f>
        <v>0</v>
      </c>
      <c r="E78" s="684">
        <f t="shared" si="10"/>
        <v>0</v>
      </c>
      <c r="F78" s="684">
        <f t="shared" si="10"/>
        <v>0</v>
      </c>
      <c r="G78" s="684">
        <f t="shared" si="10"/>
        <v>0</v>
      </c>
      <c r="H78" s="684">
        <f t="shared" si="10"/>
        <v>0</v>
      </c>
      <c r="I78" s="684">
        <f>SUM(I76:I77)</f>
        <v>0</v>
      </c>
      <c r="J78" s="684">
        <f>SUM(J76:J77)</f>
        <v>36232.941176470587</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43997.142857142855</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51761.344537815123</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43997.142857142855</v>
      </c>
      <c r="C90" s="683">
        <f>SUM(C87:C89)</f>
        <v>0</v>
      </c>
      <c r="D90" s="683">
        <f t="shared" ref="D90:H90" si="12">SUM(D87:D89)</f>
        <v>0</v>
      </c>
      <c r="E90" s="683">
        <f t="shared" si="12"/>
        <v>0</v>
      </c>
      <c r="F90" s="683">
        <f t="shared" si="12"/>
        <v>0</v>
      </c>
      <c r="G90" s="683">
        <f t="shared" si="12"/>
        <v>0</v>
      </c>
      <c r="H90" s="683">
        <f t="shared" si="12"/>
        <v>0</v>
      </c>
      <c r="I90" s="683">
        <f>SUM(I87:I89)</f>
        <v>0</v>
      </c>
      <c r="J90" s="683">
        <f>SUM(J87:J89)</f>
        <v>51761.344537815123</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21529.853001745858</v>
      </c>
      <c r="C4" s="441">
        <f>huishoudens!C8</f>
        <v>0</v>
      </c>
      <c r="D4" s="441">
        <f>huishoudens!D8</f>
        <v>57131.645543104001</v>
      </c>
      <c r="E4" s="441">
        <f>huishoudens!E8</f>
        <v>875.14936287582145</v>
      </c>
      <c r="F4" s="441">
        <f>huishoudens!F8</f>
        <v>23793.578930761516</v>
      </c>
      <c r="G4" s="441">
        <f>huishoudens!G8</f>
        <v>0</v>
      </c>
      <c r="H4" s="441">
        <f>huishoudens!H8</f>
        <v>0</v>
      </c>
      <c r="I4" s="441">
        <f>huishoudens!I8</f>
        <v>0</v>
      </c>
      <c r="J4" s="441">
        <f>huishoudens!J8</f>
        <v>438.796093782875</v>
      </c>
      <c r="K4" s="441">
        <f>huishoudens!K8</f>
        <v>0</v>
      </c>
      <c r="L4" s="441">
        <f>huishoudens!L8</f>
        <v>0</v>
      </c>
      <c r="M4" s="441">
        <f>huishoudens!M8</f>
        <v>0</v>
      </c>
      <c r="N4" s="441">
        <f>huishoudens!N8</f>
        <v>6677.4310533345788</v>
      </c>
      <c r="O4" s="441">
        <f>huishoudens!O8</f>
        <v>284.52666666666664</v>
      </c>
      <c r="P4" s="442">
        <f>huishoudens!P8</f>
        <v>858</v>
      </c>
      <c r="Q4" s="443">
        <f>SUM(B4:P4)</f>
        <v>111588.98065227133</v>
      </c>
    </row>
    <row r="5" spans="1:17">
      <c r="A5" s="440" t="s">
        <v>149</v>
      </c>
      <c r="B5" s="441">
        <f ca="1">tertiair!B16</f>
        <v>42974.387089440002</v>
      </c>
      <c r="C5" s="441">
        <f ca="1">tertiair!C16</f>
        <v>0</v>
      </c>
      <c r="D5" s="441">
        <f ca="1">tertiair!D16</f>
        <v>12966.209545859239</v>
      </c>
      <c r="E5" s="441">
        <f>tertiair!E16</f>
        <v>589.39592282107515</v>
      </c>
      <c r="F5" s="441">
        <f ca="1">tertiair!F16</f>
        <v>23921.502917209913</v>
      </c>
      <c r="G5" s="441">
        <f>tertiair!G16</f>
        <v>0</v>
      </c>
      <c r="H5" s="441">
        <f>tertiair!H16</f>
        <v>0</v>
      </c>
      <c r="I5" s="441">
        <f>tertiair!I16</f>
        <v>0</v>
      </c>
      <c r="J5" s="441">
        <f>tertiair!J16</f>
        <v>0.41547170478443973</v>
      </c>
      <c r="K5" s="441">
        <f>tertiair!K16</f>
        <v>0</v>
      </c>
      <c r="L5" s="441">
        <f ca="1">tertiair!L16</f>
        <v>0</v>
      </c>
      <c r="M5" s="441">
        <f>tertiair!M16</f>
        <v>0</v>
      </c>
      <c r="N5" s="441">
        <f ca="1">tertiair!N16</f>
        <v>14475.30711636763</v>
      </c>
      <c r="O5" s="441">
        <f>tertiair!O16</f>
        <v>7.8166666666666664</v>
      </c>
      <c r="P5" s="442">
        <f>tertiair!P16</f>
        <v>38.133333333333333</v>
      </c>
      <c r="Q5" s="440">
        <f t="shared" ref="Q5:Q14" ca="1" si="0">SUM(B5:P5)</f>
        <v>94973.168063402642</v>
      </c>
    </row>
    <row r="6" spans="1:17">
      <c r="A6" s="440" t="s">
        <v>187</v>
      </c>
      <c r="B6" s="441">
        <f>'openbare verlichting'!B8</f>
        <v>826.46299999999997</v>
      </c>
      <c r="C6" s="441"/>
      <c r="D6" s="441"/>
      <c r="E6" s="441"/>
      <c r="F6" s="441"/>
      <c r="G6" s="441"/>
      <c r="H6" s="441"/>
      <c r="I6" s="441"/>
      <c r="J6" s="441"/>
      <c r="K6" s="441"/>
      <c r="L6" s="441"/>
      <c r="M6" s="441"/>
      <c r="N6" s="441"/>
      <c r="O6" s="441"/>
      <c r="P6" s="442"/>
      <c r="Q6" s="440">
        <f t="shared" si="0"/>
        <v>826.46299999999997</v>
      </c>
    </row>
    <row r="7" spans="1:17">
      <c r="A7" s="440" t="s">
        <v>105</v>
      </c>
      <c r="B7" s="441">
        <f>landbouw!B8</f>
        <v>5442.0606780600001</v>
      </c>
      <c r="C7" s="441">
        <f>landbouw!C8</f>
        <v>43997.142857142855</v>
      </c>
      <c r="D7" s="441">
        <f>landbouw!D8</f>
        <v>1331.1488396536001</v>
      </c>
      <c r="E7" s="441">
        <f>landbouw!E8</f>
        <v>107.81190224451373</v>
      </c>
      <c r="F7" s="441">
        <f>landbouw!F8</f>
        <v>19845.660404718768</v>
      </c>
      <c r="G7" s="441">
        <f>landbouw!G8</f>
        <v>0</v>
      </c>
      <c r="H7" s="441">
        <f>landbouw!H8</f>
        <v>0</v>
      </c>
      <c r="I7" s="441">
        <f>landbouw!I8</f>
        <v>0</v>
      </c>
      <c r="J7" s="441">
        <f>landbouw!J8</f>
        <v>1292.1644606369127</v>
      </c>
      <c r="K7" s="441">
        <f>landbouw!K8</f>
        <v>0</v>
      </c>
      <c r="L7" s="441">
        <f>landbouw!L8</f>
        <v>0</v>
      </c>
      <c r="M7" s="441">
        <f>landbouw!M8</f>
        <v>0</v>
      </c>
      <c r="N7" s="441">
        <f>landbouw!N8</f>
        <v>0</v>
      </c>
      <c r="O7" s="441">
        <f>landbouw!O8</f>
        <v>0</v>
      </c>
      <c r="P7" s="442">
        <f>landbouw!P8</f>
        <v>0</v>
      </c>
      <c r="Q7" s="440">
        <f t="shared" si="0"/>
        <v>72015.989142456645</v>
      </c>
    </row>
    <row r="8" spans="1:17">
      <c r="A8" s="440" t="s">
        <v>600</v>
      </c>
      <c r="B8" s="441">
        <f>industrie!B18</f>
        <v>19143.961737990001</v>
      </c>
      <c r="C8" s="441">
        <f>industrie!C18</f>
        <v>0</v>
      </c>
      <c r="D8" s="441">
        <f>industrie!D18</f>
        <v>8131.8882591381607</v>
      </c>
      <c r="E8" s="441">
        <f>industrie!E18</f>
        <v>2173.0404908165797</v>
      </c>
      <c r="F8" s="441">
        <f>industrie!F18</f>
        <v>9333.4211994995785</v>
      </c>
      <c r="G8" s="441">
        <f>industrie!G18</f>
        <v>0</v>
      </c>
      <c r="H8" s="441">
        <f>industrie!H18</f>
        <v>0</v>
      </c>
      <c r="I8" s="441">
        <f>industrie!I18</f>
        <v>0</v>
      </c>
      <c r="J8" s="441">
        <f>industrie!J18</f>
        <v>130.43016772634024</v>
      </c>
      <c r="K8" s="441">
        <f>industrie!K18</f>
        <v>0</v>
      </c>
      <c r="L8" s="441">
        <f>industrie!L18</f>
        <v>0</v>
      </c>
      <c r="M8" s="441">
        <f>industrie!M18</f>
        <v>0</v>
      </c>
      <c r="N8" s="441">
        <f>industrie!N18</f>
        <v>1553.3607576503291</v>
      </c>
      <c r="O8" s="441">
        <f>industrie!O18</f>
        <v>0</v>
      </c>
      <c r="P8" s="442">
        <f>industrie!P18</f>
        <v>0</v>
      </c>
      <c r="Q8" s="440">
        <f t="shared" si="0"/>
        <v>40466.102612820992</v>
      </c>
    </row>
    <row r="9" spans="1:17" s="446" customFormat="1">
      <c r="A9" s="444" t="s">
        <v>549</v>
      </c>
      <c r="B9" s="445">
        <f>transport!B14</f>
        <v>21.227368886461306</v>
      </c>
      <c r="C9" s="445">
        <f>transport!C14</f>
        <v>0</v>
      </c>
      <c r="D9" s="445">
        <f>transport!D14</f>
        <v>31.926524959937748</v>
      </c>
      <c r="E9" s="445">
        <f>transport!E14</f>
        <v>157.4675749287409</v>
      </c>
      <c r="F9" s="445">
        <f>transport!F14</f>
        <v>0</v>
      </c>
      <c r="G9" s="445">
        <f>transport!G14</f>
        <v>80541.482235662785</v>
      </c>
      <c r="H9" s="445">
        <f>transport!H14</f>
        <v>11247.559390170345</v>
      </c>
      <c r="I9" s="445">
        <f>transport!I14</f>
        <v>0</v>
      </c>
      <c r="J9" s="445">
        <f>transport!J14</f>
        <v>0</v>
      </c>
      <c r="K9" s="445">
        <f>transport!K14</f>
        <v>0</v>
      </c>
      <c r="L9" s="445">
        <f>transport!L14</f>
        <v>0</v>
      </c>
      <c r="M9" s="445">
        <f>transport!M14</f>
        <v>2870.9099812768836</v>
      </c>
      <c r="N9" s="445">
        <f>transport!N14</f>
        <v>0</v>
      </c>
      <c r="O9" s="445">
        <f>transport!O14</f>
        <v>0</v>
      </c>
      <c r="P9" s="445">
        <f>transport!P14</f>
        <v>0</v>
      </c>
      <c r="Q9" s="444">
        <f>SUM(B9:P9)</f>
        <v>94870.573075885142</v>
      </c>
    </row>
    <row r="10" spans="1:17">
      <c r="A10" s="440" t="s">
        <v>539</v>
      </c>
      <c r="B10" s="441">
        <f>transport!B54</f>
        <v>4.1399167828349217</v>
      </c>
      <c r="C10" s="441">
        <f>transport!C54</f>
        <v>0</v>
      </c>
      <c r="D10" s="441">
        <f>transport!D54</f>
        <v>0</v>
      </c>
      <c r="E10" s="441">
        <f>transport!E54</f>
        <v>0</v>
      </c>
      <c r="F10" s="441">
        <f>transport!F54</f>
        <v>0</v>
      </c>
      <c r="G10" s="441">
        <f>transport!G54</f>
        <v>738.15592713245258</v>
      </c>
      <c r="H10" s="441">
        <f>transport!H54</f>
        <v>0</v>
      </c>
      <c r="I10" s="441">
        <f>transport!I54</f>
        <v>0</v>
      </c>
      <c r="J10" s="441">
        <f>transport!J54</f>
        <v>0</v>
      </c>
      <c r="K10" s="441">
        <f>transport!K54</f>
        <v>0</v>
      </c>
      <c r="L10" s="441">
        <f>transport!L54</f>
        <v>0</v>
      </c>
      <c r="M10" s="441">
        <f>transport!M54</f>
        <v>23.04236796104599</v>
      </c>
      <c r="N10" s="441">
        <f>transport!N54</f>
        <v>0</v>
      </c>
      <c r="O10" s="441">
        <f>transport!O54</f>
        <v>0</v>
      </c>
      <c r="P10" s="442">
        <f>transport!P54</f>
        <v>0</v>
      </c>
      <c r="Q10" s="440">
        <f t="shared" si="0"/>
        <v>765.3382118763335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1241.3060194000002</v>
      </c>
      <c r="C14" s="448"/>
      <c r="D14" s="448">
        <f>'SEAP template'!E25</f>
        <v>1750.5595697000001</v>
      </c>
      <c r="E14" s="448"/>
      <c r="F14" s="448"/>
      <c r="G14" s="448"/>
      <c r="H14" s="448"/>
      <c r="I14" s="448"/>
      <c r="J14" s="448"/>
      <c r="K14" s="448"/>
      <c r="L14" s="448"/>
      <c r="M14" s="448"/>
      <c r="N14" s="448"/>
      <c r="O14" s="448"/>
      <c r="P14" s="449"/>
      <c r="Q14" s="440">
        <f t="shared" si="0"/>
        <v>2991.8655891000003</v>
      </c>
    </row>
    <row r="15" spans="1:17" s="450" customFormat="1">
      <c r="A15" s="956" t="s">
        <v>543</v>
      </c>
      <c r="B15" s="896">
        <f ca="1">SUM(B4:B14)</f>
        <v>91183.398812305168</v>
      </c>
      <c r="C15" s="896">
        <f t="shared" ref="C15:Q15" ca="1" si="1">SUM(C4:C14)</f>
        <v>43997.142857142855</v>
      </c>
      <c r="D15" s="896">
        <f t="shared" ca="1" si="1"/>
        <v>81343.378282414938</v>
      </c>
      <c r="E15" s="896">
        <f t="shared" si="1"/>
        <v>3902.8652536867307</v>
      </c>
      <c r="F15" s="896">
        <f t="shared" ca="1" si="1"/>
        <v>76894.163452189765</v>
      </c>
      <c r="G15" s="896">
        <f t="shared" si="1"/>
        <v>81279.638162795236</v>
      </c>
      <c r="H15" s="896">
        <f t="shared" si="1"/>
        <v>11247.559390170345</v>
      </c>
      <c r="I15" s="896">
        <f t="shared" si="1"/>
        <v>0</v>
      </c>
      <c r="J15" s="896">
        <f t="shared" si="1"/>
        <v>1861.8061938509125</v>
      </c>
      <c r="K15" s="896">
        <f t="shared" si="1"/>
        <v>0</v>
      </c>
      <c r="L15" s="896">
        <f t="shared" ca="1" si="1"/>
        <v>0</v>
      </c>
      <c r="M15" s="896">
        <f t="shared" si="1"/>
        <v>2893.9523492379294</v>
      </c>
      <c r="N15" s="896">
        <f t="shared" ca="1" si="1"/>
        <v>22706.098927352541</v>
      </c>
      <c r="O15" s="896">
        <f t="shared" si="1"/>
        <v>292.34333333333331</v>
      </c>
      <c r="P15" s="896">
        <f t="shared" si="1"/>
        <v>896.13333333333333</v>
      </c>
      <c r="Q15" s="896">
        <f t="shared" ca="1" si="1"/>
        <v>418498.48034781305</v>
      </c>
    </row>
    <row r="17" spans="1:17">
      <c r="A17" s="451" t="s">
        <v>544</v>
      </c>
      <c r="B17" s="714">
        <f ca="1">huishoudens!B10</f>
        <v>5.6985521338458557E-2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1226.8898976448645</v>
      </c>
      <c r="C22" s="441">
        <f t="shared" ref="C22:C32" ca="1" si="3">C4*$C$17</f>
        <v>0</v>
      </c>
      <c r="D22" s="441">
        <f t="shared" ref="D22:D32" si="4">D4*$D$17</f>
        <v>11540.592399707009</v>
      </c>
      <c r="E22" s="441">
        <f t="shared" ref="E22:E32" si="5">E4*$E$17</f>
        <v>198.65890537281149</v>
      </c>
      <c r="F22" s="441">
        <f t="shared" ref="F22:F32" si="6">F4*$F$17</f>
        <v>6352.8855745133251</v>
      </c>
      <c r="G22" s="441">
        <f t="shared" ref="G22:G32" si="7">G4*$G$17</f>
        <v>0</v>
      </c>
      <c r="H22" s="441">
        <f t="shared" ref="H22:H32" si="8">H4*$H$17</f>
        <v>0</v>
      </c>
      <c r="I22" s="441">
        <f t="shared" ref="I22:I32" si="9">I4*$I$17</f>
        <v>0</v>
      </c>
      <c r="J22" s="441">
        <f t="shared" ref="J22:J32" si="10">J4*$J$17</f>
        <v>155.33381719913774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19474.360594437148</v>
      </c>
    </row>
    <row r="23" spans="1:17">
      <c r="A23" s="440" t="s">
        <v>149</v>
      </c>
      <c r="B23" s="441">
        <f t="shared" ca="1" si="2"/>
        <v>2448.9178524924614</v>
      </c>
      <c r="C23" s="441">
        <f t="shared" ca="1" si="3"/>
        <v>0</v>
      </c>
      <c r="D23" s="441">
        <f t="shared" ca="1" si="4"/>
        <v>2619.1743282635666</v>
      </c>
      <c r="E23" s="441">
        <f t="shared" si="5"/>
        <v>133.79287448038406</v>
      </c>
      <c r="F23" s="441">
        <f t="shared" ca="1" si="6"/>
        <v>6387.0412788950471</v>
      </c>
      <c r="G23" s="441">
        <f t="shared" si="7"/>
        <v>0</v>
      </c>
      <c r="H23" s="441">
        <f t="shared" si="8"/>
        <v>0</v>
      </c>
      <c r="I23" s="441">
        <f t="shared" si="9"/>
        <v>0</v>
      </c>
      <c r="J23" s="441">
        <f t="shared" si="10"/>
        <v>0.14707698349369167</v>
      </c>
      <c r="K23" s="441">
        <f t="shared" si="11"/>
        <v>0</v>
      </c>
      <c r="L23" s="441">
        <f t="shared" ca="1" si="12"/>
        <v>0</v>
      </c>
      <c r="M23" s="441">
        <f t="shared" si="13"/>
        <v>0</v>
      </c>
      <c r="N23" s="441">
        <f t="shared" ca="1" si="14"/>
        <v>0</v>
      </c>
      <c r="O23" s="441">
        <f t="shared" si="15"/>
        <v>0</v>
      </c>
      <c r="P23" s="442">
        <f t="shared" si="16"/>
        <v>0</v>
      </c>
      <c r="Q23" s="440">
        <f t="shared" ref="Q23:Q32" ca="1" si="17">SUM(B23:P23)</f>
        <v>11589.073411114952</v>
      </c>
    </row>
    <row r="24" spans="1:17">
      <c r="A24" s="440" t="s">
        <v>187</v>
      </c>
      <c r="B24" s="441">
        <f t="shared" ca="1" si="2"/>
        <v>47.096424921946472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47.096424921946472</v>
      </c>
    </row>
    <row r="25" spans="1:17">
      <c r="A25" s="440" t="s">
        <v>105</v>
      </c>
      <c r="B25" s="441">
        <f t="shared" ca="1" si="2"/>
        <v>310.11866489477438</v>
      </c>
      <c r="C25" s="441">
        <f t="shared" ca="1" si="3"/>
        <v>0</v>
      </c>
      <c r="D25" s="441">
        <f t="shared" si="4"/>
        <v>268.89206561002726</v>
      </c>
      <c r="E25" s="441">
        <f t="shared" si="5"/>
        <v>24.473301809504619</v>
      </c>
      <c r="F25" s="441">
        <f t="shared" si="6"/>
        <v>5298.7913280599114</v>
      </c>
      <c r="G25" s="441">
        <f t="shared" si="7"/>
        <v>0</v>
      </c>
      <c r="H25" s="441">
        <f t="shared" si="8"/>
        <v>0</v>
      </c>
      <c r="I25" s="441">
        <f t="shared" si="9"/>
        <v>0</v>
      </c>
      <c r="J25" s="441">
        <f t="shared" si="10"/>
        <v>457.42621906546708</v>
      </c>
      <c r="K25" s="441">
        <f t="shared" si="11"/>
        <v>0</v>
      </c>
      <c r="L25" s="441">
        <f t="shared" si="12"/>
        <v>0</v>
      </c>
      <c r="M25" s="441">
        <f t="shared" si="13"/>
        <v>0</v>
      </c>
      <c r="N25" s="441">
        <f t="shared" si="14"/>
        <v>0</v>
      </c>
      <c r="O25" s="441">
        <f t="shared" si="15"/>
        <v>0</v>
      </c>
      <c r="P25" s="442">
        <f t="shared" si="16"/>
        <v>0</v>
      </c>
      <c r="Q25" s="440">
        <f t="shared" ca="1" si="17"/>
        <v>6359.7015794396848</v>
      </c>
    </row>
    <row r="26" spans="1:17">
      <c r="A26" s="440" t="s">
        <v>600</v>
      </c>
      <c r="B26" s="441">
        <f t="shared" ca="1" si="2"/>
        <v>1090.9286401228633</v>
      </c>
      <c r="C26" s="441">
        <f t="shared" ca="1" si="3"/>
        <v>0</v>
      </c>
      <c r="D26" s="441">
        <f t="shared" si="4"/>
        <v>1642.6414283459085</v>
      </c>
      <c r="E26" s="441">
        <f t="shared" si="5"/>
        <v>493.28019141536362</v>
      </c>
      <c r="F26" s="441">
        <f t="shared" si="6"/>
        <v>2492.0234602663877</v>
      </c>
      <c r="G26" s="441">
        <f t="shared" si="7"/>
        <v>0</v>
      </c>
      <c r="H26" s="441">
        <f t="shared" si="8"/>
        <v>0</v>
      </c>
      <c r="I26" s="441">
        <f t="shared" si="9"/>
        <v>0</v>
      </c>
      <c r="J26" s="441">
        <f t="shared" si="10"/>
        <v>46.172279375124447</v>
      </c>
      <c r="K26" s="441">
        <f t="shared" si="11"/>
        <v>0</v>
      </c>
      <c r="L26" s="441">
        <f t="shared" si="12"/>
        <v>0</v>
      </c>
      <c r="M26" s="441">
        <f t="shared" si="13"/>
        <v>0</v>
      </c>
      <c r="N26" s="441">
        <f t="shared" si="14"/>
        <v>0</v>
      </c>
      <c r="O26" s="441">
        <f t="shared" si="15"/>
        <v>0</v>
      </c>
      <c r="P26" s="442">
        <f t="shared" si="16"/>
        <v>0</v>
      </c>
      <c r="Q26" s="440">
        <f t="shared" ca="1" si="17"/>
        <v>5765.0459995256469</v>
      </c>
    </row>
    <row r="27" spans="1:17" s="446" customFormat="1">
      <c r="A27" s="444" t="s">
        <v>549</v>
      </c>
      <c r="B27" s="708">
        <f t="shared" ca="1" si="2"/>
        <v>1.2096526826387721</v>
      </c>
      <c r="C27" s="445">
        <f t="shared" ca="1" si="3"/>
        <v>0</v>
      </c>
      <c r="D27" s="445">
        <f t="shared" si="4"/>
        <v>6.4491580419074257</v>
      </c>
      <c r="E27" s="445">
        <f t="shared" si="5"/>
        <v>35.745139508824188</v>
      </c>
      <c r="F27" s="445">
        <f t="shared" si="6"/>
        <v>0</v>
      </c>
      <c r="G27" s="445">
        <f t="shared" si="7"/>
        <v>21504.575756921964</v>
      </c>
      <c r="H27" s="445">
        <f t="shared" si="8"/>
        <v>2800.6422881524159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24348.621995307749</v>
      </c>
    </row>
    <row r="28" spans="1:17">
      <c r="A28" s="440" t="s">
        <v>539</v>
      </c>
      <c r="B28" s="441">
        <f t="shared" ca="1" si="2"/>
        <v>0.23591531616768213</v>
      </c>
      <c r="C28" s="441">
        <f t="shared" ca="1" si="3"/>
        <v>0</v>
      </c>
      <c r="D28" s="441">
        <f t="shared" si="4"/>
        <v>0</v>
      </c>
      <c r="E28" s="441">
        <f t="shared" si="5"/>
        <v>0</v>
      </c>
      <c r="F28" s="441">
        <f t="shared" si="6"/>
        <v>0</v>
      </c>
      <c r="G28" s="441">
        <f t="shared" si="7"/>
        <v>197.08763254436485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197.32354786053253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70.736470656075767</v>
      </c>
      <c r="C32" s="441">
        <f t="shared" ca="1" si="3"/>
        <v>0</v>
      </c>
      <c r="D32" s="441">
        <f t="shared" si="4"/>
        <v>353.61303307940005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424.34950373547582</v>
      </c>
    </row>
    <row r="33" spans="1:17" s="450" customFormat="1">
      <c r="A33" s="956" t="s">
        <v>543</v>
      </c>
      <c r="B33" s="896">
        <f ca="1">SUM(B22:B32)</f>
        <v>5196.1335187317927</v>
      </c>
      <c r="C33" s="896">
        <f t="shared" ref="C33:Q33" ca="1" si="18">SUM(C22:C32)</f>
        <v>0</v>
      </c>
      <c r="D33" s="896">
        <f t="shared" ca="1" si="18"/>
        <v>16431.36241304782</v>
      </c>
      <c r="E33" s="896">
        <f t="shared" si="18"/>
        <v>885.95041258688798</v>
      </c>
      <c r="F33" s="896">
        <f t="shared" ca="1" si="18"/>
        <v>20530.741641734672</v>
      </c>
      <c r="G33" s="896">
        <f t="shared" si="18"/>
        <v>21701.663389466328</v>
      </c>
      <c r="H33" s="896">
        <f t="shared" si="18"/>
        <v>2800.6422881524159</v>
      </c>
      <c r="I33" s="896">
        <f t="shared" si="18"/>
        <v>0</v>
      </c>
      <c r="J33" s="896">
        <f t="shared" si="18"/>
        <v>659.07939262322293</v>
      </c>
      <c r="K33" s="896">
        <f t="shared" si="18"/>
        <v>0</v>
      </c>
      <c r="L33" s="896">
        <f t="shared" ca="1" si="18"/>
        <v>0</v>
      </c>
      <c r="M33" s="896">
        <f t="shared" si="18"/>
        <v>0</v>
      </c>
      <c r="N33" s="896">
        <f t="shared" ca="1" si="18"/>
        <v>0</v>
      </c>
      <c r="O33" s="896">
        <f t="shared" si="18"/>
        <v>0</v>
      </c>
      <c r="P33" s="896">
        <f t="shared" si="18"/>
        <v>0</v>
      </c>
      <c r="Q33" s="896">
        <f t="shared" ca="1" si="18"/>
        <v>68205.573056343143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28398.00584985939</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8475.4765880937721</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30798</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36232.941176470587</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67671.482437953164</v>
      </c>
      <c r="C10" s="977">
        <f>SUM(C4:C9)</f>
        <v>0</v>
      </c>
      <c r="D10" s="977">
        <f t="shared" ref="D10:H10" si="0">SUM(D8:D9)</f>
        <v>0</v>
      </c>
      <c r="E10" s="977">
        <f t="shared" si="0"/>
        <v>0</v>
      </c>
      <c r="F10" s="977">
        <f t="shared" si="0"/>
        <v>0</v>
      </c>
      <c r="G10" s="977">
        <f t="shared" si="0"/>
        <v>0</v>
      </c>
      <c r="H10" s="977">
        <f t="shared" si="0"/>
        <v>0</v>
      </c>
      <c r="I10" s="977">
        <f>SUM(I8:I9)</f>
        <v>0</v>
      </c>
      <c r="J10" s="977">
        <f>SUM(J8:J9)</f>
        <v>36232.941176470587</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5.6985521338458557E-2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43997.142857142855</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51761.344537815123</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43997.142857142855</v>
      </c>
      <c r="C20" s="977">
        <f>SUM(C17:C19)</f>
        <v>0</v>
      </c>
      <c r="D20" s="977">
        <f t="shared" ref="D20:H20" si="2">SUM(D17:D19)</f>
        <v>0</v>
      </c>
      <c r="E20" s="977">
        <f t="shared" si="2"/>
        <v>0</v>
      </c>
      <c r="F20" s="977">
        <f t="shared" si="2"/>
        <v>0</v>
      </c>
      <c r="G20" s="977">
        <f t="shared" si="2"/>
        <v>0</v>
      </c>
      <c r="H20" s="977">
        <f t="shared" si="2"/>
        <v>0</v>
      </c>
      <c r="I20" s="977">
        <f>SUM(I17:I19)</f>
        <v>0</v>
      </c>
      <c r="J20" s="977">
        <f>SUM(J17:J19)</f>
        <v>51761.344537815123</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5.6985521338458557E-2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2022-07-26T10:58:47Z</dcterms:modified>
</cp:coreProperties>
</file>