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AE18567-7C45-4390-AABF-D2A5B879B0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66" i="18"/>
  <c r="V66" i="18"/>
  <c r="U66" i="18"/>
  <c r="T66" i="18"/>
  <c r="S66" i="18"/>
  <c r="R66" i="18"/>
  <c r="Q66" i="18"/>
  <c r="P66" i="18"/>
  <c r="O66" i="18"/>
  <c r="N66" i="18"/>
  <c r="M66" i="18"/>
  <c r="W65" i="18"/>
  <c r="V65" i="18"/>
  <c r="U65" i="18"/>
  <c r="T65" i="18"/>
  <c r="S65" i="18"/>
  <c r="R65" i="18"/>
  <c r="Q65" i="18"/>
  <c r="P65" i="18"/>
  <c r="O65" i="18"/>
  <c r="N65" i="18"/>
  <c r="M65" i="18"/>
  <c r="W64" i="18"/>
  <c r="V64" i="18"/>
  <c r="U64" i="18"/>
  <c r="T64" i="18"/>
  <c r="S64" i="18"/>
  <c r="R64" i="18"/>
  <c r="Q64" i="18"/>
  <c r="P64" i="18"/>
  <c r="O64" i="18"/>
  <c r="N64" i="18"/>
  <c r="M64" i="18"/>
  <c r="W63" i="18"/>
  <c r="H9" i="18"/>
  <c r="M77" i="14"/>
  <c r="M9" i="59"/>
  <c r="V63" i="18"/>
  <c r="U63" i="18"/>
  <c r="T63" i="18"/>
  <c r="S63" i="18"/>
  <c r="E9" i="18"/>
  <c r="F77" i="14"/>
  <c r="F9" i="59"/>
  <c r="R63" i="18"/>
  <c r="Q63" i="18"/>
  <c r="P63" i="18"/>
  <c r="C9" i="18"/>
  <c r="D77" i="14"/>
  <c r="D9" i="59"/>
  <c r="O63" i="18"/>
  <c r="N63" i="18"/>
  <c r="B9" i="18"/>
  <c r="M63" i="18"/>
  <c r="W59" i="18"/>
  <c r="V59" i="18"/>
  <c r="U59" i="18"/>
  <c r="T59" i="18"/>
  <c r="S59" i="18"/>
  <c r="R59" i="18"/>
  <c r="Q59" i="18"/>
  <c r="P59" i="18"/>
  <c r="O59" i="18"/>
  <c r="N59" i="18"/>
  <c r="M59" i="18"/>
  <c r="W58" i="18"/>
  <c r="V58" i="18"/>
  <c r="U58" i="18"/>
  <c r="T58" i="18"/>
  <c r="S58" i="18"/>
  <c r="F13" i="15"/>
  <c r="R58" i="18"/>
  <c r="Q58" i="18"/>
  <c r="P58" i="18"/>
  <c r="O58" i="18"/>
  <c r="C13" i="15"/>
  <c r="N58" i="18"/>
  <c r="B13" i="15"/>
  <c r="M58" i="18"/>
  <c r="W57" i="18"/>
  <c r="V57" i="18"/>
  <c r="U57" i="18"/>
  <c r="T57" i="18"/>
  <c r="S57" i="18"/>
  <c r="R57" i="18"/>
  <c r="Q57" i="18"/>
  <c r="P57" i="18"/>
  <c r="O57" i="18"/>
  <c r="N57" i="18"/>
  <c r="M57" i="18"/>
  <c r="W56" i="18"/>
  <c r="V56" i="18"/>
  <c r="U56" i="18"/>
  <c r="T56" i="18"/>
  <c r="S56" i="18"/>
  <c r="R56" i="18"/>
  <c r="Q56" i="18"/>
  <c r="P56" i="18"/>
  <c r="O56" i="18"/>
  <c r="N56" i="18"/>
  <c r="B8" i="18"/>
  <c r="M56"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72" i="18"/>
  <c r="I9" i="18"/>
  <c r="I77" i="14"/>
  <c r="I9" i="59"/>
  <c r="B17" i="18"/>
  <c r="B20" i="18"/>
  <c r="C6" i="17"/>
  <c r="E10" i="59"/>
  <c r="G77" i="14"/>
  <c r="G9" i="59"/>
  <c r="G10" i="59"/>
  <c r="J9" i="18"/>
  <c r="J77" i="14"/>
  <c r="J9" i="59"/>
  <c r="E20" i="59"/>
  <c r="C72" i="18"/>
  <c r="I75"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75" i="18"/>
  <c r="I76" i="18"/>
  <c r="H17" i="18"/>
  <c r="E76" i="18"/>
  <c r="E17" i="18"/>
  <c r="H76" i="18"/>
  <c r="D76" i="18"/>
  <c r="G76" i="18"/>
  <c r="C76" i="18"/>
  <c r="F76" i="18"/>
  <c r="B76" i="18"/>
  <c r="C17" i="18"/>
  <c r="Q14" i="48"/>
  <c r="O24" i="48"/>
  <c r="O30" i="48"/>
  <c r="P24" i="48"/>
  <c r="P30" i="48"/>
  <c r="E78" i="14"/>
  <c r="E90" i="14"/>
  <c r="N78" i="14"/>
  <c r="B75" i="18"/>
  <c r="C8" i="18"/>
  <c r="C10" i="18"/>
  <c r="Q77" i="14"/>
  <c r="P9" i="59"/>
  <c r="O9" i="18"/>
  <c r="G78" i="14"/>
  <c r="C77" i="14"/>
  <c r="C9" i="59"/>
  <c r="F75" i="18"/>
  <c r="G75" i="18"/>
  <c r="I8" i="18"/>
  <c r="H75" i="18"/>
  <c r="C75" i="18"/>
  <c r="E75"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<sst xmlns="http://schemas.openxmlformats.org/spreadsheetml/2006/main" count="2546" uniqueCount="892">
  <si>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</si>
  <si>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</si>
  <si>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</si>
  <si>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</si>
  <si>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</si>
  <si>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</si>
  <si>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</si>
  <si>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</si>
  <si>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</si>
  <si>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</si>
  <si>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</si>
  <si>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</si>
  <si>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</si>
  <si>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</si>
  <si>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</si>
  <si>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</si>
  <si>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</si>
  <si>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</si>
  <si>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</si>
  <si>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</si>
  <si>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</si>
  <si>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</si>
  <si>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</si>
  <si>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</si>
  <si>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</si>
  <si>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</si>
  <si>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</si>
  <si>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</si>
  <si>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</si>
  <si>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</si>
  <si>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</si>
  <si>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</si>
  <si>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</si>
  <si>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</si>
  <si>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</si>
  <si>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</si>
  <si>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</si>
  <si>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</si>
  <si>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</si>
  <si>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</si>
  <si>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</si>
  <si>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</si>
  <si>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</si>
  <si>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</si>
  <si>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</si>
  <si>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</si>
  <si>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</si>
  <si>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</si>
  <si>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</si>
  <si>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</si>
  <si>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</si>
  <si>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</si>
  <si>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</si>
  <si>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</si>
  <si>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</si>
  <si>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</si>
  <si>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</si>
  <si>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</si>
  <si>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</si>
  <si>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</si>
  <si>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</si>
  <si>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</si>
  <si>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</si>
  <si>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</si>
  <si>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</si>
  <si>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</si>
  <si>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</si>
  <si>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</si>
  <si>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</si>
  <si>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</si>
  <si>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</si>
  <si>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</si>
  <si>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</si>
  <si>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</si>
  <si>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</si>
  <si>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</si>
  <si>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</si>
  <si>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</si>
  <si>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</si>
  <si>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</si>
  <si>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</si>
  <si>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</si>
  <si>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</si>
  <si>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</si>
  <si>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</si>
  <si>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</si>
  <si>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</si>
  <si>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</si>
  <si>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</si>
  <si>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</si>
  <si>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</si>
  <si>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</si>
  <si>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</si>
  <si>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</si>
  <si>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</si>
  <si>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</si>
  <si>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</si>
  <si>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</si>
  <si>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</si>
  <si>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</si>
  <si>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</si>
  <si>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</si>
  <si>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</si>
  <si>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</si>
  <si>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</si>
  <si>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</si>
  <si>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</si>
  <si>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</si>
  <si>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</si>
  <si>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</si>
  <si>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</si>
  <si>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</si>
  <si>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</si>
  <si>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</si>
  <si>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</si>
  <si>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</si>
  <si>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</si>
  <si>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</si>
  <si>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</si>
  <si>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</si>
  <si>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</si>
  <si>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</si>
  <si>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</si>
  <si>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</si>
  <si>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</si>
  <si>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</si>
  <si>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</si>
  <si>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</si>
  <si>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</si>
  <si>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</si>
  <si>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</si>
  <si>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</si>
  <si>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</si>
  <si>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</si>
  <si>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</si>
  <si>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</si>
  <si>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</si>
  <si>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</si>
  <si>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</si>
  <si>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</si>
  <si>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</si>
  <si>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</si>
  <si>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</si>
  <si>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</si>
  <si>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</si>
  <si>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</si>
  <si>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</si>
  <si>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</si>
  <si>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</si>
  <si>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</si>
  <si>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</si>
  <si>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</si>
  <si>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</si>
  <si>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</si>
  <si>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</si>
  <si>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</si>
  <si>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</si>
  <si>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</si>
  <si>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</si>
  <si>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</si>
  <si>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</si>
  <si>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</si>
  <si>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</si>
  <si>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</si>
  <si>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</si>
  <si>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</si>
  <si>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</si>
  <si>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</si>
  <si>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</si>
  <si>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</si>
  <si>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</si>
  <si>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</si>
  <si>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</si>
  <si>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</si>
  <si>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</si>
  <si>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</si>
  <si>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</si>
  <si>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</si>
  <si>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</si>
  <si>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</si>
  <si>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</si>
  <si>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</si>
  <si>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</si>
  <si>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</si>
  <si>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</si>
  <si>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</si>
  <si>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</si>
  <si>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</si>
  <si>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</si>
  <si>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</si>
  <si>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</si>
  <si>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</si>
  <si>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</si>
  <si>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</si>
  <si>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</si>
  <si>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</si>
  <si>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</si>
  <si>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</si>
  <si>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</si>
  <si>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</si>
  <si>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</si>
  <si>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</si>
  <si>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</si>
  <si>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</si>
  <si>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</si>
  <si>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</si>
  <si>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</si>
  <si>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</si>
  <si>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</si>
  <si>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</si>
  <si>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</si>
  <si>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</si>
  <si>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</si>
  <si>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</si>
  <si>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</si>
  <si>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</si>
  <si>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</si>
  <si>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</si>
  <si>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</si>
  <si>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</si>
  <si>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</si>
  <si>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</si>
  <si>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</si>
  <si>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</si>
  <si>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</si>
  <si>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</si>
  <si>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</si>
  <si>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</si>
  <si>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</si>
  <si>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</si>
  <si>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</si>
  <si>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</si>
  <si>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</si>
  <si>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</si>
  <si>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</si>
  <si>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</si>
  <si>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</si>
  <si>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</si>
  <si>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</si>
  <si>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</si>
  <si>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</si>
  <si>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</si>
  <si>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</si>
  <si>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</si>
  <si>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</si>
  <si>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</si>
  <si>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</si>
  <si>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</si>
  <si>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</si>
  <si>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</si>
  <si>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</si>
  <si>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</si>
  <si>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</si>
  <si>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</si>
  <si>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</si>
  <si>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</si>
  <si>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</si>
  <si>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</si>
  <si>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</si>
  <si>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</si>
  <si>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</si>
  <si>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</si>
  <si>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</si>
  <si>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</si>
  <si>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</si>
  <si>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</si>
  <si>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</si>
  <si>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</si>
  <si>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</si>
  <si>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</si>
  <si>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</si>
  <si>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</si>
  <si>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</si>
  <si>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</si>
  <si>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</si>
  <si>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</si>
  <si>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</si>
  <si>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</si>
  <si>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</si>
  <si>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</si>
  <si>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</si>
  <si>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</si>
  <si>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</si>
  <si>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</si>
  <si>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</si>
  <si>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</si>
  <si>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</si>
  <si>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</si>
  <si>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</si>
  <si>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</si>
  <si>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</si>
  <si>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</si>
  <si>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</si>
  <si>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</si>
  <si>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</si>
  <si>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</si>
  <si>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</si>
  <si>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</si>
  <si>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</si>
  <si>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</si>
  <si>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</si>
  <si>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</si>
  <si>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</si>
  <si>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</si>
  <si>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</si>
  <si>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</si>
  <si>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</si>
  <si>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</si>
  <si>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</si>
  <si>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</si>
  <si>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</si>
  <si>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</si>
  <si>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</si>
  <si>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</si>
  <si>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</si>
  <si>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</si>
  <si>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</si>
  <si>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</si>
  <si>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</si>
  <si>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</si>
  <si>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</si>
  <si>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</si>
  <si>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</si>
  <si>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</si>
  <si>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</si>
  <si>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</si>
  <si>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</si>
  <si>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</si>
  <si>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</si>
  <si>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</si>
  <si>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</si>
  <si>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</si>
  <si>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</si>
  <si>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</si>
  <si>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</si>
  <si>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</si>
  <si>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</si>
  <si>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</si>
  <si>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</si>
  <si>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</si>
  <si>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</si>
  <si>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</si>
  <si>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</si>
  <si>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</si>
  <si>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</si>
  <si>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</si>
  <si>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</si>
  <si>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</si>
  <si>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</si>
  <si>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</si>
  <si>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</si>
  <si>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</si>
  <si>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</si>
  <si>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</si>
  <si>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</si>
  <si>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</si>
  <si>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</si>
  <si>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</si>
  <si>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</si>
  <si>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</si>
  <si>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</si>
  <si>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</si>
  <si>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</si>
  <si>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</si>
  <si>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</si>
  <si>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</si>
  <si>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</si>
  <si>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</si>
  <si>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</si>
  <si>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</si>
  <si>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</si>
  <si>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</si>
  <si>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</si>
  <si>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</si>
  <si>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</si>
  <si>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</si>
  <si>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</si>
  <si>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</si>
  <si>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</si>
  <si>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</si>
  <si>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</si>
  <si>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</si>
  <si>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</si>
  <si>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</si>
  <si>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</si>
  <si>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</si>
  <si>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</si>
  <si>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</si>
  <si>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</si>
  <si>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</si>
  <si>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</si>
  <si>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</si>
  <si>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</si>
  <si>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</si>
  <si>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</si>
  <si>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</si>
  <si>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</si>
  <si>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</si>
  <si>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</si>
  <si>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</si>
  <si>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</si>
  <si>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</si>
  <si>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</si>
  <si>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</si>
  <si>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</si>
  <si>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</si>
  <si>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</si>
  <si>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</si>
  <si>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</si>
  <si>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</si>
  <si>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</si>
  <si>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</si>
  <si>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</si>
  <si>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</si>
  <si>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</si>
  <si>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</si>
  <si>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</si>
  <si>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</si>
  <si>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</si>
  <si>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</si>
  <si>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</si>
  <si>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</si>
  <si>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</si>
  <si>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</si>
  <si>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</si>
  <si>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</si>
  <si>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</si>
  <si>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</si>
  <si>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</si>
  <si>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</si>
  <si>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</si>
  <si>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</si>
  <si>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</si>
  <si>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</si>
  <si>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</si>
  <si>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</si>
  <si>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</si>
  <si>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</si>
  <si>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</si>
  <si>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</si>
  <si>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</si>
  <si>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</si>
  <si>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</si>
  <si>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</si>
  <si>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</si>
  <si>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</si>
  <si>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</si>
  <si>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</si>
  <si>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</si>
  <si>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</si>
  <si>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</si>
  <si>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</si>
  <si>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</si>
  <si>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</si>
  <si>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</si>
  <si>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</si>
  <si>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</si>
  <si>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</si>
  <si>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</si>
  <si>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</si>
  <si>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</si>
  <si>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</si>
  <si>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</si>
  <si>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</si>
  <si>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</si>
  <si>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</si>
  <si>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</si>
  <si>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</si>
  <si>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</si>
  <si>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</si>
  <si>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</si>
  <si>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</si>
  <si>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</si>
  <si>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</si>
  <si>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</si>
  <si>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</si>
  <si>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</si>
  <si>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</si>
  <si>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</si>
  <si>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</si>
  <si>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</si>
  <si>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</si>
  <si>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</si>
  <si>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</si>
  <si>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</si>
  <si>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</si>
  <si>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</si>
  <si>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</si>
  <si>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</si>
  <si>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</si>
  <si>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</si>
  <si>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</si>
  <si>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</si>
  <si>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</si>
  <si>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</si>
  <si>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</si>
  <si>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</si>
  <si>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</si>
  <si>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</si>
  <si>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</si>
  <si>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</si>
  <si>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</si>
  <si>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</si>
  <si>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</si>
  <si>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</si>
  <si>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</si>
  <si>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</si>
  <si>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</si>
  <si>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</si>
  <si>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</si>
  <si>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</si>
  <si>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</si>
  <si>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</si>
  <si>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</si>
  <si>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</si>
  <si>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</si>
  <si>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</si>
  <si>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</si>
  <si>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</si>
  <si>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</si>
  <si>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</si>
  <si>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</si>
  <si>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</si>
  <si>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</si>
  <si>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</si>
  <si>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</si>
  <si>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</si>
  <si>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</si>
  <si>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</si>
  <si>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</si>
  <si>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</si>
  <si>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</si>
  <si>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</si>
  <si>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</si>
  <si>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</si>
  <si>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</si>
  <si>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</si>
  <si>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</si>
  <si>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</si>
  <si>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</si>
  <si>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</si>
  <si>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</si>
  <si>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</si>
  <si>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</si>
  <si>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</si>
  <si>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</si>
  <si>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</si>
  <si>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</si>
  <si>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</si>
  <si>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</si>
  <si>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</si>
  <si>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</si>
  <si>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</si>
  <si>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</si>
  <si>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</si>
  <si>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</si>
  <si>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</si>
  <si>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</si>
  <si>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</si>
  <si>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</si>
  <si>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</si>
  <si>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</si>
  <si>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</si>
  <si>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</si>
  <si>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</si>
  <si>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</si>
  <si>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</si>
  <si>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</si>
  <si>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</si>
  <si>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</si>
  <si>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</si>
  <si>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</si>
  <si>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</si>
  <si>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</si>
  <si>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</si>
  <si>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</si>
  <si>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</si>
  <si>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</si>
  <si>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</si>
  <si>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</si>
  <si>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</si>
  <si>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</si>
  <si>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</si>
  <si>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</si>
  <si>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</si>
  <si>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</si>
  <si>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</si>
  <si>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</si>
  <si>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</si>
  <si>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</si>
  <si>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</si>
  <si>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</si>
  <si>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</si>
  <si>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</si>
  <si>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</si>
  <si>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</si>
  <si>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</si>
  <si>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</si>
  <si>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</si>
  <si>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</si>
  <si>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</si>
  <si>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</si>
  <si>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</si>
  <si>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</si>
  <si>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</si>
  <si>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</si>
  <si>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</si>
  <si>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</si>
  <si>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</si>
  <si>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</si>
  <si>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</si>
  <si>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</si>
  <si>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</si>
  <si>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</si>
  <si>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</si>
  <si>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</si>
  <si>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</si>
  <si>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</si>
  <si>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</si>
  <si>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</si>
  <si>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</si>
  <si>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</si>
  <si>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</si>
  <si>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</si>
  <si>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</si>
  <si>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</si>
  <si>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</si>
  <si>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</si>
  <si>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</si>
  <si>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</si>
  <si>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</si>
  <si>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</si>
  <si>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</si>
  <si>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</si>
  <si>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</si>
  <si>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</si>
  <si>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</si>
  <si>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</si>
  <si>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</si>
  <si>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</si>
  <si>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</si>
  <si>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</si>
  <si>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</si>
  <si>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</si>
  <si>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</si>
  <si>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</si>
  <si>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</si>
  <si>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</si>
  <si>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</si>
  <si>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</si>
  <si>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</si>
  <si>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</si>
  <si>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</si>
  <si>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</si>
  <si>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</si>
  <si>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</si>
  <si>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</si>
  <si>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</si>
  <si>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</si>
  <si>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</si>
  <si>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</si>
  <si>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</si>
  <si>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</si>
  <si>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</si>
  <si>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</si>
  <si>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</si>
  <si>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</si>
  <si>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</si>
  <si>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</si>
  <si>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</si>
  <si>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</si>
  <si>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</si>
  <si>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</si>
  <si>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</si>
  <si>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</si>
  <si>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</si>
  <si>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</si>
  <si>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</si>
  <si>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</si>
  <si>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</si>
  <si>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</si>
  <si>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</si>
  <si>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</si>
  <si>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</si>
  <si>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</si>
  <si>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</si>
  <si>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</si>
  <si>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</si>
  <si>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</si>
  <si>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</si>
  <si>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</si>
  <si>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</si>
  <si>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</si>
  <si>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</si>
  <si>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</si>
  <si>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</si>
  <si>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</si>
  <si>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</si>
  <si>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</si>
  <si>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</si>
  <si>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</si>
  <si>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</si>
  <si>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</si>
  <si>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</si>
  <si>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</si>
  <si>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</si>
  <si>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</si>
  <si>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</si>
  <si>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</si>
  <si>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</si>
  <si>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</si>
  <si>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</si>
  <si>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</si>
  <si>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</si>
  <si>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</si>
  <si>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</si>
  <si>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</si>
  <si>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</si>
  <si>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</si>
  <si>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</si>
  <si>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</si>
  <si>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</si>
  <si>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</si>
  <si>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</si>
  <si>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</si>
  <si>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</si>
  <si>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</si>
  <si>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</si>
  <si>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</si>
  <si>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</si>
  <si>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</si>
  <si>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</si>
  <si>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</si>
  <si>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</si>
  <si>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</si>
  <si>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</si>
  <si>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</si>
  <si>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</si>
  <si>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</si>
  <si>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</si>
  <si>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</si>
  <si>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</si>
  <si>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</si>
  <si>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</si>
  <si>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</si>
  <si>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</si>
  <si>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</si>
  <si>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</si>
  <si>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</si>
  <si>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</si>
  <si>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</si>
  <si>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</si>
  <si>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</si>
  <si>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</si>
  <si>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</si>
  <si>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</si>
  <si>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</si>
  <si>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</si>
  <si>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</si>
  <si>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</si>
  <si>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</si>
  <si>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</si>
  <si>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</si>
  <si>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</si>
  <si>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</si>
  <si>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</si>
  <si>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</si>
  <si>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</si>
  <si>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</si>
  <si>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</si>
  <si>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</si>
  <si>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</si>
  <si>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</si>
  <si>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</si>
  <si>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</si>
  <si>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</si>
  <si>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</si>
  <si>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</si>
  <si>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</si>
  <si>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</si>
  <si>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</si>
  <si>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</si>
  <si>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</si>
  <si>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</si>
  <si>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</si>
  <si>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</si>
  <si>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</si>
  <si>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</si>
  <si>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</si>
  <si>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</si>
  <si>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</si>
  <si>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</si>
  <si>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</si>
  <si>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</si>
  <si>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</si>
  <si>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</si>
  <si>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</si>
  <si>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</si>
  <si>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</si>
  <si>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</si>
  <si>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</si>
  <si>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</si>
  <si>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</si>
  <si>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</si>
  <si>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</si>
  <si>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</si>
  <si>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</si>
  <si>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</si>
  <si>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</si>
  <si>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</si>
  <si>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</si>
  <si>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</si>
  <si>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</si>
  <si>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</si>
  <si>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</si>
  <si>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</si>
  <si>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</si>
  <si>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</si>
  <si>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</si>
  <si>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</si>
  <si>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</si>
  <si>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</si>
  <si>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</si>
  <si>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</si>
  <si>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</si>
  <si>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</si>
  <si>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</si>
  <si>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</si>
  <si>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</si>
  <si>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</si>
  <si>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</si>
  <si>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</si>
  <si>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</si>
  <si>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</si>
  <si>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</si>
  <si>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</si>
  <si>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</si>
  <si>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</si>
  <si>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</si>
  <si>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</si>
  <si>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</si>
  <si>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</si>
  <si>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</si>
  <si>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</si>
  <si>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</si>
  <si>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</si>
  <si>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</si>
  <si>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</si>
  <si>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</si>
  <si>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</si>
  <si>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</si>
  <si>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</si>
  <si>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</si>
  <si>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</si>
  <si>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</si>
  <si>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</si>
  <si>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</si>
  <si>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</si>
  <si>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</si>
  <si>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</si>
  <si>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</si>
  <si>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</si>
  <si>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</si>
  <si>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</si>
  <si>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</si>
  <si>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</si>
  <si>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</si>
  <si>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</si>
  <si>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</si>
  <si>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</si>
  <si>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</si>
  <si>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</si>
  <si>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</si>
  <si>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</si>
  <si>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</si>
  <si>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</si>
  <si>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</si>
  <si>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</si>
  <si>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</si>
  <si>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</si>
  <si>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</si>
  <si>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</si>
  <si>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12035</t>
  </si>
  <si>
    <t>SINT-KATELIJNE-WAVER</t>
  </si>
  <si>
    <t>Paarden&amp;pony's 200 - 600 kg</t>
  </si>
  <si>
    <t>Paarden&amp;pony's &lt; 200 kg</t>
  </si>
  <si>
    <t>vloeibaar gas (MWh)</t>
  </si>
  <si>
    <t>interne verbrandingsmotor</t>
  </si>
  <si>
    <t>WKK interne verbrandinsgmotor (vloeibaar)</t>
  </si>
  <si>
    <t>IVERLEK</t>
  </si>
  <si>
    <t>WKK interne verbrandinsgmotor (gas)</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</si>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</sst>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044B8C1-CE39-47D7-9D5E-A1DBDFC873F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170574.03914694951</c:v>
                </c:pt>
                <c:pt idx="1">
                  <c:v>111582.07800269767</c:v>
                </c:pt>
                <c:pt idx="2">
                  <c:v>1496.998</c:v>
                </c:pt>
                <c:pt idx="3">
                  <c:v>276460.67930064967</c:v>
                </c:pt>
                <c:pt idx="4">
                  <c:v>15149.739525987323</c:v>
                </c:pt>
                <c:pt idx="5">
                  <c:v>70062.346115146443</c:v>
                </c:pt>
                <c:pt idx="6">
                  <c:v>2482.4172722080316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170574.03914694951</c:v>
                </c:pt>
                <c:pt idx="1">
                  <c:v>111582.07800269767</c:v>
                </c:pt>
                <c:pt idx="2">
                  <c:v>1496.998</c:v>
                </c:pt>
                <c:pt idx="3">
                  <c:v>276460.67930064967</c:v>
                </c:pt>
                <c:pt idx="4">
                  <c:v>15149.739525987323</c:v>
                </c:pt>
                <c:pt idx="5">
                  <c:v>70062.346115146443</c:v>
                </c:pt>
                <c:pt idx="6">
                  <c:v>2482.4172722080316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35238.865372550543</c:v>
                </c:pt>
                <c:pt idx="2">
                  <c:v>23578.371013211767</c:v>
                </c:pt>
                <c:pt idx="3">
                  <c:v>314.46402143133179</c:v>
                </c:pt>
                <c:pt idx="4">
                  <c:v>61532.019157734634</c:v>
                </c:pt>
                <c:pt idx="5">
                  <c:v>3146.4473994612658</c:v>
                </c:pt>
                <c:pt idx="6">
                  <c:v>17920.151045269977</c:v>
                </c:pt>
                <c:pt idx="7">
                  <c:v>642.08549120265855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35238.865372550543</c:v>
                </c:pt>
                <c:pt idx="2">
                  <c:v>23578.371013211767</c:v>
                </c:pt>
                <c:pt idx="3">
                  <c:v>314.46402143133179</c:v>
                </c:pt>
                <c:pt idx="4">
                  <c:v>61532.019157734634</c:v>
                </c:pt>
                <c:pt idx="5">
                  <c:v>3146.4473994612658</c:v>
                </c:pt>
                <c:pt idx="6">
                  <c:v>17920.151045269977</c:v>
                </c:pt>
                <c:pt idx="7">
                  <c:v>642.08549120265855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12035</v>
      </c>
      <c r="B6" s="380"/>
      <c r="C6" s="381"/>
    </row>
    <row r="7" spans="1:7" s="378" customFormat="1" ht="15.75" customHeight="1">
      <c r="A7" s="382" t="str">
        <f>txtMunicipality</f>
        <v>SINT-KATELIJNE-WAVER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0.21006308721276301</v>
      </c>
      <c r="C17" s="488">
        <f ca="1">'EF ele_warmte'!B22</f>
        <v>0.22224334193648712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0.21006308721276301</v>
      </c>
      <c r="C29" s="489">
        <f ca="1">'EF ele_warmte'!B22</f>
        <v>0.22224334193648712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7946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1221.69</v>
      </c>
      <c r="C14" s="322"/>
      <c r="D14" s="322"/>
      <c r="E14" s="322"/>
      <c r="F14" s="322"/>
    </row>
    <row r="15" spans="1:6">
      <c r="A15" s="1248" t="s">
        <v>177</v>
      </c>
      <c r="B15" s="1249">
        <v>3</v>
      </c>
      <c r="C15" s="322"/>
      <c r="D15" s="322"/>
      <c r="E15" s="322"/>
      <c r="F15" s="322"/>
    </row>
    <row r="16" spans="1:6">
      <c r="A16" s="1248" t="s">
        <v>6</v>
      </c>
      <c r="B16" s="1249">
        <v>383</v>
      </c>
      <c r="C16" s="322"/>
      <c r="D16" s="322"/>
      <c r="E16" s="322"/>
      <c r="F16" s="322"/>
    </row>
    <row r="17" spans="1:6">
      <c r="A17" s="1248" t="s">
        <v>7</v>
      </c>
      <c r="B17" s="1249">
        <v>200</v>
      </c>
      <c r="C17" s="322"/>
      <c r="D17" s="322"/>
      <c r="E17" s="322"/>
      <c r="F17" s="322"/>
    </row>
    <row r="18" spans="1:6">
      <c r="A18" s="1248" t="s">
        <v>8</v>
      </c>
      <c r="B18" s="1249">
        <v>336</v>
      </c>
      <c r="C18" s="322"/>
      <c r="D18" s="322"/>
      <c r="E18" s="322"/>
      <c r="F18" s="322"/>
    </row>
    <row r="19" spans="1:6">
      <c r="A19" s="1248" t="s">
        <v>9</v>
      </c>
      <c r="B19" s="1249">
        <v>266</v>
      </c>
      <c r="C19" s="322"/>
      <c r="D19" s="322"/>
      <c r="E19" s="322"/>
      <c r="F19" s="322"/>
    </row>
    <row r="20" spans="1:6">
      <c r="A20" s="1248" t="s">
        <v>10</v>
      </c>
      <c r="B20" s="1249">
        <v>254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89</v>
      </c>
      <c r="C26" s="322"/>
      <c r="D26" s="322"/>
      <c r="E26" s="322"/>
      <c r="F26" s="322"/>
    </row>
    <row r="27" spans="1:6">
      <c r="A27" s="1248" t="s">
        <v>17</v>
      </c>
      <c r="B27" s="1249">
        <v>0</v>
      </c>
      <c r="C27" s="322"/>
      <c r="D27" s="322"/>
      <c r="E27" s="322"/>
      <c r="F27" s="322"/>
    </row>
    <row r="28" spans="1:6">
      <c r="A28" s="1248" t="s">
        <v>18</v>
      </c>
      <c r="B28" s="1250">
        <v>15873</v>
      </c>
      <c r="C28" s="322"/>
      <c r="D28" s="322"/>
      <c r="E28" s="322"/>
      <c r="F28" s="322"/>
    </row>
    <row r="29" spans="1:6">
      <c r="A29" s="1248" t="s">
        <v>884</v>
      </c>
      <c r="B29" s="1250">
        <v>488</v>
      </c>
      <c r="C29" s="322"/>
      <c r="D29" s="322"/>
      <c r="E29" s="322"/>
      <c r="F29" s="322"/>
    </row>
    <row r="30" spans="1:6">
      <c r="A30" s="1243" t="s">
        <v>885</v>
      </c>
      <c r="B30" s="1251">
        <v>82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29567921.423</v>
      </c>
      <c r="E38" s="1249">
        <v>5</v>
      </c>
      <c r="F38" s="1249">
        <v>491212.27028</v>
      </c>
    </row>
    <row r="39" spans="1:6">
      <c r="A39" s="1248" t="s">
        <v>29</v>
      </c>
      <c r="B39" s="1248" t="s">
        <v>30</v>
      </c>
      <c r="C39" s="1249">
        <v>5145</v>
      </c>
      <c r="D39" s="1249">
        <v>87009356.544</v>
      </c>
      <c r="E39" s="1249">
        <v>7642</v>
      </c>
      <c r="F39" s="1249">
        <v>30350355.590999998</v>
      </c>
    </row>
    <row r="40" spans="1:6">
      <c r="A40" s="1248" t="s">
        <v>29</v>
      </c>
      <c r="B40" s="1248" t="s">
        <v>28</v>
      </c>
      <c r="C40" s="1249">
        <v>0</v>
      </c>
      <c r="D40" s="1249">
        <v>0</v>
      </c>
      <c r="E40" s="1249">
        <v>0</v>
      </c>
      <c r="F40" s="1249">
        <v>0</v>
      </c>
    </row>
    <row r="41" spans="1:6">
      <c r="A41" s="1248" t="s">
        <v>31</v>
      </c>
      <c r="B41" s="1248" t="s">
        <v>32</v>
      </c>
      <c r="C41" s="1249">
        <v>44</v>
      </c>
      <c r="D41" s="1249">
        <v>1171183.5769</v>
      </c>
      <c r="E41" s="1249">
        <v>114</v>
      </c>
      <c r="F41" s="1249">
        <v>1400883.7453999999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327314.10421999998</v>
      </c>
      <c r="E44" s="1249">
        <v>8</v>
      </c>
      <c r="F44" s="1249">
        <v>432020.46007999999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39</v>
      </c>
      <c r="D48" s="1249">
        <v>5430431.7126000002</v>
      </c>
      <c r="E48" s="1249">
        <v>57</v>
      </c>
      <c r="F48" s="1249">
        <v>2759945.6058</v>
      </c>
    </row>
    <row r="49" spans="1:6">
      <c r="A49" s="1248" t="s">
        <v>31</v>
      </c>
      <c r="B49" s="1248" t="s">
        <v>39</v>
      </c>
      <c r="C49" s="1249">
        <v>0</v>
      </c>
      <c r="D49" s="1249">
        <v>0</v>
      </c>
      <c r="E49" s="1249">
        <v>0</v>
      </c>
      <c r="F49" s="1249">
        <v>0</v>
      </c>
    </row>
    <row r="50" spans="1:6">
      <c r="A50" s="1248" t="s">
        <v>31</v>
      </c>
      <c r="B50" s="1248" t="s">
        <v>40</v>
      </c>
      <c r="C50" s="1249">
        <v>5</v>
      </c>
      <c r="D50" s="1249">
        <v>292836.64059999998</v>
      </c>
      <c r="E50" s="1249">
        <v>13</v>
      </c>
      <c r="F50" s="1249">
        <v>746523.27807999996</v>
      </c>
    </row>
    <row r="51" spans="1:6">
      <c r="A51" s="1248" t="s">
        <v>41</v>
      </c>
      <c r="B51" s="1248" t="s">
        <v>42</v>
      </c>
      <c r="C51" s="1249">
        <v>53</v>
      </c>
      <c r="D51" s="1249">
        <v>486449297.79000002</v>
      </c>
      <c r="E51" s="1249">
        <v>170</v>
      </c>
      <c r="F51" s="1249">
        <v>5832088.4463999998</v>
      </c>
    </row>
    <row r="52" spans="1:6">
      <c r="A52" s="1248" t="s">
        <v>41</v>
      </c>
      <c r="B52" s="1248" t="s">
        <v>28</v>
      </c>
      <c r="C52" s="1249">
        <v>9</v>
      </c>
      <c r="D52" s="1249">
        <v>7544413.0176999997</v>
      </c>
      <c r="E52" s="1249">
        <v>13</v>
      </c>
      <c r="F52" s="1249">
        <v>479925.94498999999</v>
      </c>
    </row>
    <row r="53" spans="1:6">
      <c r="A53" s="1248" t="s">
        <v>43</v>
      </c>
      <c r="B53" s="1248" t="s">
        <v>44</v>
      </c>
      <c r="C53" s="1249">
        <v>118</v>
      </c>
      <c r="D53" s="1249">
        <v>2893360.7422000002</v>
      </c>
      <c r="E53" s="1249">
        <v>247</v>
      </c>
      <c r="F53" s="1249">
        <v>1047795.4642</v>
      </c>
    </row>
    <row r="54" spans="1:6">
      <c r="A54" s="1248" t="s">
        <v>45</v>
      </c>
      <c r="B54" s="1248" t="s">
        <v>46</v>
      </c>
      <c r="C54" s="1249">
        <v>0</v>
      </c>
      <c r="D54" s="1249">
        <v>0</v>
      </c>
      <c r="E54" s="1249">
        <v>1</v>
      </c>
      <c r="F54" s="1249">
        <v>1496998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762625.60085000005</v>
      </c>
      <c r="E57" s="1249">
        <v>66</v>
      </c>
      <c r="F57" s="1249">
        <v>509377.20659999998</v>
      </c>
    </row>
    <row r="58" spans="1:6">
      <c r="A58" s="1248" t="s">
        <v>48</v>
      </c>
      <c r="B58" s="1248" t="s">
        <v>50</v>
      </c>
      <c r="C58" s="1249">
        <v>36</v>
      </c>
      <c r="D58" s="1249">
        <v>7314461.8110999996</v>
      </c>
      <c r="E58" s="1249">
        <v>50</v>
      </c>
      <c r="F58" s="1249">
        <v>1764442.0405999999</v>
      </c>
    </row>
    <row r="59" spans="1:6">
      <c r="A59" s="1248" t="s">
        <v>48</v>
      </c>
      <c r="B59" s="1248" t="s">
        <v>51</v>
      </c>
      <c r="C59" s="1249">
        <v>102</v>
      </c>
      <c r="D59" s="1249">
        <v>5748880.2432000004</v>
      </c>
      <c r="E59" s="1249">
        <v>200</v>
      </c>
      <c r="F59" s="1249">
        <v>30551850.338</v>
      </c>
    </row>
    <row r="60" spans="1:6">
      <c r="A60" s="1248" t="s">
        <v>48</v>
      </c>
      <c r="B60" s="1248" t="s">
        <v>52</v>
      </c>
      <c r="C60" s="1249">
        <v>70</v>
      </c>
      <c r="D60" s="1249">
        <v>4807546.5508000003</v>
      </c>
      <c r="E60" s="1249">
        <v>127</v>
      </c>
      <c r="F60" s="1249">
        <v>2745780.7853999999</v>
      </c>
    </row>
    <row r="61" spans="1:6">
      <c r="A61" s="1248" t="s">
        <v>48</v>
      </c>
      <c r="B61" s="1248" t="s">
        <v>53</v>
      </c>
      <c r="C61" s="1249">
        <v>123</v>
      </c>
      <c r="D61" s="1249">
        <v>5577366.9455000004</v>
      </c>
      <c r="E61" s="1249">
        <v>237</v>
      </c>
      <c r="F61" s="1249">
        <v>3112324.0893000001</v>
      </c>
    </row>
    <row r="62" spans="1:6">
      <c r="A62" s="1248" t="s">
        <v>48</v>
      </c>
      <c r="B62" s="1248" t="s">
        <v>54</v>
      </c>
      <c r="C62" s="1249">
        <v>6</v>
      </c>
      <c r="D62" s="1249">
        <v>2087609.5889000001</v>
      </c>
      <c r="E62" s="1249">
        <v>11</v>
      </c>
      <c r="F62" s="1249">
        <v>657492.11898000003</v>
      </c>
    </row>
    <row r="63" spans="1:6">
      <c r="A63" s="1248" t="s">
        <v>48</v>
      </c>
      <c r="B63" s="1248" t="s">
        <v>28</v>
      </c>
      <c r="C63" s="1249">
        <v>129</v>
      </c>
      <c r="D63" s="1249">
        <v>26603773.511999998</v>
      </c>
      <c r="E63" s="1249">
        <v>157</v>
      </c>
      <c r="F63" s="1249">
        <v>14187659.836999999</v>
      </c>
    </row>
    <row r="64" spans="1:6">
      <c r="A64" s="1248" t="s">
        <v>55</v>
      </c>
      <c r="B64" s="1248" t="s">
        <v>56</v>
      </c>
      <c r="C64" s="1249">
        <v>0</v>
      </c>
      <c r="D64" s="1249">
        <v>0</v>
      </c>
      <c r="E64" s="1249">
        <v>0</v>
      </c>
      <c r="F64" s="1249">
        <v>0</v>
      </c>
    </row>
    <row r="65" spans="1:6">
      <c r="A65" s="1248" t="s">
        <v>55</v>
      </c>
      <c r="B65" s="1248" t="s">
        <v>28</v>
      </c>
      <c r="C65" s="1249">
        <v>5</v>
      </c>
      <c r="D65" s="1249">
        <v>185454.32745000001</v>
      </c>
      <c r="E65" s="1249">
        <v>7</v>
      </c>
      <c r="F65" s="1249">
        <v>79643.604154000001</v>
      </c>
    </row>
    <row r="66" spans="1:6">
      <c r="A66" s="1248" t="s">
        <v>55</v>
      </c>
      <c r="B66" s="1248" t="s">
        <v>57</v>
      </c>
      <c r="C66" s="1249">
        <v>0</v>
      </c>
      <c r="D66" s="1249">
        <v>0</v>
      </c>
      <c r="E66" s="1249">
        <v>11</v>
      </c>
      <c r="F66" s="1249">
        <v>202325</v>
      </c>
    </row>
    <row r="67" spans="1:6">
      <c r="A67" s="1248" t="s">
        <v>55</v>
      </c>
      <c r="B67" s="1248" t="s">
        <v>58</v>
      </c>
      <c r="C67" s="1249">
        <v>0</v>
      </c>
      <c r="D67" s="1249">
        <v>0</v>
      </c>
      <c r="E67" s="1249">
        <v>0</v>
      </c>
      <c r="F67" s="1249">
        <v>0</v>
      </c>
    </row>
    <row r="68" spans="1:6">
      <c r="A68" s="1243" t="s">
        <v>55</v>
      </c>
      <c r="B68" s="1243" t="s">
        <v>59</v>
      </c>
      <c r="C68" s="1251">
        <v>6</v>
      </c>
      <c r="D68" s="1251">
        <v>293048.56955999997</v>
      </c>
      <c r="E68" s="1251">
        <v>10</v>
      </c>
      <c r="F68" s="1251">
        <v>160797.17673000001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65898199</v>
      </c>
      <c r="E73" s="439"/>
      <c r="F73" s="322"/>
    </row>
    <row r="74" spans="1:6">
      <c r="A74" s="1248" t="s">
        <v>63</v>
      </c>
      <c r="B74" s="1248" t="s">
        <v>626</v>
      </c>
      <c r="C74" s="1261" t="s">
        <v>628</v>
      </c>
      <c r="D74" s="1249">
        <v>5084542.1844949648</v>
      </c>
      <c r="E74" s="439"/>
      <c r="F74" s="322"/>
    </row>
    <row r="75" spans="1:6">
      <c r="A75" s="1248" t="s">
        <v>64</v>
      </c>
      <c r="B75" s="1248" t="s">
        <v>625</v>
      </c>
      <c r="C75" s="1261" t="s">
        <v>629</v>
      </c>
      <c r="D75" s="1249">
        <v>15729934</v>
      </c>
      <c r="E75" s="439"/>
      <c r="F75" s="322"/>
    </row>
    <row r="76" spans="1:6">
      <c r="A76" s="1248" t="s">
        <v>64</v>
      </c>
      <c r="B76" s="1248" t="s">
        <v>626</v>
      </c>
      <c r="C76" s="1261" t="s">
        <v>630</v>
      </c>
      <c r="D76" s="1249">
        <v>434035.18449496466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671407.63101007068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4574.7794925499957</v>
      </c>
      <c r="C91" s="322"/>
      <c r="D91" s="322"/>
      <c r="E91" s="322"/>
      <c r="F91" s="322"/>
    </row>
    <row r="92" spans="1:6">
      <c r="A92" s="1243" t="s">
        <v>68</v>
      </c>
      <c r="B92" s="1244">
        <v>5331.6212063382745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3367</v>
      </c>
      <c r="C97" s="322"/>
      <c r="D97" s="322"/>
      <c r="E97" s="322"/>
      <c r="F97" s="322"/>
    </row>
    <row r="98" spans="1:6">
      <c r="A98" s="1248" t="s">
        <v>71</v>
      </c>
      <c r="B98" s="1249">
        <v>10</v>
      </c>
      <c r="C98" s="322"/>
      <c r="D98" s="322"/>
      <c r="E98" s="322"/>
      <c r="F98" s="322"/>
    </row>
    <row r="99" spans="1:6">
      <c r="A99" s="1248" t="s">
        <v>72</v>
      </c>
      <c r="B99" s="1249">
        <v>75</v>
      </c>
      <c r="C99" s="322"/>
      <c r="D99" s="322"/>
      <c r="E99" s="322"/>
      <c r="F99" s="322"/>
    </row>
    <row r="100" spans="1:6">
      <c r="A100" s="1248" t="s">
        <v>73</v>
      </c>
      <c r="B100" s="1249">
        <v>535</v>
      </c>
      <c r="C100" s="322"/>
      <c r="D100" s="322"/>
      <c r="E100" s="322"/>
      <c r="F100" s="322"/>
    </row>
    <row r="101" spans="1:6">
      <c r="A101" s="1248" t="s">
        <v>74</v>
      </c>
      <c r="B101" s="1249">
        <v>63</v>
      </c>
      <c r="C101" s="322"/>
      <c r="D101" s="322"/>
      <c r="E101" s="322"/>
      <c r="F101" s="322"/>
    </row>
    <row r="102" spans="1:6">
      <c r="A102" s="1248" t="s">
        <v>75</v>
      </c>
      <c r="B102" s="1249">
        <v>94</v>
      </c>
      <c r="C102" s="322"/>
      <c r="D102" s="322"/>
      <c r="E102" s="322"/>
      <c r="F102" s="322"/>
    </row>
    <row r="103" spans="1:6">
      <c r="A103" s="1248" t="s">
        <v>76</v>
      </c>
      <c r="B103" s="1249">
        <v>187</v>
      </c>
      <c r="C103" s="322"/>
      <c r="D103" s="322"/>
      <c r="E103" s="322"/>
      <c r="F103" s="322"/>
    </row>
    <row r="104" spans="1:6">
      <c r="A104" s="1248" t="s">
        <v>77</v>
      </c>
      <c r="B104" s="1249">
        <v>2851</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35</v>
      </c>
      <c r="C123" s="1249">
        <v>25</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191</v>
      </c>
      <c r="C129" s="322"/>
      <c r="D129" s="322"/>
      <c r="E129" s="322"/>
      <c r="F129" s="322"/>
    </row>
    <row r="130" spans="1:6">
      <c r="A130" s="1248" t="s">
        <v>284</v>
      </c>
      <c r="B130" s="1249">
        <v>4</v>
      </c>
      <c r="C130" s="322"/>
      <c r="D130" s="322"/>
      <c r="E130" s="322"/>
      <c r="F130" s="322"/>
    </row>
    <row r="131" spans="1:6">
      <c r="A131" s="1248" t="s">
        <v>285</v>
      </c>
      <c r="B131" s="1249">
        <v>2</v>
      </c>
      <c r="C131" s="322"/>
      <c r="D131" s="322"/>
      <c r="E131" s="322"/>
      <c r="F131" s="322"/>
    </row>
    <row r="132" spans="1:6">
      <c r="A132" s="1243" t="s">
        <v>286</v>
      </c>
      <c r="B132" s="1244">
        <v>37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108320.22995793508</v>
      </c>
      <c r="C3" s="43" t="s">
        <v>163</v>
      </c>
      <c r="D3" s="43"/>
      <c r="E3" s="153"/>
      <c r="F3" s="43"/>
      <c r="G3" s="43"/>
      <c r="H3" s="43"/>
      <c r="I3" s="43"/>
      <c r="J3" s="43"/>
      <c r="K3" s="96"/>
    </row>
    <row r="4" spans="1:11">
      <c r="A4" s="348" t="s">
        <v>164</v>
      </c>
      <c r="B4" s="49">
        <f>IF(ISERROR('SEAP template'!B78+'SEAP template'!C78),0,'SEAP template'!B78+'SEAP template'!C78)</f>
        <v>180754.15069888826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37969.774922329474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0.21006308721276301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52989.273649099094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238429.07142857133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0.22224334193648712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1496.998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1496.998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0.21006308721276301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314.46402143133179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30350.355591</v>
      </c>
      <c r="C5" s="17">
        <f>IF(ISERROR('Eigen informatie GS &amp; warmtenet'!B57),0,'Eigen informatie GS &amp; warmtenet'!B57)</f>
        <v>0</v>
      </c>
      <c r="D5" s="30">
        <f>(SUM(HH_hh_gas_kWh,HH_rest_gas_kWh)/1000)*0.902</f>
        <v>78482.439602687999</v>
      </c>
      <c r="E5" s="17">
        <f>B32*B41</f>
        <v>1572.2089640278307</v>
      </c>
      <c r="F5" s="17">
        <f>B36*B45</f>
        <v>42745.249746076799</v>
      </c>
      <c r="G5" s="18"/>
      <c r="H5" s="17"/>
      <c r="I5" s="17"/>
      <c r="J5" s="17">
        <f>B35*B44+C35*C44</f>
        <v>788.29875366511862</v>
      </c>
      <c r="K5" s="17"/>
      <c r="L5" s="17"/>
      <c r="M5" s="17"/>
      <c r="N5" s="17">
        <f>B34*B43+C34*C43</f>
        <v>10329.596996941753</v>
      </c>
      <c r="O5" s="17">
        <f>B52*B53*B54</f>
        <v>339.2433333333334</v>
      </c>
      <c r="P5" s="17">
        <f>B60*B61*B62/1000-B60*B61*B62/1000/B63</f>
        <v>1391.8666666666668</v>
      </c>
    </row>
    <row r="6" spans="1:16">
      <c r="A6" s="16" t="s">
        <v>586</v>
      </c>
      <c r="B6" s="716">
        <f>kWh_PV_kleiner_dan_10kW</f>
        <v>4574.7794925499957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34925.135083549998</v>
      </c>
      <c r="C8" s="21">
        <f>C5</f>
        <v>0</v>
      </c>
      <c r="D8" s="21">
        <f>D5</f>
        <v>78482.439602687999</v>
      </c>
      <c r="E8" s="21">
        <f>E5</f>
        <v>1572.2089640278307</v>
      </c>
      <c r="F8" s="21">
        <f>F5</f>
        <v>42745.249746076799</v>
      </c>
      <c r="G8" s="21"/>
      <c r="H8" s="21"/>
      <c r="I8" s="21"/>
      <c r="J8" s="21">
        <f>J5</f>
        <v>788.29875366511862</v>
      </c>
      <c r="K8" s="21"/>
      <c r="L8" s="21">
        <f>L5</f>
        <v>0</v>
      </c>
      <c r="M8" s="21">
        <f>M5</f>
        <v>0</v>
      </c>
      <c r="N8" s="21">
        <f>N5</f>
        <v>10329.596996941753</v>
      </c>
      <c r="O8" s="21">
        <f>O5</f>
        <v>339.2433333333334</v>
      </c>
      <c r="P8" s="21">
        <f>P5</f>
        <v>1391.8666666666668</v>
      </c>
    </row>
    <row r="9" spans="1:16">
      <c r="B9" s="19"/>
      <c r="C9" s="19"/>
      <c r="D9" s="253"/>
      <c r="E9" s="19"/>
      <c r="F9" s="19"/>
      <c r="G9" s="19"/>
      <c r="H9" s="19"/>
      <c r="I9" s="19"/>
      <c r="J9" s="19"/>
      <c r="K9" s="19"/>
      <c r="L9" s="19"/>
      <c r="M9" s="19"/>
      <c r="N9" s="19"/>
      <c r="O9" s="19"/>
      <c r="P9" s="19"/>
    </row>
    <row r="10" spans="1:16">
      <c r="A10" s="24" t="s">
        <v>207</v>
      </c>
      <c r="B10" s="25">
        <f ca="1">'EF ele_warmte'!B12</f>
        <v>0.21006308721276301</v>
      </c>
      <c r="C10" s="25">
        <f ca="1">'EF ele_warmte'!B22</f>
        <v>0.22224334193648712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7336.4816969732919</v>
      </c>
      <c r="C12" s="23">
        <f ca="1">C10*C8</f>
        <v>0</v>
      </c>
      <c r="D12" s="23">
        <f>D8*D10</f>
        <v>15853.452799742976</v>
      </c>
      <c r="E12" s="23">
        <f>E10*E8</f>
        <v>356.89143483431758</v>
      </c>
      <c r="F12" s="23">
        <f>F10*F8</f>
        <v>11412.981682202506</v>
      </c>
      <c r="G12" s="23"/>
      <c r="H12" s="23"/>
      <c r="I12" s="23"/>
      <c r="J12" s="23">
        <f>J10*J8</f>
        <v>279.05775879745198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7946</v>
      </c>
      <c r="C26" s="36"/>
      <c r="D26" s="224"/>
    </row>
    <row r="27" spans="1:5" s="15" customFormat="1">
      <c r="A27" s="226" t="s">
        <v>655</v>
      </c>
      <c r="B27" s="37">
        <f>SUM(HH_hh_gas_aantal,HH_rest_gas_aantal)</f>
        <v>5145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4887.75</v>
      </c>
      <c r="C31" s="34" t="s">
        <v>104</v>
      </c>
      <c r="D31" s="170"/>
    </row>
    <row r="32" spans="1:5">
      <c r="A32" s="167" t="s">
        <v>72</v>
      </c>
      <c r="B32" s="33">
        <f>IF((B21*($B$26-($B$27-0.05*$B$27)-$B$60))&lt;0,0,B21*($B$26-($B$27-0.05*$B$27)-$B$60))</f>
        <v>19.26509244782709</v>
      </c>
      <c r="C32" s="34" t="s">
        <v>104</v>
      </c>
      <c r="D32" s="170"/>
    </row>
    <row r="33" spans="1:6">
      <c r="A33" s="167" t="s">
        <v>73</v>
      </c>
      <c r="B33" s="33">
        <f>IF((B22*($B$26-($B$27-0.05*$B$27)-$B$60))&lt;0,0,B22*($B$26-($B$27-0.05*$B$27)-$B$60))</f>
        <v>670.88050361403282</v>
      </c>
      <c r="C33" s="34" t="s">
        <v>104</v>
      </c>
      <c r="D33" s="170"/>
    </row>
    <row r="34" spans="1:6">
      <c r="A34" s="167" t="s">
        <v>74</v>
      </c>
      <c r="B34" s="33">
        <f>IF((B24*($B$26-($B$27-0.05*$B$27)-$B$60))&lt;0,0,B24*($B$26-($B$27-0.05*$B$27)-$B$60))</f>
        <v>133.22312058324542</v>
      </c>
      <c r="C34" s="33">
        <f>B26*C24</f>
        <v>1626.2469568077954</v>
      </c>
      <c r="D34" s="229"/>
    </row>
    <row r="35" spans="1:6">
      <c r="A35" s="167" t="s">
        <v>76</v>
      </c>
      <c r="B35" s="33">
        <f>IF((B19*($B$26-($B$27-0.05*$B$27)-$B$60))&lt;0,0,B19*($B$26-($B$27-0.05*$B$27)-$B$60))</f>
        <v>65.059560822930365</v>
      </c>
      <c r="C35" s="33">
        <f>B35/2</f>
        <v>32.529780411465183</v>
      </c>
      <c r="D35" s="229"/>
    </row>
    <row r="36" spans="1:6">
      <c r="A36" s="167" t="s">
        <v>77</v>
      </c>
      <c r="B36" s="33">
        <f>IF((B18*($B$26-($B$27-0.05*$B$27)-$B$60))&lt;0,0,B18*($B$26-($B$27-0.05*$B$27)-$B$60))</f>
        <v>2096.821722531965</v>
      </c>
      <c r="C36" s="34" t="s">
        <v>104</v>
      </c>
      <c r="D36" s="170"/>
    </row>
    <row r="37" spans="1:6">
      <c r="A37" s="167" t="s">
        <v>78</v>
      </c>
      <c r="B37" s="33">
        <f>B60</f>
        <v>73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53528.92641588</v>
      </c>
      <c r="C5" s="17">
        <f>IF(ISERROR('Eigen informatie GS &amp; warmtenet'!B58),0,'Eigen informatie GS &amp; warmtenet'!B58)</f>
        <v>0</v>
      </c>
      <c r="D5" s="30">
        <f>SUM(D6:D12)</f>
        <v>47717.842355619709</v>
      </c>
      <c r="E5" s="17">
        <f>SUM(E6:E12)</f>
        <v>1240.286381023556</v>
      </c>
      <c r="F5" s="17">
        <f>SUM(F6:F12)</f>
        <v>10085.598195885577</v>
      </c>
      <c r="G5" s="18"/>
      <c r="H5" s="17"/>
      <c r="I5" s="17"/>
      <c r="J5" s="17">
        <f>SUM(J6:J12)</f>
        <v>3.7231772273119752E-2</v>
      </c>
      <c r="K5" s="17"/>
      <c r="L5" s="17"/>
      <c r="M5" s="17"/>
      <c r="N5" s="17">
        <f>SUM(N6:N12)</f>
        <v>1380.5364701356048</v>
      </c>
      <c r="O5" s="17">
        <f>B38*B39*B40</f>
        <v>6.2533333333333339</v>
      </c>
      <c r="P5" s="17">
        <f>B46*B47*B48/1000-B46*B47*B48/1000/B49</f>
        <v>38.133333333333333</v>
      </c>
      <c r="R5" s="32"/>
    </row>
    <row r="6" spans="1:18">
      <c r="A6" s="32" t="s">
        <v>53</v>
      </c>
      <c r="B6" s="37">
        <f>B26</f>
        <v>3112.3240893000002</v>
      </c>
      <c r="C6" s="33"/>
      <c r="D6" s="37">
        <f>IF(ISERROR(TER_kantoor_gas_kWh/1000),0,TER_kantoor_gas_kWh/1000)*0.902</f>
        <v>5030.7849848409996</v>
      </c>
      <c r="E6" s="33">
        <f>$C$26*'E Balans VL '!I12/100/3.6*1000000</f>
        <v>1.7718977257081818E-18</v>
      </c>
      <c r="F6" s="33">
        <f>$C$26*('E Balans VL '!L12+'E Balans VL '!N12)/100/3.6*1000000</f>
        <v>420.73493454603692</v>
      </c>
      <c r="G6" s="34"/>
      <c r="H6" s="33"/>
      <c r="I6" s="33"/>
      <c r="J6" s="33">
        <f>$C$26*('E Balans VL '!D12+'E Balans VL '!E12)/100/3.6*1000000</f>
        <v>0</v>
      </c>
      <c r="K6" s="33"/>
      <c r="L6" s="33"/>
      <c r="M6" s="33"/>
      <c r="N6" s="33">
        <f>$C$26*'E Balans VL '!Y12/100/3.6*1000000</f>
        <v>3.9115589835705995</v>
      </c>
      <c r="O6" s="33"/>
      <c r="P6" s="33"/>
      <c r="R6" s="32"/>
    </row>
    <row r="7" spans="1:18">
      <c r="A7" s="32" t="s">
        <v>52</v>
      </c>
      <c r="B7" s="37">
        <f t="shared" ref="B7:B12" si="0">B27</f>
        <v>2745.7807853999998</v>
      </c>
      <c r="C7" s="33"/>
      <c r="D7" s="37">
        <f>IF(ISERROR(TER_horeca_gas_kWh/1000),0,TER_horeca_gas_kWh/1000)*0.902</f>
        <v>4336.4069888216009</v>
      </c>
      <c r="E7" s="33">
        <f>$C$27*'E Balans VL '!I9/100/3.6*1000000</f>
        <v>35.069207767097531</v>
      </c>
      <c r="F7" s="33">
        <f>$C$27*('E Balans VL '!L9+'E Balans VL '!N9)/100/3.6*1000000</f>
        <v>310.1236024495642</v>
      </c>
      <c r="G7" s="34"/>
      <c r="H7" s="33"/>
      <c r="I7" s="33"/>
      <c r="J7" s="33">
        <f>$C$27*('E Balans VL '!D9+'E Balans VL '!E9)/100/3.6*1000000</f>
        <v>0</v>
      </c>
      <c r="K7" s="33"/>
      <c r="L7" s="33"/>
      <c r="M7" s="33"/>
      <c r="N7" s="33">
        <f>$C$27*'E Balans VL '!Y9/100/3.6*1000000</f>
        <v>0.65433121634522273</v>
      </c>
      <c r="O7" s="33"/>
      <c r="P7" s="33"/>
      <c r="R7" s="32"/>
    </row>
    <row r="8" spans="1:18">
      <c r="A8" s="6" t="s">
        <v>51</v>
      </c>
      <c r="B8" s="37">
        <f t="shared" si="0"/>
        <v>30551.850338</v>
      </c>
      <c r="C8" s="33"/>
      <c r="D8" s="37">
        <f>IF(ISERROR(TER_handel_gas_kWh/1000),0,TER_handel_gas_kWh/1000)*0.902</f>
        <v>5185.4899793663999</v>
      </c>
      <c r="E8" s="33">
        <f>$C$28*'E Balans VL '!I13/100/3.6*1000000</f>
        <v>997.77384290509315</v>
      </c>
      <c r="F8" s="33">
        <f>$C$28*('E Balans VL '!L13+'E Balans VL '!N13)/100/3.6*1000000</f>
        <v>5289.8046473308013</v>
      </c>
      <c r="G8" s="34"/>
      <c r="H8" s="33"/>
      <c r="I8" s="33"/>
      <c r="J8" s="33">
        <f>$C$28*('E Balans VL '!D13+'E Balans VL '!E13)/100/3.6*1000000</f>
        <v>0</v>
      </c>
      <c r="K8" s="33"/>
      <c r="L8" s="33"/>
      <c r="M8" s="33"/>
      <c r="N8" s="33">
        <f>$C$28*'E Balans VL '!Y13/100/3.6*1000000</f>
        <v>35.958680345155507</v>
      </c>
      <c r="O8" s="33"/>
      <c r="P8" s="33"/>
      <c r="R8" s="32"/>
    </row>
    <row r="9" spans="1:18">
      <c r="A9" s="32" t="s">
        <v>50</v>
      </c>
      <c r="B9" s="37">
        <f t="shared" si="0"/>
        <v>1764.4420405999999</v>
      </c>
      <c r="C9" s="33"/>
      <c r="D9" s="37">
        <f>IF(ISERROR(TER_gezond_gas_kWh/1000),0,TER_gezond_gas_kWh/1000)*0.902</f>
        <v>6597.6445536122001</v>
      </c>
      <c r="E9" s="33">
        <f>$C$29*'E Balans VL '!I10/100/3.6*1000000</f>
        <v>9.8530877034123818E-2</v>
      </c>
      <c r="F9" s="33">
        <f>$C$29*('E Balans VL '!L10+'E Balans VL '!N10)/100/3.6*1000000</f>
        <v>233.78200640659725</v>
      </c>
      <c r="G9" s="34"/>
      <c r="H9" s="33"/>
      <c r="I9" s="33"/>
      <c r="J9" s="33">
        <f>$C$29*('E Balans VL '!D10+'E Balans VL '!E10)/100/3.6*1000000</f>
        <v>0</v>
      </c>
      <c r="K9" s="33"/>
      <c r="L9" s="33"/>
      <c r="M9" s="33"/>
      <c r="N9" s="33">
        <f>$C$29*'E Balans VL '!Y10/100/3.6*1000000</f>
        <v>18.701899693655712</v>
      </c>
      <c r="O9" s="33"/>
      <c r="P9" s="33"/>
      <c r="R9" s="32"/>
    </row>
    <row r="10" spans="1:18">
      <c r="A10" s="32" t="s">
        <v>49</v>
      </c>
      <c r="B10" s="37">
        <f t="shared" si="0"/>
        <v>509.37720659999997</v>
      </c>
      <c r="C10" s="33"/>
      <c r="D10" s="37">
        <f>IF(ISERROR(TER_ander_gas_kWh/1000),0,TER_ander_gas_kWh/1000)*0.902</f>
        <v>687.88829196670008</v>
      </c>
      <c r="E10" s="33">
        <f>$C$30*'E Balans VL '!I14/100/3.6*1000000</f>
        <v>6.5778044539230889</v>
      </c>
      <c r="F10" s="33">
        <f>$C$30*('E Balans VL '!L14+'E Balans VL '!N14)/100/3.6*1000000</f>
        <v>336.22528876586807</v>
      </c>
      <c r="G10" s="34"/>
      <c r="H10" s="33"/>
      <c r="I10" s="33"/>
      <c r="J10" s="33">
        <f>$C$30*('E Balans VL '!D14+'E Balans VL '!E14)/100/3.6*1000000</f>
        <v>6.1707046658565521E-3</v>
      </c>
      <c r="K10" s="33"/>
      <c r="L10" s="33"/>
      <c r="M10" s="33"/>
      <c r="N10" s="33">
        <f>$C$30*'E Balans VL '!Y14/100/3.6*1000000</f>
        <v>214.8022940590418</v>
      </c>
      <c r="O10" s="33"/>
      <c r="P10" s="33"/>
      <c r="R10" s="32"/>
    </row>
    <row r="11" spans="1:18">
      <c r="A11" s="32" t="s">
        <v>54</v>
      </c>
      <c r="B11" s="37">
        <f t="shared" si="0"/>
        <v>657.49211897999999</v>
      </c>
      <c r="C11" s="33"/>
      <c r="D11" s="37">
        <f>IF(ISERROR(TER_onderwijs_gas_kWh/1000),0,TER_onderwijs_gas_kWh/1000)*0.902</f>
        <v>1883.0238491878004</v>
      </c>
      <c r="E11" s="33">
        <f>$C$31*'E Balans VL '!I11/100/3.6*1000000</f>
        <v>8.8482128421067632</v>
      </c>
      <c r="F11" s="33">
        <f>$C$31*('E Balans VL '!L11+'E Balans VL '!N11)/100/3.6*1000000</f>
        <v>102.75107625499068</v>
      </c>
      <c r="G11" s="34"/>
      <c r="H11" s="33"/>
      <c r="I11" s="33"/>
      <c r="J11" s="33">
        <f>$C$31*('E Balans VL '!D11+'E Balans VL '!E11)/100/3.6*1000000</f>
        <v>0</v>
      </c>
      <c r="K11" s="33"/>
      <c r="L11" s="33"/>
      <c r="M11" s="33"/>
      <c r="N11" s="33">
        <f>$C$31*'E Balans VL '!Y11/100/3.6*1000000</f>
        <v>1.5181804582162421</v>
      </c>
      <c r="O11" s="33"/>
      <c r="P11" s="33"/>
      <c r="R11" s="32"/>
    </row>
    <row r="12" spans="1:18">
      <c r="A12" s="32" t="s">
        <v>249</v>
      </c>
      <c r="B12" s="37">
        <f t="shared" si="0"/>
        <v>14187.659836999999</v>
      </c>
      <c r="C12" s="33"/>
      <c r="D12" s="37">
        <f>IF(ISERROR(TER_rest_gas_kWh/1000),0,TER_rest_gas_kWh/1000)*0.902</f>
        <v>23996.603707824001</v>
      </c>
      <c r="E12" s="33">
        <f>$C$32*'E Balans VL '!I8/100/3.6*1000000</f>
        <v>191.9187821783014</v>
      </c>
      <c r="F12" s="33">
        <f>$C$32*('E Balans VL '!L8+'E Balans VL '!N8)/100/3.6*1000000</f>
        <v>3392.1766401317195</v>
      </c>
      <c r="G12" s="34"/>
      <c r="H12" s="33"/>
      <c r="I12" s="33"/>
      <c r="J12" s="33">
        <f>$C$32*('E Balans VL '!D8+'E Balans VL '!E8)/100/3.6*1000000</f>
        <v>3.1061067607263199E-2</v>
      </c>
      <c r="K12" s="33"/>
      <c r="L12" s="33"/>
      <c r="M12" s="33"/>
      <c r="N12" s="33">
        <f>$C$32*'E Balans VL '!Y8/100/3.6*1000000</f>
        <v>1104.9895253796196</v>
      </c>
      <c r="O12" s="33"/>
      <c r="P12" s="33"/>
      <c r="R12" s="32"/>
    </row>
    <row r="13" spans="1:18">
      <c r="A13" s="16" t="s">
        <v>477</v>
      </c>
      <c r="B13" s="242">
        <f ca="1">'lokale energieproductie'!N65+'lokale energieproductie'!N58</f>
        <v>5636.25</v>
      </c>
      <c r="C13" s="242">
        <f ca="1">'lokale energieproductie'!O65+'lokale energieproductie'!O58</f>
        <v>8051.7857142857147</v>
      </c>
      <c r="D13" s="300">
        <f ca="1">('lokale energieproductie'!P58+'lokale energieproductie'!P65)*(-1)</f>
        <v>-16103.571428571429</v>
      </c>
      <c r="E13" s="243"/>
      <c r="F13" s="300">
        <f ca="1">('lokale energieproductie'!S58+'lokale energieproductie'!S65)*(-1)</f>
        <v>0</v>
      </c>
      <c r="G13" s="244"/>
      <c r="H13" s="243"/>
      <c r="I13" s="243"/>
      <c r="J13" s="243"/>
      <c r="K13" s="243"/>
      <c r="L13" s="300">
        <f ca="1">('lokale energieproductie'!U58+'lokale energieproductie'!T58+'lokale energieproductie'!U65+'lokale energieproductie'!T65)*(-1)</f>
        <v>0</v>
      </c>
      <c r="M13" s="243"/>
      <c r="N13" s="300">
        <f ca="1">('lokale energieproductie'!Q58+'lokale energieproductie'!R58+'lokale energieproductie'!V58+'lokale energieproductie'!Q65+'lokale energieproductie'!R65+'lokale energieproductie'!V65)*(-1)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59165.17641588</v>
      </c>
      <c r="C16" s="21">
        <f t="shared" ca="1" si="1"/>
        <v>8051.7857142857147</v>
      </c>
      <c r="D16" s="21">
        <f t="shared" ca="1" si="1"/>
        <v>31614.270927048281</v>
      </c>
      <c r="E16" s="21">
        <f t="shared" si="1"/>
        <v>1240.286381023556</v>
      </c>
      <c r="F16" s="21">
        <f t="shared" ca="1" si="1"/>
        <v>10085.598195885577</v>
      </c>
      <c r="G16" s="21">
        <f t="shared" si="1"/>
        <v>0</v>
      </c>
      <c r="H16" s="21">
        <f t="shared" si="1"/>
        <v>0</v>
      </c>
      <c r="I16" s="21">
        <f t="shared" si="1"/>
        <v>0</v>
      </c>
      <c r="J16" s="21">
        <f t="shared" si="1"/>
        <v>3.7231772273119752E-2</v>
      </c>
      <c r="K16" s="21">
        <f t="shared" si="1"/>
        <v>0</v>
      </c>
      <c r="L16" s="21">
        <f t="shared" ca="1" si="1"/>
        <v>0</v>
      </c>
      <c r="M16" s="21">
        <f t="shared" si="1"/>
        <v>0</v>
      </c>
      <c r="N16" s="21">
        <f t="shared" ca="1" si="1"/>
        <v>1380.5364701356048</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0.21006308721276301</v>
      </c>
      <c r="C18" s="25">
        <f ca="1">'EF ele_warmte'!B22</f>
        <v>0.22224334193648712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12428.41961340751</v>
      </c>
      <c r="C20" s="23">
        <f t="shared" ref="C20:P20" ca="1" si="2">C16*C18</f>
        <v>1789.4557656993222</v>
      </c>
      <c r="D20" s="23">
        <f t="shared" ca="1" si="2"/>
        <v>6386.0827272637534</v>
      </c>
      <c r="E20" s="23">
        <f t="shared" si="2"/>
        <v>281.54500849234722</v>
      </c>
      <c r="F20" s="23">
        <f t="shared" ca="1" si="2"/>
        <v>2692.8547183014493</v>
      </c>
      <c r="G20" s="23">
        <f t="shared" si="2"/>
        <v>0</v>
      </c>
      <c r="H20" s="23">
        <f t="shared" si="2"/>
        <v>0</v>
      </c>
      <c r="I20" s="23">
        <f t="shared" si="2"/>
        <v>0</v>
      </c>
      <c r="J20" s="23">
        <f t="shared" si="2"/>
        <v>1.3180047384684392E-2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3112.3240893000002</v>
      </c>
      <c r="C26" s="39">
        <f>IF(ISERROR(B26*3.6/1000000/'E Balans VL '!Z12*100),0,B26*3.6/1000000/'E Balans VL '!Z12*100)</f>
        <v>8.350742541772635E-2</v>
      </c>
      <c r="D26" s="232" t="s">
        <v>621</v>
      </c>
      <c r="F26" s="6"/>
    </row>
    <row r="27" spans="1:18">
      <c r="A27" s="227" t="s">
        <v>52</v>
      </c>
      <c r="B27" s="33">
        <f>IF(ISERROR(TER_horeca_ele_kWh/1000),0,TER_horeca_ele_kWh/1000)</f>
        <v>2745.7807853999998</v>
      </c>
      <c r="C27" s="39">
        <f>IF(ISERROR(B27*3.6/1000000/'E Balans VL '!Z9*100),0,B27*3.6/1000000/'E Balans VL '!Z9*100)</f>
        <v>0.21813310361166405</v>
      </c>
      <c r="D27" s="232" t="s">
        <v>621</v>
      </c>
      <c r="F27" s="6"/>
    </row>
    <row r="28" spans="1:18">
      <c r="A28" s="167" t="s">
        <v>51</v>
      </c>
      <c r="B28" s="33">
        <f>IF(ISERROR(TER_handel_ele_kWh/1000),0,TER_handel_ele_kWh/1000)</f>
        <v>30551.850338</v>
      </c>
      <c r="C28" s="39">
        <f>IF(ISERROR(B28*3.6/1000000/'E Balans VL '!Z13*100),0,B28*3.6/1000000/'E Balans VL '!Z13*100)</f>
        <v>0.89363800935794502</v>
      </c>
      <c r="D28" s="232" t="s">
        <v>621</v>
      </c>
      <c r="F28" s="6"/>
    </row>
    <row r="29" spans="1:18">
      <c r="A29" s="227" t="s">
        <v>50</v>
      </c>
      <c r="B29" s="33">
        <f>IF(ISERROR(TER_gezond_ele_kWh/1000),0,TER_gezond_ele_kWh/1000)</f>
        <v>1764.4420405999999</v>
      </c>
      <c r="C29" s="39">
        <f>IF(ISERROR(B29*3.6/1000000/'E Balans VL '!Z10*100),0,B29*3.6/1000000/'E Balans VL '!Z10*100)</f>
        <v>0.18727065540486029</v>
      </c>
      <c r="D29" s="232" t="s">
        <v>621</v>
      </c>
      <c r="F29" s="6"/>
    </row>
    <row r="30" spans="1:18">
      <c r="A30" s="227" t="s">
        <v>49</v>
      </c>
      <c r="B30" s="33">
        <f>IF(ISERROR(TER_ander_ele_kWh/1000),0,TER_ander_ele_kWh/1000)</f>
        <v>509.37720659999997</v>
      </c>
      <c r="C30" s="39">
        <f>IF(ISERROR(B30*3.6/1000000/'E Balans VL '!Z14*100),0,B30*3.6/1000000/'E Balans VL '!Z14*100)</f>
        <v>2.369297866583147E-2</v>
      </c>
      <c r="D30" s="232" t="s">
        <v>621</v>
      </c>
      <c r="F30" s="6"/>
    </row>
    <row r="31" spans="1:18">
      <c r="A31" s="227" t="s">
        <v>54</v>
      </c>
      <c r="B31" s="33">
        <f>IF(ISERROR(TER_onderwijs_ele_kWh/1000),0,TER_onderwijs_ele_kWh/1000)</f>
        <v>657.49211897999999</v>
      </c>
      <c r="C31" s="39">
        <f>IF(ISERROR(B31*3.6/1000000/'E Balans VL '!Z11*100),0,B31*3.6/1000000/'E Balans VL '!Z11*100)</f>
        <v>0.16455665038934758</v>
      </c>
      <c r="D31" s="232" t="s">
        <v>621</v>
      </c>
    </row>
    <row r="32" spans="1:18">
      <c r="A32" s="227" t="s">
        <v>249</v>
      </c>
      <c r="B32" s="33">
        <f>IF(ISERROR(TER_rest_ele_kWh/1000),0,TER_rest_ele_kWh/1000)</f>
        <v>14187.659836999999</v>
      </c>
      <c r="C32" s="39">
        <f>IF(ISERROR(B32*3.6/1000000/'E Balans VL '!Z8*100),0,B32*3.6/1000000/'E Balans VL '!Z8*100)</f>
        <v>0.11926177835553275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5339.3730893600004</v>
      </c>
      <c r="C5" s="17">
        <f>IF(ISERROR('Eigen informatie GS &amp; warmtenet'!B59),0,'Eigen informatie GS &amp; warmtenet'!B59)</f>
        <v>0</v>
      </c>
      <c r="D5" s="30">
        <f>SUM(D6:D15)</f>
        <v>6514.0329629566404</v>
      </c>
      <c r="E5" s="17">
        <f>SUM(E6:E15)</f>
        <v>541.78711000673388</v>
      </c>
      <c r="F5" s="17">
        <f>SUM(F6:F15)</f>
        <v>2165.172479287367</v>
      </c>
      <c r="G5" s="18"/>
      <c r="H5" s="17"/>
      <c r="I5" s="17"/>
      <c r="J5" s="17">
        <f>SUM(J6:J15)</f>
        <v>22.375197940844643</v>
      </c>
      <c r="K5" s="17"/>
      <c r="L5" s="17"/>
      <c r="M5" s="17"/>
      <c r="N5" s="17">
        <f>SUM(N6:N15)</f>
        <v>566.99868643573814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432.02046007999996</v>
      </c>
      <c r="C8" s="33"/>
      <c r="D8" s="37">
        <f>IF( ISERROR(IND_metaal_Gas_kWH/1000),0,IND_metaal_Gas_kWH/1000)*0.902</f>
        <v>295.23732200644002</v>
      </c>
      <c r="E8" s="33">
        <f>C30*'E Balans VL '!I18/100/3.6*1000000</f>
        <v>15.545403104165706</v>
      </c>
      <c r="F8" s="33">
        <f>C30*'E Balans VL '!L18/100/3.6*1000000+C30*'E Balans VL '!N18/100/3.6*1000000</f>
        <v>188.64933032037291</v>
      </c>
      <c r="G8" s="34"/>
      <c r="H8" s="33"/>
      <c r="I8" s="33"/>
      <c r="J8" s="40">
        <f>C30*'E Balans VL '!D18/100/3.6*1000000+C30*'E Balans VL '!E18/100/3.6*1000000</f>
        <v>0</v>
      </c>
      <c r="K8" s="33"/>
      <c r="L8" s="33"/>
      <c r="M8" s="33"/>
      <c r="N8" s="33">
        <f>C30*'E Balans VL '!Y18/100/3.6*1000000</f>
        <v>21.652571870198397</v>
      </c>
      <c r="O8" s="33"/>
      <c r="P8" s="33"/>
      <c r="R8" s="32"/>
    </row>
    <row r="9" spans="1:18">
      <c r="A9" s="6" t="s">
        <v>32</v>
      </c>
      <c r="B9" s="37">
        <f t="shared" si="0"/>
        <v>1400.8837454</v>
      </c>
      <c r="C9" s="33"/>
      <c r="D9" s="37">
        <f>IF( ISERROR(IND_andere_gas_kWh/1000),0,IND_andere_gas_kWh/1000)*0.902</f>
        <v>1056.4075863638</v>
      </c>
      <c r="E9" s="33">
        <f>C31*'E Balans VL '!I19/100/3.6*1000000</f>
        <v>357.47383594357166</v>
      </c>
      <c r="F9" s="33">
        <f>C31*'E Balans VL '!L19/100/3.6*1000000+C31*'E Balans VL '!N19/100/3.6*1000000</f>
        <v>1206.0556102735966</v>
      </c>
      <c r="G9" s="34"/>
      <c r="H9" s="33"/>
      <c r="I9" s="33"/>
      <c r="J9" s="40">
        <f>C31*'E Balans VL '!D19/100/3.6*1000000+C31*'E Balans VL '!E19/100/3.6*1000000</f>
        <v>0</v>
      </c>
      <c r="K9" s="33"/>
      <c r="L9" s="33"/>
      <c r="M9" s="33"/>
      <c r="N9" s="33">
        <f>C31*'E Balans VL '!Y19/100/3.6*1000000</f>
        <v>110.51333476790181</v>
      </c>
      <c r="O9" s="33"/>
      <c r="P9" s="33"/>
      <c r="R9" s="32"/>
    </row>
    <row r="10" spans="1:18">
      <c r="A10" s="6" t="s">
        <v>40</v>
      </c>
      <c r="B10" s="37">
        <f t="shared" si="0"/>
        <v>746.52327807999995</v>
      </c>
      <c r="C10" s="33"/>
      <c r="D10" s="37">
        <f>IF( ISERROR(IND_voed_gas_kWh/1000),0,IND_voed_gas_kWh/1000)*0.902</f>
        <v>264.13864982120003</v>
      </c>
      <c r="E10" s="33">
        <f>C32*'E Balans VL '!I20/100/3.6*1000000</f>
        <v>18.977646789256376</v>
      </c>
      <c r="F10" s="33">
        <f>C32*'E Balans VL '!L20/100/3.6*1000000+C32*'E Balans VL '!N20/100/3.6*1000000</f>
        <v>168.9270115486697</v>
      </c>
      <c r="G10" s="34"/>
      <c r="H10" s="33"/>
      <c r="I10" s="33"/>
      <c r="J10" s="40">
        <f>C32*'E Balans VL '!D20/100/3.6*1000000+C32*'E Balans VL '!E20/100/3.6*1000000</f>
        <v>0</v>
      </c>
      <c r="K10" s="33"/>
      <c r="L10" s="33"/>
      <c r="M10" s="33"/>
      <c r="N10" s="33">
        <f>C32*'E Balans VL '!Y20/100/3.6*1000000</f>
        <v>279.96646458938113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2759.9456058000001</v>
      </c>
      <c r="C15" s="33"/>
      <c r="D15" s="37">
        <f>IF( ISERROR(IND_rest_gas_kWh/1000),0,IND_rest_gas_kWh/1000)*0.902</f>
        <v>4898.2494047652008</v>
      </c>
      <c r="E15" s="33">
        <f>C37*'E Balans VL '!I15/100/3.6*1000000</f>
        <v>149.79022416974013</v>
      </c>
      <c r="F15" s="33">
        <f>C37*'E Balans VL '!L15/100/3.6*1000000+C37*'E Balans VL '!N15/100/3.6*1000000</f>
        <v>601.54052714472778</v>
      </c>
      <c r="G15" s="34"/>
      <c r="H15" s="33"/>
      <c r="I15" s="33"/>
      <c r="J15" s="40">
        <f>C37*'E Balans VL '!D15/100/3.6*1000000+C37*'E Balans VL '!E15/100/3.6*1000000</f>
        <v>22.375197940844643</v>
      </c>
      <c r="K15" s="33"/>
      <c r="L15" s="33"/>
      <c r="M15" s="33"/>
      <c r="N15" s="33">
        <f>C37*'E Balans VL '!Y15/100/3.6*1000000</f>
        <v>154.86631520825671</v>
      </c>
      <c r="O15" s="33"/>
      <c r="P15" s="33"/>
      <c r="R15" s="32"/>
    </row>
    <row r="16" spans="1:18">
      <c r="A16" s="16" t="s">
        <v>477</v>
      </c>
      <c r="B16" s="242">
        <f>'lokale energieproductie'!N64+'lokale energieproductie'!N57</f>
        <v>0</v>
      </c>
      <c r="C16" s="242">
        <f>'lokale energieproductie'!O64+'lokale energieproductie'!O57</f>
        <v>0</v>
      </c>
      <c r="D16" s="300">
        <f>('lokale energieproductie'!P57+'lokale energieproductie'!P64)*(-1)</f>
        <v>0</v>
      </c>
      <c r="E16" s="243"/>
      <c r="F16" s="300">
        <f>('lokale energieproductie'!S57+'lokale energieproductie'!S64)*(-1)</f>
        <v>0</v>
      </c>
      <c r="G16" s="244"/>
      <c r="H16" s="243"/>
      <c r="I16" s="243"/>
      <c r="J16" s="243"/>
      <c r="K16" s="243"/>
      <c r="L16" s="300">
        <f>('lokale energieproductie'!T57+'lokale energieproductie'!U57+'lokale energieproductie'!T64+'lokale energieproductie'!U64)*(-1)</f>
        <v>0</v>
      </c>
      <c r="M16" s="243"/>
      <c r="N16" s="300">
        <f>('lokale energieproductie'!Q57+'lokale energieproductie'!R57+'lokale energieproductie'!V57+'lokale energieproductie'!Q64+'lokale energieproductie'!R64+'lokale energieproductie'!V64)*(-1)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5339.3730893600004</v>
      </c>
      <c r="C18" s="21">
        <f>C5+C16</f>
        <v>0</v>
      </c>
      <c r="D18" s="21">
        <f>MAX((D5+D16),0)</f>
        <v>6514.0329629566404</v>
      </c>
      <c r="E18" s="21">
        <f>MAX((E5+E16),0)</f>
        <v>541.78711000673388</v>
      </c>
      <c r="F18" s="21">
        <f>MAX((F5+F16),0)</f>
        <v>2165.172479287367</v>
      </c>
      <c r="G18" s="21"/>
      <c r="H18" s="21"/>
      <c r="I18" s="21"/>
      <c r="J18" s="21">
        <f>MAX((J5+J16),0)</f>
        <v>22.375197940844643</v>
      </c>
      <c r="K18" s="21"/>
      <c r="L18" s="21">
        <f>MAX((L5+L16),0)</f>
        <v>0</v>
      </c>
      <c r="M18" s="21"/>
      <c r="N18" s="21">
        <f>MAX((N5+N16),0)</f>
        <v>566.99868643573814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0.21006308721276301</v>
      </c>
      <c r="C20" s="25">
        <f ca="1">'EF ele_warmte'!B22</f>
        <v>0.22224334193648712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1121.6051949317095</v>
      </c>
      <c r="C22" s="23">
        <f ca="1">C18*C20</f>
        <v>0</v>
      </c>
      <c r="D22" s="23">
        <f>D18*D20</f>
        <v>1315.8346585172415</v>
      </c>
      <c r="E22" s="23">
        <f>E18*E20</f>
        <v>122.9856739715286</v>
      </c>
      <c r="F22" s="23">
        <f>F18*F20</f>
        <v>578.101051969727</v>
      </c>
      <c r="G22" s="23"/>
      <c r="H22" s="23"/>
      <c r="I22" s="23"/>
      <c r="J22" s="23">
        <f>J18*J20</f>
        <v>7.9208200710590031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432.02046007999996</v>
      </c>
      <c r="C30" s="39">
        <f>IF(ISERROR(B30*3.6/1000000/'E Balans VL '!Z18*100),0,B30*3.6/1000000/'E Balans VL '!Z18*100)</f>
        <v>9.1535873216400138E-2</v>
      </c>
      <c r="D30" s="232" t="s">
        <v>621</v>
      </c>
    </row>
    <row r="31" spans="1:18">
      <c r="A31" s="6" t="s">
        <v>32</v>
      </c>
      <c r="B31" s="37">
        <f>IF( ISERROR(IND_ander_ele_kWh/1000),0,IND_ander_ele_kWh/1000)</f>
        <v>1400.8837454</v>
      </c>
      <c r="C31" s="39">
        <f>IF(ISERROR(B31*3.6/1000000/'E Balans VL '!Z19*100),0,B31*3.6/1000000/'E Balans VL '!Z19*100)</f>
        <v>5.8966377781766555E-2</v>
      </c>
      <c r="D31" s="232" t="s">
        <v>621</v>
      </c>
    </row>
    <row r="32" spans="1:18">
      <c r="A32" s="167" t="s">
        <v>40</v>
      </c>
      <c r="B32" s="37">
        <f>IF( ISERROR(IND_voed_ele_kWh/1000),0,IND_voed_ele_kWh/1000)</f>
        <v>746.52327807999995</v>
      </c>
      <c r="C32" s="39">
        <f>IF(ISERROR(B32*3.6/1000000/'E Balans VL '!Z20*100),0,B32*3.6/1000000/'E Balans VL '!Z20*100)</f>
        <v>0.12471515993324499</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2759.9456058000001</v>
      </c>
      <c r="C37" s="39">
        <f>IF(ISERROR(B37*3.6/1000000/'E Balans VL '!Z15*100),0,B37*3.6/1000000/'E Balans VL '!Z15*100)</f>
        <v>2.2282109575544488E-2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6312.0143913899992</v>
      </c>
      <c r="C5" s="17">
        <f>'Eigen informatie GS &amp; warmtenet'!B60</f>
        <v>0</v>
      </c>
      <c r="D5" s="30">
        <f>IF(ISERROR(SUM(LB_lb_gas_kWh,LB_rest_gas_kWh)/1000),0,SUM(LB_lb_gas_kWh,LB_rest_gas_kWh)/1000)*0.902</f>
        <v>445582.32714854548</v>
      </c>
      <c r="E5" s="17">
        <f>B17*'E Balans VL '!I25/3.6*1000000/100</f>
        <v>125.04643347216272</v>
      </c>
      <c r="F5" s="17">
        <f>B17*('E Balans VL '!L25/3.6*1000000+'E Balans VL '!N25/3.6*1000000)/100</f>
        <v>23018.136233989717</v>
      </c>
      <c r="G5" s="18"/>
      <c r="H5" s="17"/>
      <c r="I5" s="17"/>
      <c r="J5" s="17">
        <f>('E Balans VL '!D25+'E Balans VL '!E25)/3.6*1000000*landbouw!B17/100</f>
        <v>1498.7265218237919</v>
      </c>
      <c r="K5" s="17"/>
      <c r="L5" s="17">
        <f>L6*(-1)</f>
        <v>34830</v>
      </c>
      <c r="M5" s="17"/>
      <c r="N5" s="17">
        <f>N6*(-1)</f>
        <v>115.71428571428572</v>
      </c>
      <c r="O5" s="17"/>
      <c r="P5" s="17"/>
      <c r="R5" s="32"/>
    </row>
    <row r="6" spans="1:18">
      <c r="A6" s="16" t="s">
        <v>477</v>
      </c>
      <c r="B6" s="17" t="s">
        <v>204</v>
      </c>
      <c r="C6" s="17">
        <f>'lokale energieproductie'!O66+'lokale energieproductie'!O59</f>
        <v>230377.28571428562</v>
      </c>
      <c r="D6" s="300">
        <f>('lokale energieproductie'!P59+'lokale energieproductie'!P66)*(-1)</f>
        <v>-418842.85714285716</v>
      </c>
      <c r="E6" s="243"/>
      <c r="F6" s="300">
        <f>('lokale energieproductie'!S59+'lokale energieproductie'!S66)*(-1)</f>
        <v>-11610</v>
      </c>
      <c r="G6" s="244"/>
      <c r="H6" s="243"/>
      <c r="I6" s="243"/>
      <c r="J6" s="243"/>
      <c r="K6" s="243"/>
      <c r="L6" s="300">
        <f>('lokale energieproductie'!T59+'lokale energieproductie'!U59+'lokale energieproductie'!T66+'lokale energieproductie'!U66)*(-1)</f>
        <v>-34830</v>
      </c>
      <c r="M6" s="243"/>
      <c r="N6" s="300">
        <f>('lokale energieproductie'!V59+'lokale energieproductie'!R59+'lokale energieproductie'!Q59+'lokale energieproductie'!Q66+'lokale energieproductie'!R66+'lokale energieproductie'!V66)*(-1)</f>
        <v>-115.71428571428572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6312.0143913899992</v>
      </c>
      <c r="C8" s="21">
        <f>C5+C6</f>
        <v>230377.28571428562</v>
      </c>
      <c r="D8" s="21">
        <f>MAX((D5+D6),0)</f>
        <v>26739.470005688316</v>
      </c>
      <c r="E8" s="21">
        <f>MAX((E5+E6),0)</f>
        <v>125.04643347216272</v>
      </c>
      <c r="F8" s="21">
        <f>MAX((F5+F6),0)</f>
        <v>11408.136233989717</v>
      </c>
      <c r="G8" s="21"/>
      <c r="H8" s="21"/>
      <c r="I8" s="21"/>
      <c r="J8" s="21">
        <f>MAX((J5+J6),0)</f>
        <v>1498.7265218237919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0.21006308721276301</v>
      </c>
      <c r="C10" s="31">
        <f ca="1">'EF ele_warmte'!B22</f>
        <v>0.22224334193648712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1325.9212295867726</v>
      </c>
      <c r="C12" s="23">
        <f ca="1">C8*C10</f>
        <v>51199.817883399766</v>
      </c>
      <c r="D12" s="23">
        <f>D8*D10</f>
        <v>5401.3729411490403</v>
      </c>
      <c r="E12" s="23">
        <f>E8*E10</f>
        <v>28.38554039818094</v>
      </c>
      <c r="F12" s="23">
        <f>F8*F10</f>
        <v>3045.9723744752546</v>
      </c>
      <c r="G12" s="23"/>
      <c r="H12" s="23"/>
      <c r="I12" s="23"/>
      <c r="J12" s="23">
        <f>J8*J10</f>
        <v>530.54918872562234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0.89003583903182171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105.73543480434003</v>
      </c>
      <c r="C26" s="242">
        <f>B26*'GWP N2O_CH4'!B5</f>
        <v>2220.4441308911405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16.054045268761488</v>
      </c>
      <c r="C27" s="242">
        <f>B27*'GWP N2O_CH4'!B5</f>
        <v>337.13495064399126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1.372004569469591</v>
      </c>
      <c r="C28" s="242">
        <f>B28*'GWP N2O_CH4'!B4</f>
        <v>425.32141653557323</v>
      </c>
      <c r="D28" s="50"/>
    </row>
    <row r="29" spans="1:4">
      <c r="A29" s="41" t="s">
        <v>266</v>
      </c>
      <c r="B29" s="242">
        <f>B34*'ha_N2O bodem landbouw'!B4</f>
        <v>8.0595874176006852</v>
      </c>
      <c r="C29" s="242">
        <f>B29*'GWP N2O_CH4'!B4</f>
        <v>2498.4720994562126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1.8138451396807298E-3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7.3114063383157031E-5</v>
      </c>
      <c r="C5" s="427" t="s">
        <v>204</v>
      </c>
      <c r="D5" s="412">
        <f>SUM(D6:D11)</f>
        <v>1.2325679736019792E-4</v>
      </c>
      <c r="E5" s="412">
        <f>SUM(E6:E11)</f>
        <v>5.5516275655123897E-4</v>
      </c>
      <c r="F5" s="425" t="s">
        <v>204</v>
      </c>
      <c r="G5" s="412">
        <f>SUM(G6:G11)</f>
        <v>0.20133619874520056</v>
      </c>
      <c r="H5" s="412">
        <f>SUM(H6:H11)</f>
        <v>4.2528113708138714E-2</v>
      </c>
      <c r="I5" s="427" t="s">
        <v>204</v>
      </c>
      <c r="J5" s="427" t="s">
        <v>204</v>
      </c>
      <c r="K5" s="427" t="s">
        <v>204</v>
      </c>
      <c r="L5" s="427" t="s">
        <v>204</v>
      </c>
      <c r="M5" s="412">
        <f>SUM(M6:M11)</f>
        <v>7.6085999438933339E-3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5.5617175398504429E-5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8.7637620837308823E-5</v>
      </c>
      <c r="E6" s="818">
        <f>vkm_GW_PW*SUMIFS(TableVerdeelsleutelVkm[LPG],TableVerdeelsleutelVkm[Voertuigtype],"Lichte voertuigen")*SUMIFS(TableECFTransport[EnergieConsumptieFactor (PJ per km)],TableECFTransport[Index],CONCATENATE($A6,"_LPG_LPG"))</f>
        <v>4.0004510556654614E-4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0.10801295706730218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3.0499673958374499E-2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4.3121773118900541E-3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1.4188275573846533E-6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4.8905375207384666E-2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9.9355434545117441E-7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1.5385691743848215E-3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1.5956944098935793E-5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3.5619176522889078E-5</v>
      </c>
      <c r="E8" s="415">
        <f>vkm_NGW_PW*SUMIFS(TableVerdeelsleutelVkm[LPG],TableVerdeelsleutelVkm[Voertuigtype],"Lichte voertuigen")*SUMIFS(TableECFTransport[EnergieConsumptieFactor (PJ per km)],TableECFTransport[Index],CONCATENATE($A8,"_LPG_LPG"))</f>
        <v>1.5511765098469285E-4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3.9050135336031841E-2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1.2027343823426543E-2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1.588984170015535E-3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1.2111632833215564E-7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5.3677311344818941E-3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1.023719922136444E-7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1.6886928760292226E-4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20.309462050876952</v>
      </c>
      <c r="C14" s="21"/>
      <c r="D14" s="21">
        <f t="shared" ref="D14:M14" si="0">((D5)*10^9/3600)+D12</f>
        <v>34.237999266721644</v>
      </c>
      <c r="E14" s="21">
        <f t="shared" si="0"/>
        <v>154.21187681978859</v>
      </c>
      <c r="F14" s="21"/>
      <c r="G14" s="21">
        <f t="shared" si="0"/>
        <v>55926.721873666829</v>
      </c>
      <c r="H14" s="21">
        <f t="shared" si="0"/>
        <v>11813.36491892742</v>
      </c>
      <c r="I14" s="21"/>
      <c r="J14" s="21"/>
      <c r="K14" s="21"/>
      <c r="L14" s="21"/>
      <c r="M14" s="21">
        <f t="shared" si="0"/>
        <v>2113.4999844148151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0.21006308721276301</v>
      </c>
      <c r="C16" s="56">
        <f ca="1">'EF ele_warmte'!B22</f>
        <v>0.22224334193648712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4.2662682980376658</v>
      </c>
      <c r="C18" s="23"/>
      <c r="D18" s="23">
        <f t="shared" ref="D18:M18" si="1">D14*D16</f>
        <v>6.916075851877773</v>
      </c>
      <c r="E18" s="23">
        <f t="shared" si="1"/>
        <v>35.006096038092011</v>
      </c>
      <c r="F18" s="23"/>
      <c r="G18" s="23">
        <f t="shared" si="1"/>
        <v>14932.434740269044</v>
      </c>
      <c r="H18" s="23">
        <f t="shared" si="1"/>
        <v>2941.5278648129274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4.8340985415146239E-5</v>
      </c>
      <c r="C50" s="311">
        <f t="shared" ref="C50:P50" si="2">SUM(C51:C52)</f>
        <v>0</v>
      </c>
      <c r="D50" s="311">
        <f t="shared" si="2"/>
        <v>0</v>
      </c>
      <c r="E50" s="311">
        <f t="shared" si="2"/>
        <v>0</v>
      </c>
      <c r="F50" s="311">
        <f t="shared" si="2"/>
        <v>0</v>
      </c>
      <c r="G50" s="311">
        <f t="shared" si="2"/>
        <v>8.6193000437990927E-3</v>
      </c>
      <c r="H50" s="311">
        <f t="shared" si="2"/>
        <v>0</v>
      </c>
      <c r="I50" s="311">
        <f t="shared" si="2"/>
        <v>0</v>
      </c>
      <c r="J50" s="311">
        <f t="shared" si="2"/>
        <v>0</v>
      </c>
      <c r="K50" s="311">
        <f t="shared" si="2"/>
        <v>0</v>
      </c>
      <c r="L50" s="311">
        <f t="shared" si="2"/>
        <v>0</v>
      </c>
      <c r="M50" s="311">
        <f t="shared" si="2"/>
        <v>2.6906115073467481E-4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4.8340985415146239E-5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8.6193000437990927E-3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2.6906115073467481E-4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13.428051504207289</v>
      </c>
      <c r="C54" s="21">
        <f t="shared" ref="C54:P54" si="3">(C50)*10^9/3600</f>
        <v>0</v>
      </c>
      <c r="D54" s="21">
        <f t="shared" si="3"/>
        <v>0</v>
      </c>
      <c r="E54" s="21">
        <f t="shared" si="3"/>
        <v>0</v>
      </c>
      <c r="F54" s="21">
        <f t="shared" si="3"/>
        <v>0</v>
      </c>
      <c r="G54" s="21">
        <f t="shared" si="3"/>
        <v>2394.2500121664148</v>
      </c>
      <c r="H54" s="21">
        <f t="shared" si="3"/>
        <v>0</v>
      </c>
      <c r="I54" s="21">
        <f t="shared" si="3"/>
        <v>0</v>
      </c>
      <c r="J54" s="21">
        <f t="shared" si="3"/>
        <v>0</v>
      </c>
      <c r="K54" s="21">
        <f t="shared" si="3"/>
        <v>0</v>
      </c>
      <c r="L54" s="21">
        <f t="shared" si="3"/>
        <v>0</v>
      </c>
      <c r="M54" s="21">
        <f t="shared" si="3"/>
        <v>74.739208537409681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0.21006308721276301</v>
      </c>
      <c r="C56" s="56">
        <f ca="1">'EF ele_warmte'!B22</f>
        <v>0.22224334193648712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2.8207379542257693</v>
      </c>
      <c r="C58" s="23">
        <f t="shared" ref="C58:P58" ca="1" si="4">C54*C56</f>
        <v>0</v>
      </c>
      <c r="D58" s="23">
        <f t="shared" si="4"/>
        <v>0</v>
      </c>
      <c r="E58" s="23">
        <f t="shared" si="4"/>
        <v>0</v>
      </c>
      <c r="F58" s="23">
        <f t="shared" si="4"/>
        <v>0</v>
      </c>
      <c r="G58" s="23">
        <f t="shared" si="4"/>
        <v>639.26475324843273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78"/>
  <sheetViews>
    <sheetView showGridLines="0" zoomScale="65" zoomScaleNormal="65" workbookViewId="0">
      <selection activeCell="A28" sqref="A28:XFD56"/>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9906.4006988882702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N56</f>
        <v>170847.75</v>
      </c>
      <c r="C8" s="534">
        <f>B75</f>
        <v>181563.22274148892</v>
      </c>
      <c r="D8" s="961"/>
      <c r="E8" s="961">
        <f>E75</f>
        <v>4846.4566612311219</v>
      </c>
      <c r="F8" s="962"/>
      <c r="G8" s="535"/>
      <c r="H8" s="961">
        <f>I75</f>
        <v>0</v>
      </c>
      <c r="I8" s="961">
        <f>G75+F75</f>
        <v>14539.369983693367</v>
      </c>
      <c r="J8" s="961">
        <f>H75+D75+C75</f>
        <v>48.303554763100891</v>
      </c>
      <c r="K8" s="961"/>
      <c r="L8" s="961"/>
      <c r="M8" s="961"/>
      <c r="N8" s="536"/>
      <c r="O8" s="537">
        <f>C8*$C$12+D8*$D$12+E8*$E$12+F8*$F$12+G8*$G$12+H8*$H$12+I8*$I$12+J8*$J$12</f>
        <v>37969.774922329474</v>
      </c>
      <c r="P8" s="1205"/>
      <c r="Q8" s="1206"/>
      <c r="S8" s="925"/>
      <c r="T8" s="1180"/>
      <c r="U8" s="1180"/>
    </row>
    <row r="9" spans="1:21" s="523" customFormat="1" ht="17.45" customHeight="1" thickBot="1">
      <c r="A9" s="538" t="s">
        <v>237</v>
      </c>
      <c r="B9" s="539">
        <f>N63+'Eigen informatie GS &amp; warmtenet'!B12</f>
        <v>0</v>
      </c>
      <c r="C9" s="540">
        <f>P63+IF(ISERROR(('Eigen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S63+IF(ISERROR('Eigen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W63+IF(ISERROR('Eigen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(T63+U63)+IF(ISERROR('Eigen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V63+Q63+R63+IF(ISERROR('Eigen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180754.15069888826</v>
      </c>
      <c r="C10" s="547">
        <f t="shared" ref="C10:L10" si="0">SUM(C8:C9)</f>
        <v>181563.22274148892</v>
      </c>
      <c r="D10" s="547">
        <f t="shared" si="0"/>
        <v>0</v>
      </c>
      <c r="E10" s="547">
        <f t="shared" si="0"/>
        <v>4846.4566612311219</v>
      </c>
      <c r="F10" s="547">
        <f t="shared" si="0"/>
        <v>0</v>
      </c>
      <c r="G10" s="547">
        <f t="shared" si="0"/>
        <v>0</v>
      </c>
      <c r="H10" s="547">
        <f t="shared" si="0"/>
        <v>0</v>
      </c>
      <c r="I10" s="547">
        <f t="shared" si="0"/>
        <v>14539.369983693367</v>
      </c>
      <c r="J10" s="547">
        <f t="shared" si="0"/>
        <v>48.303554763100891</v>
      </c>
      <c r="K10" s="547">
        <f t="shared" si="0"/>
        <v>0</v>
      </c>
      <c r="L10" s="547">
        <f t="shared" si="0"/>
        <v>0</v>
      </c>
      <c r="M10" s="964"/>
      <c r="N10" s="964"/>
      <c r="O10" s="548">
        <f>SUM(O4:O9)</f>
        <v>37969.774922329474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O56</f>
        <v>238429.07142857136</v>
      </c>
      <c r="C17" s="559">
        <f>B76</f>
        <v>253383.2058299396</v>
      </c>
      <c r="D17" s="560"/>
      <c r="E17" s="560">
        <f>E76</f>
        <v>6763.5433387688781</v>
      </c>
      <c r="F17" s="967"/>
      <c r="G17" s="561"/>
      <c r="H17" s="559">
        <f>I76</f>
        <v>0</v>
      </c>
      <c r="I17" s="560">
        <f>G76+F76</f>
        <v>20290.630016306633</v>
      </c>
      <c r="J17" s="560">
        <f>H76+D76+C76</f>
        <v>67.410730951184831</v>
      </c>
      <c r="K17" s="560"/>
      <c r="L17" s="560"/>
      <c r="M17" s="560"/>
      <c r="N17" s="968"/>
      <c r="O17" s="562">
        <f>C17*$C$22+E17*$E$22+H17*$H$22+I17*$I$22+J17*$J$22+D17*$D$22+F17*$F$22+G17*$G$22+K17*$K$22+L17*$L$22</f>
        <v>52989.273649099094</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238429.07142857136</v>
      </c>
      <c r="C20" s="546">
        <f>SUM(C17:C19)</f>
        <v>253383.2058299396</v>
      </c>
      <c r="D20" s="546">
        <f t="shared" ref="D20:L20" si="1">SUM(D17:D19)</f>
        <v>0</v>
      </c>
      <c r="E20" s="546">
        <f t="shared" si="1"/>
        <v>6763.5433387688781</v>
      </c>
      <c r="F20" s="546">
        <f t="shared" si="1"/>
        <v>0</v>
      </c>
      <c r="G20" s="546">
        <f t="shared" si="1"/>
        <v>0</v>
      </c>
      <c r="H20" s="546">
        <f t="shared" si="1"/>
        <v>0</v>
      </c>
      <c r="I20" s="546">
        <f t="shared" si="1"/>
        <v>20290.630016306633</v>
      </c>
      <c r="J20" s="546">
        <f t="shared" si="1"/>
        <v>67.410730951184831</v>
      </c>
      <c r="K20" s="546">
        <f t="shared" si="1"/>
        <v>0</v>
      </c>
      <c r="L20" s="546">
        <f t="shared" si="1"/>
        <v>0</v>
      </c>
      <c r="M20" s="546"/>
      <c r="N20" s="546"/>
      <c r="O20" s="565">
        <f>SUM(O17:O19)</f>
        <v>52989.273649099094</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38.25" hidden="1">
      <c r="A28" s="569"/>
      <c r="B28" s="724">
        <v>12035</v>
      </c>
      <c r="C28" s="724">
        <v>2860</v>
      </c>
      <c r="D28" s="617"/>
      <c r="E28" s="616"/>
      <c r="F28" s="616"/>
      <c r="G28" s="616" t="s">
        <v>887</v>
      </c>
      <c r="H28" s="616" t="s">
        <v>888</v>
      </c>
      <c r="I28" s="616"/>
      <c r="J28" s="723"/>
      <c r="K28" s="723"/>
      <c r="L28" s="616" t="s">
        <v>889</v>
      </c>
      <c r="M28" s="616">
        <v>1129</v>
      </c>
      <c r="N28" s="616">
        <v>5080.5</v>
      </c>
      <c r="O28" s="616">
        <v>5715.5625</v>
      </c>
      <c r="P28" s="616">
        <v>0</v>
      </c>
      <c r="Q28" s="616">
        <v>0</v>
      </c>
      <c r="R28" s="616">
        <v>0</v>
      </c>
      <c r="S28" s="616">
        <v>3175.3125</v>
      </c>
      <c r="T28" s="616">
        <v>9525.9375</v>
      </c>
      <c r="U28" s="616">
        <v>0</v>
      </c>
      <c r="V28" s="616">
        <v>0</v>
      </c>
      <c r="W28" s="616">
        <v>0</v>
      </c>
      <c r="X28" s="616"/>
      <c r="Y28" s="616">
        <v>10</v>
      </c>
      <c r="Z28" s="616" t="s">
        <v>105</v>
      </c>
      <c r="AA28" s="618" t="s">
        <v>105</v>
      </c>
    </row>
    <row r="29" spans="1:27" s="570" customFormat="1" ht="25.5" hidden="1">
      <c r="A29" s="569"/>
      <c r="B29" s="724">
        <v>12035</v>
      </c>
      <c r="C29" s="724">
        <v>2861</v>
      </c>
      <c r="D29" s="617"/>
      <c r="E29" s="616"/>
      <c r="F29" s="616"/>
      <c r="G29" s="616" t="s">
        <v>887</v>
      </c>
      <c r="H29" s="616" t="s">
        <v>890</v>
      </c>
      <c r="I29" s="616"/>
      <c r="J29" s="723"/>
      <c r="K29" s="723"/>
      <c r="L29" s="616" t="s">
        <v>889</v>
      </c>
      <c r="M29" s="616">
        <v>1752</v>
      </c>
      <c r="N29" s="616">
        <v>7884</v>
      </c>
      <c r="O29" s="616">
        <v>11262.857142857143</v>
      </c>
      <c r="P29" s="616">
        <v>22525.714285714286</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12035</v>
      </c>
      <c r="C30" s="724">
        <v>2861</v>
      </c>
      <c r="D30" s="617"/>
      <c r="E30" s="616"/>
      <c r="F30" s="616"/>
      <c r="G30" s="616" t="s">
        <v>887</v>
      </c>
      <c r="H30" s="616" t="s">
        <v>890</v>
      </c>
      <c r="I30" s="616"/>
      <c r="J30" s="723"/>
      <c r="K30" s="723"/>
      <c r="L30" s="616" t="s">
        <v>889</v>
      </c>
      <c r="M30" s="616">
        <v>1984</v>
      </c>
      <c r="N30" s="616">
        <v>8928</v>
      </c>
      <c r="O30" s="616">
        <v>12754.285714285714</v>
      </c>
      <c r="P30" s="616">
        <v>25508.571428571431</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12035</v>
      </c>
      <c r="C31" s="724">
        <v>2861</v>
      </c>
      <c r="D31" s="617"/>
      <c r="E31" s="616"/>
      <c r="F31" s="616"/>
      <c r="G31" s="616" t="s">
        <v>887</v>
      </c>
      <c r="H31" s="616" t="s">
        <v>890</v>
      </c>
      <c r="I31" s="616"/>
      <c r="J31" s="723"/>
      <c r="K31" s="723"/>
      <c r="L31" s="616" t="s">
        <v>889</v>
      </c>
      <c r="M31" s="616">
        <v>1564</v>
      </c>
      <c r="N31" s="616">
        <v>7038</v>
      </c>
      <c r="O31" s="616">
        <v>10054.285714285714</v>
      </c>
      <c r="P31" s="616">
        <v>20108.571428571431</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12035</v>
      </c>
      <c r="C32" s="724">
        <v>2861</v>
      </c>
      <c r="D32" s="617"/>
      <c r="E32" s="616"/>
      <c r="F32" s="616"/>
      <c r="G32" s="616" t="s">
        <v>887</v>
      </c>
      <c r="H32" s="616" t="s">
        <v>890</v>
      </c>
      <c r="I32" s="616"/>
      <c r="J32" s="723"/>
      <c r="K32" s="723"/>
      <c r="L32" s="616" t="s">
        <v>889</v>
      </c>
      <c r="M32" s="616">
        <v>2566</v>
      </c>
      <c r="N32" s="616">
        <v>11547</v>
      </c>
      <c r="O32" s="616">
        <v>16495.714285714286</v>
      </c>
      <c r="P32" s="616">
        <v>32991.428571428572</v>
      </c>
      <c r="Q32" s="616">
        <v>0</v>
      </c>
      <c r="R32" s="616">
        <v>0</v>
      </c>
      <c r="S32" s="616">
        <v>0</v>
      </c>
      <c r="T32" s="616">
        <v>0</v>
      </c>
      <c r="U32" s="616">
        <v>0</v>
      </c>
      <c r="V32" s="616">
        <v>0</v>
      </c>
      <c r="W32" s="616">
        <v>0</v>
      </c>
      <c r="X32" s="616"/>
      <c r="Y32" s="616">
        <v>10</v>
      </c>
      <c r="Z32" s="616" t="s">
        <v>105</v>
      </c>
      <c r="AA32" s="618" t="s">
        <v>105</v>
      </c>
    </row>
    <row r="33" spans="1:27" s="570" customFormat="1" ht="25.5" hidden="1">
      <c r="A33" s="569"/>
      <c r="B33" s="724">
        <v>12035</v>
      </c>
      <c r="C33" s="724">
        <v>2861</v>
      </c>
      <c r="D33" s="617"/>
      <c r="E33" s="616"/>
      <c r="F33" s="616"/>
      <c r="G33" s="616" t="s">
        <v>887</v>
      </c>
      <c r="H33" s="616" t="s">
        <v>890</v>
      </c>
      <c r="I33" s="616"/>
      <c r="J33" s="723"/>
      <c r="K33" s="723"/>
      <c r="L33" s="616" t="s">
        <v>889</v>
      </c>
      <c r="M33" s="616">
        <v>1006</v>
      </c>
      <c r="N33" s="616">
        <v>4527</v>
      </c>
      <c r="O33" s="616">
        <v>6467.1428571428569</v>
      </c>
      <c r="P33" s="616">
        <v>12934.285714285716</v>
      </c>
      <c r="Q33" s="616">
        <v>0</v>
      </c>
      <c r="R33" s="616">
        <v>0</v>
      </c>
      <c r="S33" s="616">
        <v>0</v>
      </c>
      <c r="T33" s="616">
        <v>0</v>
      </c>
      <c r="U33" s="616">
        <v>0</v>
      </c>
      <c r="V33" s="616">
        <v>0</v>
      </c>
      <c r="W33" s="616">
        <v>0</v>
      </c>
      <c r="X33" s="616"/>
      <c r="Y33" s="616">
        <v>10</v>
      </c>
      <c r="Z33" s="616" t="s">
        <v>105</v>
      </c>
      <c r="AA33" s="618" t="s">
        <v>105</v>
      </c>
    </row>
    <row r="34" spans="1:27" s="570" customFormat="1" ht="25.5" hidden="1">
      <c r="A34" s="569"/>
      <c r="B34" s="724">
        <v>12035</v>
      </c>
      <c r="C34" s="724">
        <v>2860</v>
      </c>
      <c r="D34" s="617"/>
      <c r="E34" s="616"/>
      <c r="F34" s="616"/>
      <c r="G34" s="616" t="s">
        <v>887</v>
      </c>
      <c r="H34" s="616" t="s">
        <v>890</v>
      </c>
      <c r="I34" s="616"/>
      <c r="J34" s="723"/>
      <c r="K34" s="723"/>
      <c r="L34" s="616" t="s">
        <v>889</v>
      </c>
      <c r="M34" s="616">
        <v>1158</v>
      </c>
      <c r="N34" s="616">
        <v>5211</v>
      </c>
      <c r="O34" s="616">
        <v>7444.2857142857147</v>
      </c>
      <c r="P34" s="616">
        <v>14888.571428571429</v>
      </c>
      <c r="Q34" s="616">
        <v>0</v>
      </c>
      <c r="R34" s="616">
        <v>0</v>
      </c>
      <c r="S34" s="616">
        <v>0</v>
      </c>
      <c r="T34" s="616">
        <v>0</v>
      </c>
      <c r="U34" s="616">
        <v>0</v>
      </c>
      <c r="V34" s="616">
        <v>0</v>
      </c>
      <c r="W34" s="616">
        <v>0</v>
      </c>
      <c r="X34" s="616"/>
      <c r="Y34" s="616">
        <v>10</v>
      </c>
      <c r="Z34" s="616" t="s">
        <v>105</v>
      </c>
      <c r="AA34" s="618" t="s">
        <v>105</v>
      </c>
    </row>
    <row r="35" spans="1:27" s="570" customFormat="1" ht="25.5" hidden="1">
      <c r="A35" s="569"/>
      <c r="B35" s="724">
        <v>12035</v>
      </c>
      <c r="C35" s="724">
        <v>2861</v>
      </c>
      <c r="D35" s="617"/>
      <c r="E35" s="616"/>
      <c r="F35" s="616"/>
      <c r="G35" s="616" t="s">
        <v>887</v>
      </c>
      <c r="H35" s="616" t="s">
        <v>890</v>
      </c>
      <c r="I35" s="616"/>
      <c r="J35" s="723"/>
      <c r="K35" s="723"/>
      <c r="L35" s="616" t="s">
        <v>889</v>
      </c>
      <c r="M35" s="616">
        <v>2014</v>
      </c>
      <c r="N35" s="616">
        <v>9062.9999999999982</v>
      </c>
      <c r="O35" s="616">
        <v>12947.142857142855</v>
      </c>
      <c r="P35" s="616">
        <v>25894.28571428571</v>
      </c>
      <c r="Q35" s="616">
        <v>0</v>
      </c>
      <c r="R35" s="616">
        <v>0</v>
      </c>
      <c r="S35" s="616">
        <v>0</v>
      </c>
      <c r="T35" s="616">
        <v>0</v>
      </c>
      <c r="U35" s="616">
        <v>0</v>
      </c>
      <c r="V35" s="616">
        <v>0</v>
      </c>
      <c r="W35" s="616">
        <v>0</v>
      </c>
      <c r="X35" s="616"/>
      <c r="Y35" s="616">
        <v>10</v>
      </c>
      <c r="Z35" s="616" t="s">
        <v>105</v>
      </c>
      <c r="AA35" s="618" t="s">
        <v>105</v>
      </c>
    </row>
    <row r="36" spans="1:27" s="570" customFormat="1" ht="38.25" hidden="1">
      <c r="A36" s="569"/>
      <c r="B36" s="724">
        <v>12035</v>
      </c>
      <c r="C36" s="724">
        <v>2860</v>
      </c>
      <c r="D36" s="617"/>
      <c r="E36" s="616"/>
      <c r="F36" s="616"/>
      <c r="G36" s="616" t="s">
        <v>887</v>
      </c>
      <c r="H36" s="616" t="s">
        <v>888</v>
      </c>
      <c r="I36" s="616"/>
      <c r="J36" s="723"/>
      <c r="K36" s="723"/>
      <c r="L36" s="616" t="s">
        <v>891</v>
      </c>
      <c r="M36" s="616">
        <v>773</v>
      </c>
      <c r="N36" s="616">
        <v>3478.5</v>
      </c>
      <c r="O36" s="616">
        <v>3913.3125</v>
      </c>
      <c r="P36" s="616">
        <v>0</v>
      </c>
      <c r="Q36" s="616">
        <v>0</v>
      </c>
      <c r="R36" s="616">
        <v>0</v>
      </c>
      <c r="S36" s="616">
        <v>2174.0625</v>
      </c>
      <c r="T36" s="616">
        <v>6522.1875</v>
      </c>
      <c r="U36" s="616">
        <v>0</v>
      </c>
      <c r="V36" s="616">
        <v>0</v>
      </c>
      <c r="W36" s="616">
        <v>0</v>
      </c>
      <c r="X36" s="616"/>
      <c r="Y36" s="616">
        <v>10</v>
      </c>
      <c r="Z36" s="616" t="s">
        <v>105</v>
      </c>
      <c r="AA36" s="618" t="s">
        <v>105</v>
      </c>
    </row>
    <row r="37" spans="1:27" s="570" customFormat="1" ht="25.5" hidden="1">
      <c r="A37" s="569"/>
      <c r="B37" s="724">
        <v>12035</v>
      </c>
      <c r="C37" s="724">
        <v>2861</v>
      </c>
      <c r="D37" s="617"/>
      <c r="E37" s="616"/>
      <c r="F37" s="616"/>
      <c r="G37" s="616" t="s">
        <v>887</v>
      </c>
      <c r="H37" s="616" t="s">
        <v>890</v>
      </c>
      <c r="I37" s="616"/>
      <c r="J37" s="723"/>
      <c r="K37" s="723"/>
      <c r="L37" s="616" t="s">
        <v>889</v>
      </c>
      <c r="M37" s="616">
        <v>1400</v>
      </c>
      <c r="N37" s="616">
        <v>6300</v>
      </c>
      <c r="O37" s="616">
        <v>9000</v>
      </c>
      <c r="P37" s="616">
        <v>18000</v>
      </c>
      <c r="Q37" s="616">
        <v>0</v>
      </c>
      <c r="R37" s="616">
        <v>0</v>
      </c>
      <c r="S37" s="616">
        <v>0</v>
      </c>
      <c r="T37" s="616">
        <v>0</v>
      </c>
      <c r="U37" s="616">
        <v>0</v>
      </c>
      <c r="V37" s="616">
        <v>0</v>
      </c>
      <c r="W37" s="616">
        <v>0</v>
      </c>
      <c r="X37" s="616"/>
      <c r="Y37" s="616">
        <v>10</v>
      </c>
      <c r="Z37" s="616" t="s">
        <v>105</v>
      </c>
      <c r="AA37" s="618" t="s">
        <v>105</v>
      </c>
    </row>
    <row r="38" spans="1:27" s="570" customFormat="1" ht="25.5" hidden="1">
      <c r="A38" s="569"/>
      <c r="B38" s="724">
        <v>12035</v>
      </c>
      <c r="C38" s="724">
        <v>2861</v>
      </c>
      <c r="D38" s="617"/>
      <c r="E38" s="616"/>
      <c r="F38" s="616"/>
      <c r="G38" s="616" t="s">
        <v>887</v>
      </c>
      <c r="H38" s="616" t="s">
        <v>890</v>
      </c>
      <c r="I38" s="616"/>
      <c r="J38" s="723"/>
      <c r="K38" s="723"/>
      <c r="L38" s="616" t="s">
        <v>889</v>
      </c>
      <c r="M38" s="616">
        <v>1562</v>
      </c>
      <c r="N38" s="616">
        <v>7029</v>
      </c>
      <c r="O38" s="616">
        <v>10041.428571428572</v>
      </c>
      <c r="P38" s="616">
        <v>20082.857142857145</v>
      </c>
      <c r="Q38" s="616">
        <v>0</v>
      </c>
      <c r="R38" s="616">
        <v>0</v>
      </c>
      <c r="S38" s="616">
        <v>0</v>
      </c>
      <c r="T38" s="616">
        <v>0</v>
      </c>
      <c r="U38" s="616">
        <v>0</v>
      </c>
      <c r="V38" s="616">
        <v>0</v>
      </c>
      <c r="W38" s="616">
        <v>0</v>
      </c>
      <c r="X38" s="616"/>
      <c r="Y38" s="616">
        <v>10</v>
      </c>
      <c r="Z38" s="616" t="s">
        <v>105</v>
      </c>
      <c r="AA38" s="618" t="s">
        <v>105</v>
      </c>
    </row>
    <row r="39" spans="1:27" s="570" customFormat="1" ht="25.5" hidden="1">
      <c r="A39" s="569"/>
      <c r="B39" s="724">
        <v>12035</v>
      </c>
      <c r="C39" s="724">
        <v>2860</v>
      </c>
      <c r="D39" s="617"/>
      <c r="E39" s="616"/>
      <c r="F39" s="616"/>
      <c r="G39" s="616" t="s">
        <v>887</v>
      </c>
      <c r="H39" s="616" t="s">
        <v>890</v>
      </c>
      <c r="I39" s="616"/>
      <c r="J39" s="723"/>
      <c r="K39" s="723"/>
      <c r="L39" s="616" t="s">
        <v>889</v>
      </c>
      <c r="M39" s="616">
        <v>2014</v>
      </c>
      <c r="N39" s="616">
        <v>9062.9999999999982</v>
      </c>
      <c r="O39" s="616">
        <v>12947.142857142855</v>
      </c>
      <c r="P39" s="616">
        <v>25894.28571428571</v>
      </c>
      <c r="Q39" s="616">
        <v>0</v>
      </c>
      <c r="R39" s="616">
        <v>0</v>
      </c>
      <c r="S39" s="616">
        <v>0</v>
      </c>
      <c r="T39" s="616">
        <v>0</v>
      </c>
      <c r="U39" s="616">
        <v>0</v>
      </c>
      <c r="V39" s="616">
        <v>0</v>
      </c>
      <c r="W39" s="616">
        <v>0</v>
      </c>
      <c r="X39" s="616"/>
      <c r="Y39" s="616">
        <v>10</v>
      </c>
      <c r="Z39" s="616" t="s">
        <v>105</v>
      </c>
      <c r="AA39" s="618" t="s">
        <v>105</v>
      </c>
    </row>
    <row r="40" spans="1:27" s="570" customFormat="1" ht="25.5" hidden="1">
      <c r="A40" s="569"/>
      <c r="B40" s="724">
        <v>12035</v>
      </c>
      <c r="C40" s="724">
        <v>2861</v>
      </c>
      <c r="D40" s="617"/>
      <c r="E40" s="616"/>
      <c r="F40" s="616"/>
      <c r="G40" s="616" t="s">
        <v>887</v>
      </c>
      <c r="H40" s="616" t="s">
        <v>890</v>
      </c>
      <c r="I40" s="616"/>
      <c r="J40" s="723"/>
      <c r="K40" s="723"/>
      <c r="L40" s="616" t="s">
        <v>889</v>
      </c>
      <c r="M40" s="616">
        <v>2014</v>
      </c>
      <c r="N40" s="616">
        <v>9062.9999999999982</v>
      </c>
      <c r="O40" s="616">
        <v>12947.142857142855</v>
      </c>
      <c r="P40" s="616">
        <v>25894.28571428571</v>
      </c>
      <c r="Q40" s="616">
        <v>0</v>
      </c>
      <c r="R40" s="616">
        <v>0</v>
      </c>
      <c r="S40" s="616">
        <v>0</v>
      </c>
      <c r="T40" s="616">
        <v>0</v>
      </c>
      <c r="U40" s="616">
        <v>0</v>
      </c>
      <c r="V40" s="616">
        <v>0</v>
      </c>
      <c r="W40" s="616">
        <v>0</v>
      </c>
      <c r="X40" s="616"/>
      <c r="Y40" s="616">
        <v>10</v>
      </c>
      <c r="Z40" s="616" t="s">
        <v>105</v>
      </c>
      <c r="AA40" s="618" t="s">
        <v>105</v>
      </c>
    </row>
    <row r="41" spans="1:27" s="570" customFormat="1" ht="25.5" hidden="1">
      <c r="A41" s="569"/>
      <c r="B41" s="724">
        <v>12035</v>
      </c>
      <c r="C41" s="724">
        <v>2860</v>
      </c>
      <c r="D41" s="617"/>
      <c r="E41" s="616"/>
      <c r="F41" s="616"/>
      <c r="G41" s="616" t="s">
        <v>887</v>
      </c>
      <c r="H41" s="616" t="s">
        <v>890</v>
      </c>
      <c r="I41" s="616"/>
      <c r="J41" s="723"/>
      <c r="K41" s="723"/>
      <c r="L41" s="616" t="s">
        <v>889</v>
      </c>
      <c r="M41" s="616">
        <v>2789</v>
      </c>
      <c r="N41" s="616">
        <v>12550.5</v>
      </c>
      <c r="O41" s="616">
        <v>17929.285714285714</v>
      </c>
      <c r="P41" s="616">
        <v>35858.571428571428</v>
      </c>
      <c r="Q41" s="616">
        <v>0</v>
      </c>
      <c r="R41" s="616">
        <v>0</v>
      </c>
      <c r="S41" s="616">
        <v>0</v>
      </c>
      <c r="T41" s="616">
        <v>0</v>
      </c>
      <c r="U41" s="616">
        <v>0</v>
      </c>
      <c r="V41" s="616">
        <v>0</v>
      </c>
      <c r="W41" s="616">
        <v>0</v>
      </c>
      <c r="X41" s="616"/>
      <c r="Y41" s="616">
        <v>10</v>
      </c>
      <c r="Z41" s="616" t="s">
        <v>105</v>
      </c>
      <c r="AA41" s="618" t="s">
        <v>105</v>
      </c>
    </row>
    <row r="42" spans="1:27" s="570" customFormat="1" ht="38.25" hidden="1">
      <c r="A42" s="569"/>
      <c r="B42" s="724">
        <v>12035</v>
      </c>
      <c r="C42" s="724">
        <v>2861</v>
      </c>
      <c r="D42" s="617"/>
      <c r="E42" s="616"/>
      <c r="F42" s="616"/>
      <c r="G42" s="616" t="s">
        <v>887</v>
      </c>
      <c r="H42" s="616" t="s">
        <v>888</v>
      </c>
      <c r="I42" s="616"/>
      <c r="J42" s="723"/>
      <c r="K42" s="723"/>
      <c r="L42" s="616" t="s">
        <v>889</v>
      </c>
      <c r="M42" s="616">
        <v>640</v>
      </c>
      <c r="N42" s="616">
        <v>2880</v>
      </c>
      <c r="O42" s="616">
        <v>3240</v>
      </c>
      <c r="P42" s="616">
        <v>0</v>
      </c>
      <c r="Q42" s="616">
        <v>0</v>
      </c>
      <c r="R42" s="616">
        <v>0</v>
      </c>
      <c r="S42" s="616">
        <v>1800</v>
      </c>
      <c r="T42" s="616">
        <v>5400</v>
      </c>
      <c r="U42" s="616">
        <v>0</v>
      </c>
      <c r="V42" s="616">
        <v>0</v>
      </c>
      <c r="W42" s="616">
        <v>0</v>
      </c>
      <c r="X42" s="616"/>
      <c r="Y42" s="616">
        <v>10</v>
      </c>
      <c r="Z42" s="616" t="s">
        <v>105</v>
      </c>
      <c r="AA42" s="618" t="s">
        <v>105</v>
      </c>
    </row>
    <row r="43" spans="1:27" s="570" customFormat="1" ht="38.25" hidden="1">
      <c r="A43" s="569"/>
      <c r="B43" s="724">
        <v>12035</v>
      </c>
      <c r="C43" s="724">
        <v>2860</v>
      </c>
      <c r="D43" s="617"/>
      <c r="E43" s="616"/>
      <c r="F43" s="616"/>
      <c r="G43" s="616" t="s">
        <v>887</v>
      </c>
      <c r="H43" s="616" t="s">
        <v>888</v>
      </c>
      <c r="I43" s="616"/>
      <c r="J43" s="723"/>
      <c r="K43" s="723"/>
      <c r="L43" s="616" t="s">
        <v>889</v>
      </c>
      <c r="M43" s="616">
        <v>1058</v>
      </c>
      <c r="N43" s="616">
        <v>4761</v>
      </c>
      <c r="O43" s="616">
        <v>5356.125</v>
      </c>
      <c r="P43" s="616">
        <v>0</v>
      </c>
      <c r="Q43" s="616">
        <v>0</v>
      </c>
      <c r="R43" s="616">
        <v>0</v>
      </c>
      <c r="S43" s="616">
        <v>2975.625</v>
      </c>
      <c r="T43" s="616">
        <v>8926.875</v>
      </c>
      <c r="U43" s="616">
        <v>0</v>
      </c>
      <c r="V43" s="616">
        <v>0</v>
      </c>
      <c r="W43" s="616">
        <v>0</v>
      </c>
      <c r="X43" s="616"/>
      <c r="Y43" s="616">
        <v>10</v>
      </c>
      <c r="Z43" s="616" t="s">
        <v>105</v>
      </c>
      <c r="AA43" s="618" t="s">
        <v>105</v>
      </c>
    </row>
    <row r="44" spans="1:27" s="570" customFormat="1" ht="25.5" hidden="1">
      <c r="A44" s="569"/>
      <c r="B44" s="724">
        <v>12035</v>
      </c>
      <c r="C44" s="724">
        <v>2860</v>
      </c>
      <c r="D44" s="617"/>
      <c r="E44" s="616"/>
      <c r="F44" s="616"/>
      <c r="G44" s="616" t="s">
        <v>887</v>
      </c>
      <c r="H44" s="616" t="s">
        <v>890</v>
      </c>
      <c r="I44" s="616"/>
      <c r="J44" s="723"/>
      <c r="K44" s="723"/>
      <c r="L44" s="616" t="s">
        <v>889</v>
      </c>
      <c r="M44" s="616">
        <v>1008</v>
      </c>
      <c r="N44" s="616">
        <v>4536</v>
      </c>
      <c r="O44" s="616">
        <v>6480</v>
      </c>
      <c r="P44" s="616">
        <v>12960</v>
      </c>
      <c r="Q44" s="616">
        <v>0</v>
      </c>
      <c r="R44" s="616">
        <v>0</v>
      </c>
      <c r="S44" s="616">
        <v>0</v>
      </c>
      <c r="T44" s="616">
        <v>0</v>
      </c>
      <c r="U44" s="616">
        <v>0</v>
      </c>
      <c r="V44" s="616">
        <v>0</v>
      </c>
      <c r="W44" s="616">
        <v>0</v>
      </c>
      <c r="X44" s="616"/>
      <c r="Y44" s="616">
        <v>10</v>
      </c>
      <c r="Z44" s="616" t="s">
        <v>105</v>
      </c>
      <c r="AA44" s="618" t="s">
        <v>105</v>
      </c>
    </row>
    <row r="45" spans="1:27" s="570" customFormat="1" ht="25.5" hidden="1">
      <c r="A45" s="569"/>
      <c r="B45" s="724">
        <v>12035</v>
      </c>
      <c r="C45" s="724">
        <v>2861</v>
      </c>
      <c r="D45" s="617"/>
      <c r="E45" s="616"/>
      <c r="F45" s="616"/>
      <c r="G45" s="616" t="s">
        <v>887</v>
      </c>
      <c r="H45" s="616" t="s">
        <v>890</v>
      </c>
      <c r="I45" s="616"/>
      <c r="J45" s="723"/>
      <c r="K45" s="723"/>
      <c r="L45" s="616" t="s">
        <v>889</v>
      </c>
      <c r="M45" s="616">
        <v>800</v>
      </c>
      <c r="N45" s="616">
        <v>3600</v>
      </c>
      <c r="O45" s="616">
        <v>5142.8571428571431</v>
      </c>
      <c r="P45" s="616">
        <v>10285.714285714286</v>
      </c>
      <c r="Q45" s="616">
        <v>0</v>
      </c>
      <c r="R45" s="616">
        <v>0</v>
      </c>
      <c r="S45" s="616">
        <v>0</v>
      </c>
      <c r="T45" s="616">
        <v>0</v>
      </c>
      <c r="U45" s="616">
        <v>0</v>
      </c>
      <c r="V45" s="616">
        <v>0</v>
      </c>
      <c r="W45" s="616">
        <v>0</v>
      </c>
      <c r="X45" s="616"/>
      <c r="Y45" s="616">
        <v>10</v>
      </c>
      <c r="Z45" s="616" t="s">
        <v>105</v>
      </c>
      <c r="AA45" s="618" t="s">
        <v>105</v>
      </c>
    </row>
    <row r="46" spans="1:27" s="570" customFormat="1" ht="38.25" hidden="1">
      <c r="A46" s="569"/>
      <c r="B46" s="724">
        <v>12035</v>
      </c>
      <c r="C46" s="724">
        <v>2861</v>
      </c>
      <c r="D46" s="617"/>
      <c r="E46" s="616"/>
      <c r="F46" s="616"/>
      <c r="G46" s="616" t="s">
        <v>887</v>
      </c>
      <c r="H46" s="616" t="s">
        <v>888</v>
      </c>
      <c r="I46" s="616"/>
      <c r="J46" s="723"/>
      <c r="K46" s="723"/>
      <c r="L46" s="616" t="s">
        <v>891</v>
      </c>
      <c r="M46" s="616">
        <v>528</v>
      </c>
      <c r="N46" s="616">
        <v>2376</v>
      </c>
      <c r="O46" s="616">
        <v>2673</v>
      </c>
      <c r="P46" s="616">
        <v>0</v>
      </c>
      <c r="Q46" s="616">
        <v>0</v>
      </c>
      <c r="R46" s="616">
        <v>0</v>
      </c>
      <c r="S46" s="616">
        <v>1485</v>
      </c>
      <c r="T46" s="616">
        <v>4455</v>
      </c>
      <c r="U46" s="616">
        <v>0</v>
      </c>
      <c r="V46" s="616">
        <v>0</v>
      </c>
      <c r="W46" s="616">
        <v>0</v>
      </c>
      <c r="X46" s="616"/>
      <c r="Y46" s="616">
        <v>10</v>
      </c>
      <c r="Z46" s="616" t="s">
        <v>105</v>
      </c>
      <c r="AA46" s="618" t="s">
        <v>105</v>
      </c>
    </row>
    <row r="47" spans="1:27" s="570" customFormat="1" ht="25.5" hidden="1">
      <c r="A47" s="569"/>
      <c r="B47" s="724">
        <v>12035</v>
      </c>
      <c r="C47" s="724">
        <v>2861</v>
      </c>
      <c r="D47" s="617"/>
      <c r="E47" s="616"/>
      <c r="F47" s="616"/>
      <c r="G47" s="616" t="s">
        <v>887</v>
      </c>
      <c r="H47" s="616" t="s">
        <v>890</v>
      </c>
      <c r="I47" s="616"/>
      <c r="J47" s="723"/>
      <c r="K47" s="723"/>
      <c r="L47" s="616" t="s">
        <v>889</v>
      </c>
      <c r="M47" s="616">
        <v>2040</v>
      </c>
      <c r="N47" s="616">
        <v>9180</v>
      </c>
      <c r="O47" s="616">
        <v>13114.285714285714</v>
      </c>
      <c r="P47" s="616">
        <v>26228.571428571431</v>
      </c>
      <c r="Q47" s="616">
        <v>0</v>
      </c>
      <c r="R47" s="616">
        <v>0</v>
      </c>
      <c r="S47" s="616">
        <v>0</v>
      </c>
      <c r="T47" s="616">
        <v>0</v>
      </c>
      <c r="U47" s="616">
        <v>0</v>
      </c>
      <c r="V47" s="616">
        <v>0</v>
      </c>
      <c r="W47" s="616">
        <v>0</v>
      </c>
      <c r="X47" s="616"/>
      <c r="Y47" s="616">
        <v>10</v>
      </c>
      <c r="Z47" s="616" t="s">
        <v>105</v>
      </c>
      <c r="AA47" s="618" t="s">
        <v>105</v>
      </c>
    </row>
    <row r="48" spans="1:27" s="570" customFormat="1" ht="25.5" hidden="1">
      <c r="A48" s="569"/>
      <c r="B48" s="724">
        <v>12035</v>
      </c>
      <c r="C48" s="724">
        <v>2860</v>
      </c>
      <c r="D48" s="617"/>
      <c r="E48" s="616"/>
      <c r="F48" s="616"/>
      <c r="G48" s="616" t="s">
        <v>887</v>
      </c>
      <c r="H48" s="616" t="s">
        <v>890</v>
      </c>
      <c r="I48" s="616"/>
      <c r="J48" s="723"/>
      <c r="K48" s="723"/>
      <c r="L48" s="616" t="s">
        <v>889</v>
      </c>
      <c r="M48" s="616">
        <v>2014</v>
      </c>
      <c r="N48" s="616">
        <v>9062.9999999999982</v>
      </c>
      <c r="O48" s="616">
        <v>12947.142857142855</v>
      </c>
      <c r="P48" s="616">
        <v>25894.28571428571</v>
      </c>
      <c r="Q48" s="616">
        <v>0</v>
      </c>
      <c r="R48" s="616">
        <v>0</v>
      </c>
      <c r="S48" s="616">
        <v>0</v>
      </c>
      <c r="T48" s="616">
        <v>0</v>
      </c>
      <c r="U48" s="616">
        <v>0</v>
      </c>
      <c r="V48" s="616">
        <v>0</v>
      </c>
      <c r="W48" s="616">
        <v>0</v>
      </c>
      <c r="X48" s="616"/>
      <c r="Y48" s="616">
        <v>10</v>
      </c>
      <c r="Z48" s="616" t="s">
        <v>105</v>
      </c>
      <c r="AA48" s="618" t="s">
        <v>105</v>
      </c>
    </row>
    <row r="49" spans="1:27" s="570" customFormat="1" ht="25.5" hidden="1">
      <c r="A49" s="569"/>
      <c r="B49" s="724">
        <v>12035</v>
      </c>
      <c r="C49" s="724">
        <v>2860</v>
      </c>
      <c r="D49" s="617"/>
      <c r="E49" s="616"/>
      <c r="F49" s="616"/>
      <c r="G49" s="616" t="s">
        <v>887</v>
      </c>
      <c r="H49" s="616" t="s">
        <v>890</v>
      </c>
      <c r="I49" s="616"/>
      <c r="J49" s="723"/>
      <c r="K49" s="723"/>
      <c r="L49" s="616" t="s">
        <v>889</v>
      </c>
      <c r="M49" s="616">
        <v>265</v>
      </c>
      <c r="N49" s="616">
        <v>1192.5</v>
      </c>
      <c r="O49" s="616">
        <v>1703.5714285714287</v>
      </c>
      <c r="P49" s="616">
        <v>3407.1428571428573</v>
      </c>
      <c r="Q49" s="616">
        <v>0</v>
      </c>
      <c r="R49" s="616">
        <v>0</v>
      </c>
      <c r="S49" s="616">
        <v>0</v>
      </c>
      <c r="T49" s="616">
        <v>0</v>
      </c>
      <c r="U49" s="616">
        <v>0</v>
      </c>
      <c r="V49" s="616">
        <v>0</v>
      </c>
      <c r="W49" s="616">
        <v>0</v>
      </c>
      <c r="X49" s="616"/>
      <c r="Y49" s="616">
        <v>10</v>
      </c>
      <c r="Z49" s="616" t="s">
        <v>105</v>
      </c>
      <c r="AA49" s="618" t="s">
        <v>105</v>
      </c>
    </row>
    <row r="50" spans="1:27" s="570" customFormat="1" ht="25.5" hidden="1">
      <c r="A50" s="569"/>
      <c r="B50" s="724">
        <v>12035</v>
      </c>
      <c r="C50" s="724">
        <v>2860</v>
      </c>
      <c r="D50" s="617"/>
      <c r="E50" s="616"/>
      <c r="F50" s="616"/>
      <c r="G50" s="616" t="s">
        <v>887</v>
      </c>
      <c r="H50" s="616" t="s">
        <v>890</v>
      </c>
      <c r="I50" s="616"/>
      <c r="J50" s="723"/>
      <c r="K50" s="723"/>
      <c r="L50" s="616" t="s">
        <v>889</v>
      </c>
      <c r="M50" s="616">
        <v>1160</v>
      </c>
      <c r="N50" s="616">
        <v>5220</v>
      </c>
      <c r="O50" s="616">
        <v>7457.1428571428569</v>
      </c>
      <c r="P50" s="616">
        <v>14914.285714285716</v>
      </c>
      <c r="Q50" s="616">
        <v>0</v>
      </c>
      <c r="R50" s="616">
        <v>0</v>
      </c>
      <c r="S50" s="616">
        <v>0</v>
      </c>
      <c r="T50" s="616">
        <v>0</v>
      </c>
      <c r="U50" s="616">
        <v>0</v>
      </c>
      <c r="V50" s="616">
        <v>0</v>
      </c>
      <c r="W50" s="616">
        <v>0</v>
      </c>
      <c r="X50" s="616"/>
      <c r="Y50" s="616">
        <v>10</v>
      </c>
      <c r="Z50" s="616" t="s">
        <v>105</v>
      </c>
      <c r="AA50" s="618" t="s">
        <v>105</v>
      </c>
    </row>
    <row r="51" spans="1:27" s="570" customFormat="1" ht="25.5" hidden="1">
      <c r="A51" s="569"/>
      <c r="B51" s="724">
        <v>12035</v>
      </c>
      <c r="C51" s="724">
        <v>2861</v>
      </c>
      <c r="D51" s="617"/>
      <c r="E51" s="616"/>
      <c r="F51" s="616"/>
      <c r="G51" s="616" t="s">
        <v>887</v>
      </c>
      <c r="H51" s="616" t="s">
        <v>890</v>
      </c>
      <c r="I51" s="616"/>
      <c r="J51" s="723"/>
      <c r="K51" s="723"/>
      <c r="L51" s="616" t="s">
        <v>889</v>
      </c>
      <c r="M51" s="616">
        <v>9</v>
      </c>
      <c r="N51" s="616">
        <v>40.5</v>
      </c>
      <c r="O51" s="616">
        <v>57.857142857142861</v>
      </c>
      <c r="P51" s="616">
        <v>0</v>
      </c>
      <c r="Q51" s="616">
        <v>0</v>
      </c>
      <c r="R51" s="616">
        <v>0</v>
      </c>
      <c r="S51" s="616">
        <v>0</v>
      </c>
      <c r="T51" s="616">
        <v>0</v>
      </c>
      <c r="U51" s="616">
        <v>0</v>
      </c>
      <c r="V51" s="616">
        <v>115.71428571428572</v>
      </c>
      <c r="W51" s="616">
        <v>0</v>
      </c>
      <c r="X51" s="616"/>
      <c r="Y51" s="616">
        <v>10</v>
      </c>
      <c r="Z51" s="616" t="s">
        <v>105</v>
      </c>
      <c r="AA51" s="618" t="s">
        <v>105</v>
      </c>
    </row>
    <row r="52" spans="1:27" s="570" customFormat="1" ht="25.5" hidden="1">
      <c r="A52" s="569"/>
      <c r="B52" s="724">
        <v>12035</v>
      </c>
      <c r="C52" s="724">
        <v>2861</v>
      </c>
      <c r="D52" s="617"/>
      <c r="E52" s="616"/>
      <c r="F52" s="616"/>
      <c r="G52" s="616" t="s">
        <v>887</v>
      </c>
      <c r="H52" s="616" t="s">
        <v>890</v>
      </c>
      <c r="I52" s="616"/>
      <c r="J52" s="723"/>
      <c r="K52" s="723"/>
      <c r="L52" s="616" t="s">
        <v>889</v>
      </c>
      <c r="M52" s="616">
        <v>1200</v>
      </c>
      <c r="N52" s="616">
        <v>5400</v>
      </c>
      <c r="O52" s="616">
        <v>7714.2857142857147</v>
      </c>
      <c r="P52" s="616">
        <v>15428.571428571429</v>
      </c>
      <c r="Q52" s="616">
        <v>0</v>
      </c>
      <c r="R52" s="616">
        <v>0</v>
      </c>
      <c r="S52" s="616">
        <v>0</v>
      </c>
      <c r="T52" s="616">
        <v>0</v>
      </c>
      <c r="U52" s="616">
        <v>0</v>
      </c>
      <c r="V52" s="616">
        <v>0</v>
      </c>
      <c r="W52" s="616">
        <v>0</v>
      </c>
      <c r="X52" s="616"/>
      <c r="Y52" s="616">
        <v>1300</v>
      </c>
      <c r="Z52" s="616" t="s">
        <v>53</v>
      </c>
      <c r="AA52" s="618" t="s">
        <v>149</v>
      </c>
    </row>
    <row r="53" spans="1:27" s="570" customFormat="1" ht="25.5" hidden="1">
      <c r="A53" s="569"/>
      <c r="B53" s="724">
        <v>12035</v>
      </c>
      <c r="C53" s="724">
        <v>2861</v>
      </c>
      <c r="D53" s="617"/>
      <c r="E53" s="616"/>
      <c r="F53" s="616"/>
      <c r="G53" s="616" t="s">
        <v>887</v>
      </c>
      <c r="H53" s="616" t="s">
        <v>890</v>
      </c>
      <c r="I53" s="616"/>
      <c r="J53" s="723"/>
      <c r="K53" s="723"/>
      <c r="L53" s="616" t="s">
        <v>889</v>
      </c>
      <c r="M53" s="616">
        <v>800</v>
      </c>
      <c r="N53" s="616">
        <v>3600</v>
      </c>
      <c r="O53" s="616">
        <v>5142.8571428571431</v>
      </c>
      <c r="P53" s="616">
        <v>10285.714285714286</v>
      </c>
      <c r="Q53" s="616">
        <v>0</v>
      </c>
      <c r="R53" s="616">
        <v>0</v>
      </c>
      <c r="S53" s="616">
        <v>0</v>
      </c>
      <c r="T53" s="616">
        <v>0</v>
      </c>
      <c r="U53" s="616">
        <v>0</v>
      </c>
      <c r="V53" s="616">
        <v>0</v>
      </c>
      <c r="W53" s="616">
        <v>0</v>
      </c>
      <c r="X53" s="616"/>
      <c r="Y53" s="616">
        <v>10</v>
      </c>
      <c r="Z53" s="616" t="s">
        <v>105</v>
      </c>
      <c r="AA53" s="618" t="s">
        <v>105</v>
      </c>
    </row>
    <row r="54" spans="1:27" s="570" customFormat="1" ht="25.5" hidden="1">
      <c r="A54" s="569"/>
      <c r="B54" s="724">
        <v>12035</v>
      </c>
      <c r="C54" s="724">
        <v>2860</v>
      </c>
      <c r="D54" s="617"/>
      <c r="E54" s="616"/>
      <c r="F54" s="616"/>
      <c r="G54" s="616" t="s">
        <v>887</v>
      </c>
      <c r="H54" s="616" t="s">
        <v>890</v>
      </c>
      <c r="I54" s="616"/>
      <c r="J54" s="723"/>
      <c r="K54" s="723"/>
      <c r="L54" s="616" t="s">
        <v>889</v>
      </c>
      <c r="M54" s="616">
        <v>4000</v>
      </c>
      <c r="N54" s="616">
        <v>12000</v>
      </c>
      <c r="O54" s="616">
        <v>17142.857142857145</v>
      </c>
      <c r="P54" s="616">
        <v>34285.71428571429</v>
      </c>
      <c r="Q54" s="616">
        <v>0</v>
      </c>
      <c r="R54" s="616">
        <v>0</v>
      </c>
      <c r="S54" s="616">
        <v>0</v>
      </c>
      <c r="T54" s="616">
        <v>0</v>
      </c>
      <c r="U54" s="616">
        <v>0</v>
      </c>
      <c r="V54" s="616">
        <v>0</v>
      </c>
      <c r="W54" s="616">
        <v>0</v>
      </c>
      <c r="X54" s="616"/>
      <c r="Y54" s="616">
        <v>10</v>
      </c>
      <c r="Z54" s="616" t="s">
        <v>105</v>
      </c>
      <c r="AA54" s="618" t="s">
        <v>105</v>
      </c>
    </row>
    <row r="55" spans="1:27" s="570" customFormat="1" ht="51" hidden="1">
      <c r="A55" s="569"/>
      <c r="B55" s="724">
        <v>12035</v>
      </c>
      <c r="C55" s="724">
        <v>2860</v>
      </c>
      <c r="D55" s="617"/>
      <c r="E55" s="616"/>
      <c r="F55" s="616"/>
      <c r="G55" s="616" t="s">
        <v>887</v>
      </c>
      <c r="H55" s="616" t="s">
        <v>890</v>
      </c>
      <c r="I55" s="616"/>
      <c r="J55" s="723"/>
      <c r="K55" s="723"/>
      <c r="L55" s="616" t="s">
        <v>889</v>
      </c>
      <c r="M55" s="616">
        <v>70</v>
      </c>
      <c r="N55" s="616">
        <v>236.25000000000003</v>
      </c>
      <c r="O55" s="616">
        <v>337.50000000000006</v>
      </c>
      <c r="P55" s="616">
        <v>675.00000000000011</v>
      </c>
      <c r="Q55" s="616">
        <v>0</v>
      </c>
      <c r="R55" s="616">
        <v>0</v>
      </c>
      <c r="S55" s="616">
        <v>0</v>
      </c>
      <c r="T55" s="616">
        <v>0</v>
      </c>
      <c r="U55" s="616">
        <v>0</v>
      </c>
      <c r="V55" s="616">
        <v>0</v>
      </c>
      <c r="W55" s="616">
        <v>0</v>
      </c>
      <c r="X55" s="616"/>
      <c r="Y55" s="616">
        <v>1500</v>
      </c>
      <c r="Z55" s="616" t="s">
        <v>50</v>
      </c>
      <c r="AA55" s="618" t="s">
        <v>149</v>
      </c>
    </row>
    <row r="56" spans="1:27" s="554" customFormat="1" hidden="1">
      <c r="A56" s="572" t="s">
        <v>269</v>
      </c>
      <c r="B56" s="573"/>
      <c r="C56" s="573"/>
      <c r="D56" s="573"/>
      <c r="E56" s="573"/>
      <c r="F56" s="573"/>
      <c r="G56" s="573"/>
      <c r="H56" s="573"/>
      <c r="I56" s="573"/>
      <c r="J56" s="573"/>
      <c r="K56" s="573"/>
      <c r="L56" s="574"/>
      <c r="M56" s="574">
        <f>SUM(M28:M55)</f>
        <v>39317</v>
      </c>
      <c r="N56" s="574">
        <f>SUM(N28:N55)</f>
        <v>170847.75</v>
      </c>
      <c r="O56" s="574">
        <f>SUM(O28:O55)</f>
        <v>238429.07142857136</v>
      </c>
      <c r="P56" s="574">
        <f>SUM(P28:P55)</f>
        <v>434946.42857142852</v>
      </c>
      <c r="Q56" s="574">
        <f>SUM(Q28:Q55)</f>
        <v>0</v>
      </c>
      <c r="R56" s="574">
        <f>SUM(R28:R55)</f>
        <v>0</v>
      </c>
      <c r="S56" s="574">
        <f>SUM(S28:S55)</f>
        <v>11610</v>
      </c>
      <c r="T56" s="574">
        <f>SUM(T28:T55)</f>
        <v>34830</v>
      </c>
      <c r="U56" s="574">
        <f>SUM(U28:U55)</f>
        <v>0</v>
      </c>
      <c r="V56" s="574">
        <f>SUM(V28:V55)</f>
        <v>115.71428571428572</v>
      </c>
      <c r="W56" s="574">
        <f>SUM(W28:W55)</f>
        <v>0</v>
      </c>
      <c r="X56" s="574"/>
      <c r="Y56" s="575"/>
      <c r="Z56" s="575"/>
      <c r="AA56" s="576"/>
    </row>
    <row r="57" spans="1:27" s="554" customFormat="1">
      <c r="A57" s="572" t="s">
        <v>276</v>
      </c>
      <c r="B57" s="573"/>
      <c r="C57" s="573"/>
      <c r="D57" s="573"/>
      <c r="E57" s="573"/>
      <c r="F57" s="573"/>
      <c r="G57" s="573"/>
      <c r="H57" s="573"/>
      <c r="I57" s="573"/>
      <c r="J57" s="573"/>
      <c r="K57" s="573"/>
      <c r="L57" s="574"/>
      <c r="M57" s="574">
        <f>SUMIF($AA$28:$AA$55,"industrie",M28:M55)</f>
        <v>0</v>
      </c>
      <c r="N57" s="574">
        <f>SUMIF($AA$28:$AA$55,"industrie",N28:N55)</f>
        <v>0</v>
      </c>
      <c r="O57" s="574">
        <f>SUMIF($AA$28:$AA$55,"industrie",O28:O55)</f>
        <v>0</v>
      </c>
      <c r="P57" s="574">
        <f>SUMIF($AA$28:$AA$55,"industrie",P28:P55)</f>
        <v>0</v>
      </c>
      <c r="Q57" s="574">
        <f>SUMIF($AA$28:$AA$55,"industrie",Q28:Q55)</f>
        <v>0</v>
      </c>
      <c r="R57" s="574">
        <f>SUMIF($AA$28:$AA$55,"industrie",R28:R55)</f>
        <v>0</v>
      </c>
      <c r="S57" s="574">
        <f>SUMIF($AA$28:$AA$55,"industrie",S28:S55)</f>
        <v>0</v>
      </c>
      <c r="T57" s="574">
        <f>SUMIF($AA$28:$AA$55,"industrie",T28:T55)</f>
        <v>0</v>
      </c>
      <c r="U57" s="574">
        <f>SUMIF($AA$28:$AA$55,"industrie",U28:U55)</f>
        <v>0</v>
      </c>
      <c r="V57" s="574">
        <f>SUMIF($AA$28:$AA$55,"industrie",V28:V55)</f>
        <v>0</v>
      </c>
      <c r="W57" s="574">
        <f>SUMIF($AA$28:$AA$55,"industrie",W28:W55)</f>
        <v>0</v>
      </c>
      <c r="X57" s="574"/>
      <c r="Y57" s="575"/>
      <c r="Z57" s="575"/>
      <c r="AA57" s="576"/>
    </row>
    <row r="58" spans="1:27" s="554" customFormat="1">
      <c r="A58" s="572" t="s">
        <v>277</v>
      </c>
      <c r="B58" s="573"/>
      <c r="C58" s="573"/>
      <c r="D58" s="573"/>
      <c r="E58" s="573"/>
      <c r="F58" s="573"/>
      <c r="G58" s="573"/>
      <c r="H58" s="573"/>
      <c r="I58" s="573"/>
      <c r="J58" s="573"/>
      <c r="K58" s="573"/>
      <c r="L58" s="574"/>
      <c r="M58" s="574">
        <f ca="1">SUMIF($AA$28:AD55,"tertiair",M28:M55)</f>
        <v>1270</v>
      </c>
      <c r="N58" s="574">
        <f ca="1">SUMIF($AA$28:AE55,"tertiair",N28:N55)</f>
        <v>5636.25</v>
      </c>
      <c r="O58" s="574">
        <f ca="1">SUMIF($AA$28:AF55,"tertiair",O28:O55)</f>
        <v>8051.7857142857147</v>
      </c>
      <c r="P58" s="574">
        <f ca="1">SUMIF($AA$28:AG55,"tertiair",P28:P55)</f>
        <v>16103.571428571429</v>
      </c>
      <c r="Q58" s="574">
        <f ca="1">SUMIF($AA$28:AH55,"tertiair",Q28:Q55)</f>
        <v>0</v>
      </c>
      <c r="R58" s="574">
        <f ca="1">SUMIF($AA$28:AI55,"tertiair",R28:R55)</f>
        <v>0</v>
      </c>
      <c r="S58" s="574">
        <f ca="1">SUMIF($AA$28:AJ55,"tertiair",S28:S55)</f>
        <v>0</v>
      </c>
      <c r="T58" s="574">
        <f ca="1">SUMIF($AA$28:AK55,"tertiair",T28:T55)</f>
        <v>0</v>
      </c>
      <c r="U58" s="574">
        <f ca="1">SUMIF($AA$28:AL55,"tertiair",U28:U55)</f>
        <v>0</v>
      </c>
      <c r="V58" s="574">
        <f ca="1">SUMIF($AA$28:AM55,"tertiair",V28:V55)</f>
        <v>0</v>
      </c>
      <c r="W58" s="574">
        <f ca="1">SUMIF($AA$28:AN55,"tertiair",W28:W55)</f>
        <v>0</v>
      </c>
      <c r="X58" s="574"/>
      <c r="Y58" s="575"/>
      <c r="Z58" s="575"/>
      <c r="AA58" s="576"/>
    </row>
    <row r="59" spans="1:27" s="554" customFormat="1" ht="15.75" thickBot="1">
      <c r="A59" s="577" t="s">
        <v>278</v>
      </c>
      <c r="B59" s="578"/>
      <c r="C59" s="578"/>
      <c r="D59" s="578"/>
      <c r="E59" s="578"/>
      <c r="F59" s="578"/>
      <c r="G59" s="578"/>
      <c r="H59" s="578"/>
      <c r="I59" s="578"/>
      <c r="J59" s="578"/>
      <c r="K59" s="578"/>
      <c r="L59" s="579"/>
      <c r="M59" s="579">
        <f>SUMIF($AA$28:$AA$55,"landbouw",M28:M55)</f>
        <v>38047</v>
      </c>
      <c r="N59" s="579">
        <f>SUMIF($AA$28:$AA$55,"landbouw",N28:N55)</f>
        <v>165211.5</v>
      </c>
      <c r="O59" s="579">
        <f>SUMIF($AA$28:$AA$55,"landbouw",O28:O55)</f>
        <v>230377.28571428562</v>
      </c>
      <c r="P59" s="579">
        <f>SUMIF($AA$28:$AA$55,"landbouw",P28:P55)</f>
        <v>418842.85714285716</v>
      </c>
      <c r="Q59" s="579">
        <f>SUMIF($AA$28:$AA$55,"landbouw",Q28:Q55)</f>
        <v>0</v>
      </c>
      <c r="R59" s="579">
        <f>SUMIF($AA$28:$AA$55,"landbouw",R28:R55)</f>
        <v>0</v>
      </c>
      <c r="S59" s="579">
        <f>SUMIF($AA$28:$AA$55,"landbouw",S28:S55)</f>
        <v>11610</v>
      </c>
      <c r="T59" s="579">
        <f>SUMIF($AA$28:$AA$55,"landbouw",T28:T55)</f>
        <v>34830</v>
      </c>
      <c r="U59" s="579">
        <f>SUMIF($AA$28:$AA$55,"landbouw",U28:U55)</f>
        <v>0</v>
      </c>
      <c r="V59" s="579">
        <f>SUMIF($AA$28:$AA$55,"landbouw",V28:V55)</f>
        <v>115.71428571428572</v>
      </c>
      <c r="W59" s="579">
        <f>SUMIF($AA$28:$AA$55,"landbouw",W28:W55)</f>
        <v>0</v>
      </c>
      <c r="X59" s="579"/>
      <c r="Y59" s="580"/>
      <c r="Z59" s="580"/>
      <c r="AA59" s="581"/>
    </row>
    <row r="60" spans="1:27" s="523" customFormat="1" ht="15.75" thickBot="1">
      <c r="A60" s="582"/>
      <c r="B60" s="583"/>
      <c r="C60" s="583"/>
      <c r="D60" s="583"/>
      <c r="E60" s="583"/>
      <c r="F60" s="583"/>
      <c r="G60" s="583"/>
      <c r="H60" s="583"/>
      <c r="I60" s="583"/>
      <c r="J60" s="583"/>
      <c r="K60" s="583"/>
      <c r="L60" s="566"/>
      <c r="M60" s="566"/>
      <c r="N60" s="566"/>
      <c r="O60" s="567"/>
      <c r="P60" s="567"/>
    </row>
    <row r="61" spans="1:27" s="523" customFormat="1" ht="45">
      <c r="A61" s="584" t="s">
        <v>270</v>
      </c>
      <c r="B61" s="613" t="s">
        <v>89</v>
      </c>
      <c r="C61" s="613" t="s">
        <v>90</v>
      </c>
      <c r="D61" s="613"/>
      <c r="E61" s="613"/>
      <c r="F61" s="613"/>
      <c r="G61" s="613" t="s">
        <v>91</v>
      </c>
      <c r="H61" s="613" t="s">
        <v>92</v>
      </c>
      <c r="I61" s="613"/>
      <c r="J61" s="613"/>
      <c r="K61" s="613"/>
      <c r="L61" s="613" t="s">
        <v>93</v>
      </c>
      <c r="M61" s="614" t="s">
        <v>287</v>
      </c>
      <c r="N61" s="614" t="s">
        <v>94</v>
      </c>
      <c r="O61" s="614" t="s">
        <v>95</v>
      </c>
      <c r="P61" s="614" t="s">
        <v>522</v>
      </c>
      <c r="Q61" s="614" t="s">
        <v>96</v>
      </c>
      <c r="R61" s="614" t="s">
        <v>97</v>
      </c>
      <c r="S61" s="614" t="s">
        <v>98</v>
      </c>
      <c r="T61" s="614" t="s">
        <v>99</v>
      </c>
      <c r="U61" s="614" t="s">
        <v>100</v>
      </c>
      <c r="V61" s="614" t="s">
        <v>101</v>
      </c>
      <c r="W61" s="613" t="s">
        <v>102</v>
      </c>
      <c r="X61" s="613" t="s">
        <v>886</v>
      </c>
      <c r="Y61" s="613" t="s">
        <v>288</v>
      </c>
      <c r="Z61" s="613" t="s">
        <v>103</v>
      </c>
      <c r="AA61" s="615" t="s">
        <v>289</v>
      </c>
    </row>
    <row r="62" spans="1:27" s="585" customFormat="1" ht="12.75" hidden="1">
      <c r="A62" s="571"/>
      <c r="B62" s="724"/>
      <c r="C62" s="724"/>
      <c r="D62" s="619"/>
      <c r="E62" s="619"/>
      <c r="F62" s="619"/>
      <c r="G62" s="619"/>
      <c r="H62" s="619"/>
      <c r="I62" s="619"/>
      <c r="J62" s="723"/>
      <c r="K62" s="723"/>
      <c r="L62" s="619"/>
      <c r="M62" s="619"/>
      <c r="N62" s="619"/>
      <c r="O62" s="619"/>
      <c r="P62" s="619"/>
      <c r="Q62" s="619"/>
      <c r="R62" s="619"/>
      <c r="S62" s="619"/>
      <c r="T62" s="619"/>
      <c r="U62" s="619"/>
      <c r="V62" s="619"/>
      <c r="W62" s="619"/>
      <c r="X62" s="619"/>
      <c r="Y62" s="619"/>
      <c r="Z62" s="619"/>
      <c r="AA62" s="620"/>
    </row>
    <row r="63" spans="1:27" s="554" customFormat="1" hidden="1">
      <c r="A63" s="572" t="s">
        <v>269</v>
      </c>
      <c r="B63" s="573"/>
      <c r="C63" s="573"/>
      <c r="D63" s="573"/>
      <c r="E63" s="573"/>
      <c r="F63" s="573"/>
      <c r="G63" s="573"/>
      <c r="H63" s="573"/>
      <c r="I63" s="573"/>
      <c r="J63" s="573"/>
      <c r="K63" s="573"/>
      <c r="L63" s="574"/>
      <c r="M63" s="574">
        <f>SUM(M62:M62)</f>
        <v>0</v>
      </c>
      <c r="N63" s="574">
        <f>SUM(N62:N62)</f>
        <v>0</v>
      </c>
      <c r="O63" s="574">
        <f>SUM(O62:O62)</f>
        <v>0</v>
      </c>
      <c r="P63" s="574">
        <f>SUM(P62:P62)</f>
        <v>0</v>
      </c>
      <c r="Q63" s="574">
        <f>SUM(Q62:Q62)</f>
        <v>0</v>
      </c>
      <c r="R63" s="574">
        <f>SUM(R62:R62)</f>
        <v>0</v>
      </c>
      <c r="S63" s="574">
        <f>SUM(S62:S62)</f>
        <v>0</v>
      </c>
      <c r="T63" s="574">
        <f>SUM(T62:T62)</f>
        <v>0</v>
      </c>
      <c r="U63" s="574">
        <f>SUM(U62:U62)</f>
        <v>0</v>
      </c>
      <c r="V63" s="574">
        <f>SUM(V62:V62)</f>
        <v>0</v>
      </c>
      <c r="W63" s="574">
        <f>SUM(W62:W62)</f>
        <v>0</v>
      </c>
      <c r="X63" s="574"/>
      <c r="Y63" s="575"/>
      <c r="Z63" s="575"/>
      <c r="AA63" s="576"/>
    </row>
    <row r="64" spans="1:27" s="554" customFormat="1">
      <c r="A64" s="572" t="s">
        <v>276</v>
      </c>
      <c r="B64" s="573"/>
      <c r="C64" s="573"/>
      <c r="D64" s="573"/>
      <c r="E64" s="573"/>
      <c r="F64" s="573"/>
      <c r="G64" s="573"/>
      <c r="H64" s="573"/>
      <c r="I64" s="573"/>
      <c r="J64" s="573"/>
      <c r="K64" s="573"/>
      <c r="L64" s="574"/>
      <c r="M64" s="574">
        <f>SUMIF($AA$62:$AA$62,"industrie",M62:M62)</f>
        <v>0</v>
      </c>
      <c r="N64" s="574">
        <f>SUMIF($AA$62:$AA$62,"industrie",N62:N62)</f>
        <v>0</v>
      </c>
      <c r="O64" s="574">
        <f>SUMIF($AA$62:$AA$62,"industrie",O62:O62)</f>
        <v>0</v>
      </c>
      <c r="P64" s="574">
        <f>SUMIF($AA$62:$AA$62,"industrie",P62:P62)</f>
        <v>0</v>
      </c>
      <c r="Q64" s="574">
        <f>SUMIF($AA$62:$AA$62,"industrie",Q62:Q62)</f>
        <v>0</v>
      </c>
      <c r="R64" s="574">
        <f>SUMIF($AA$62:$AA$62,"industrie",R62:R62)</f>
        <v>0</v>
      </c>
      <c r="S64" s="574">
        <f>SUMIF($AA$62:$AA$62,"industrie",S62:S62)</f>
        <v>0</v>
      </c>
      <c r="T64" s="574">
        <f>SUMIF($AA$62:$AA$62,"industrie",T62:T62)</f>
        <v>0</v>
      </c>
      <c r="U64" s="574">
        <f>SUMIF($AA$62:$AA$62,"industrie",U62:U62)</f>
        <v>0</v>
      </c>
      <c r="V64" s="574">
        <f>SUMIF($AA$62:$AA$62,"industrie",V62:V62)</f>
        <v>0</v>
      </c>
      <c r="W64" s="574">
        <f>SUMIF($AA$62:$AA$62,"industrie",W62:W62)</f>
        <v>0</v>
      </c>
      <c r="X64" s="574"/>
      <c r="Y64" s="575"/>
      <c r="Z64" s="575"/>
      <c r="AA64" s="576"/>
    </row>
    <row r="65" spans="1:28" s="554" customFormat="1">
      <c r="A65" s="572" t="s">
        <v>277</v>
      </c>
      <c r="B65" s="573"/>
      <c r="C65" s="573"/>
      <c r="D65" s="573"/>
      <c r="E65" s="573"/>
      <c r="F65" s="573"/>
      <c r="G65" s="573"/>
      <c r="H65" s="573"/>
      <c r="I65" s="573"/>
      <c r="J65" s="573"/>
      <c r="K65" s="573"/>
      <c r="L65" s="574"/>
      <c r="M65" s="574">
        <f>SUMIF($AA$62:$AA$63,"tertiair",M62:M63)</f>
        <v>0</v>
      </c>
      <c r="N65" s="574">
        <f>SUMIF($AA$62:$AA$63,"tertiair",N62:N63)</f>
        <v>0</v>
      </c>
      <c r="O65" s="574">
        <f>SUMIF($AA$62:$AA$63,"tertiair",O62:O63)</f>
        <v>0</v>
      </c>
      <c r="P65" s="574">
        <f>SUMIF($AA$62:$AA$63,"tertiair",P62:P63)</f>
        <v>0</v>
      </c>
      <c r="Q65" s="574">
        <f>SUMIF($AA$62:$AA$63,"tertiair",Q62:Q63)</f>
        <v>0</v>
      </c>
      <c r="R65" s="574">
        <f>SUMIF($AA$62:$AA$63,"tertiair",R62:R63)</f>
        <v>0</v>
      </c>
      <c r="S65" s="574">
        <f>SUMIF($AA$62:$AA$63,"tertiair",S62:S63)</f>
        <v>0</v>
      </c>
      <c r="T65" s="574">
        <f>SUMIF($AA$62:$AA$63,"tertiair",T62:T63)</f>
        <v>0</v>
      </c>
      <c r="U65" s="574">
        <f>SUMIF($AA$62:$AA$63,"tertiair",U62:U63)</f>
        <v>0</v>
      </c>
      <c r="V65" s="574">
        <f>SUMIF($AA$62:$AA$63,"tertiair",V62:V63)</f>
        <v>0</v>
      </c>
      <c r="W65" s="574">
        <f>SUMIF($AA$62:$AA$63,"tertiair",W62:W63)</f>
        <v>0</v>
      </c>
      <c r="X65" s="574"/>
      <c r="Y65" s="575"/>
      <c r="Z65" s="575"/>
      <c r="AA65" s="576"/>
    </row>
    <row r="66" spans="1:28" s="554" customFormat="1" ht="15.75" thickBot="1">
      <c r="A66" s="577" t="s">
        <v>278</v>
      </c>
      <c r="B66" s="578"/>
      <c r="C66" s="578"/>
      <c r="D66" s="578"/>
      <c r="E66" s="578"/>
      <c r="F66" s="578"/>
      <c r="G66" s="578"/>
      <c r="H66" s="578"/>
      <c r="I66" s="578"/>
      <c r="J66" s="578"/>
      <c r="K66" s="578"/>
      <c r="L66" s="579"/>
      <c r="M66" s="579">
        <f>SUMIF($AA$62:$AA$64,"landbouw",M62:M64)</f>
        <v>0</v>
      </c>
      <c r="N66" s="579">
        <f>SUMIF($AA$62:$AA$64,"landbouw",N62:N64)</f>
        <v>0</v>
      </c>
      <c r="O66" s="579">
        <f>SUMIF($AA$62:$AA$64,"landbouw",O62:O64)</f>
        <v>0</v>
      </c>
      <c r="P66" s="579">
        <f>SUMIF($AA$62:$AA$64,"landbouw",P62:P64)</f>
        <v>0</v>
      </c>
      <c r="Q66" s="579">
        <f>SUMIF($AA$62:$AA$64,"landbouw",Q62:Q64)</f>
        <v>0</v>
      </c>
      <c r="R66" s="579">
        <f>SUMIF($AA$62:$AA$64,"landbouw",R62:R64)</f>
        <v>0</v>
      </c>
      <c r="S66" s="579">
        <f>SUMIF($AA$62:$AA$64,"landbouw",S62:S64)</f>
        <v>0</v>
      </c>
      <c r="T66" s="579">
        <f>SUMIF($AA$62:$AA$64,"landbouw",T62:T64)</f>
        <v>0</v>
      </c>
      <c r="U66" s="579">
        <f>SUMIF($AA$62:$AA$64,"landbouw",U62:U64)</f>
        <v>0</v>
      </c>
      <c r="V66" s="579">
        <f>SUMIF($AA$62:$AA$64,"landbouw",V62:V64)</f>
        <v>0</v>
      </c>
      <c r="W66" s="579">
        <f>SUMIF($AA$62:$AA$64,"landbouw",W62:W64)</f>
        <v>0</v>
      </c>
      <c r="X66" s="579"/>
      <c r="Y66" s="580"/>
      <c r="Z66" s="580"/>
      <c r="AA66" s="581"/>
    </row>
    <row r="67" spans="1:28" s="586" customFormat="1">
      <c r="A67" s="582"/>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row>
    <row r="68" spans="1:28" s="586" customFormat="1" ht="15.75" thickBot="1">
      <c r="A68" s="582"/>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row>
    <row r="69" spans="1:28">
      <c r="A69" s="587" t="s">
        <v>271</v>
      </c>
      <c r="B69" s="588"/>
      <c r="C69" s="588"/>
      <c r="D69" s="588"/>
      <c r="E69" s="588"/>
      <c r="F69" s="588"/>
      <c r="G69" s="588"/>
      <c r="H69" s="588"/>
      <c r="I69" s="589"/>
      <c r="J69" s="590"/>
      <c r="K69" s="590"/>
      <c r="L69" s="591"/>
      <c r="M69" s="591"/>
      <c r="N69" s="591"/>
      <c r="O69" s="591"/>
      <c r="P69" s="591"/>
    </row>
    <row r="70" spans="1:28">
      <c r="A70" s="593"/>
      <c r="B70" s="583"/>
      <c r="C70" s="583"/>
      <c r="D70" s="583"/>
      <c r="E70" s="583"/>
      <c r="F70" s="583"/>
      <c r="G70" s="583"/>
      <c r="H70" s="583"/>
      <c r="I70" s="594"/>
      <c r="J70" s="583"/>
      <c r="K70" s="583"/>
      <c r="L70" s="591"/>
      <c r="M70" s="591"/>
      <c r="N70" s="591"/>
      <c r="O70" s="591"/>
      <c r="P70" s="591"/>
    </row>
    <row r="71" spans="1:28">
      <c r="A71" s="595"/>
      <c r="B71" s="596" t="s">
        <v>272</v>
      </c>
      <c r="C71" s="596" t="s">
        <v>273</v>
      </c>
      <c r="D71" s="596"/>
      <c r="E71" s="596"/>
      <c r="F71" s="596"/>
      <c r="G71" s="596"/>
      <c r="H71" s="596"/>
      <c r="I71" s="597"/>
      <c r="J71" s="596"/>
      <c r="K71" s="596"/>
      <c r="L71" s="596"/>
      <c r="M71" s="596"/>
      <c r="N71" s="596"/>
      <c r="O71" s="596"/>
      <c r="P71" s="591"/>
    </row>
    <row r="72" spans="1:28">
      <c r="A72" s="593" t="s">
        <v>269</v>
      </c>
      <c r="B72" s="598">
        <f>IF(ISERROR(O56/(O56+N56)),0,O56/(O56+N56))</f>
        <v>0.58256187241764668</v>
      </c>
      <c r="C72" s="599">
        <f>IF(ISERROR(N56/(O56+N56)),0,N56/(N56+O56))</f>
        <v>0.41743812758235332</v>
      </c>
      <c r="D72" s="566"/>
      <c r="E72" s="566"/>
      <c r="F72" s="566"/>
      <c r="G72" s="566"/>
      <c r="H72" s="566"/>
      <c r="I72" s="600"/>
      <c r="J72" s="566"/>
      <c r="K72" s="566"/>
      <c r="L72" s="601"/>
      <c r="M72" s="601"/>
      <c r="N72" s="601"/>
      <c r="O72" s="601"/>
      <c r="P72" s="591"/>
    </row>
    <row r="73" spans="1:28">
      <c r="A73" s="593"/>
      <c r="B73" s="602"/>
      <c r="C73" s="602"/>
      <c r="D73" s="602"/>
      <c r="E73" s="602"/>
      <c r="F73" s="602"/>
      <c r="G73" s="602"/>
      <c r="H73" s="602"/>
      <c r="I73" s="603"/>
      <c r="J73" s="602"/>
      <c r="K73" s="602"/>
      <c r="L73" s="604"/>
      <c r="M73" s="604"/>
      <c r="N73" s="604"/>
      <c r="O73" s="604"/>
      <c r="P73" s="591"/>
    </row>
    <row r="74" spans="1:28" ht="30">
      <c r="A74" s="605"/>
      <c r="B74" s="606" t="s">
        <v>522</v>
      </c>
      <c r="C74" s="606" t="s">
        <v>96</v>
      </c>
      <c r="D74" s="606" t="s">
        <v>97</v>
      </c>
      <c r="E74" s="606" t="s">
        <v>98</v>
      </c>
      <c r="F74" s="606" t="s">
        <v>99</v>
      </c>
      <c r="G74" s="606" t="s">
        <v>100</v>
      </c>
      <c r="H74" s="606" t="s">
        <v>101</v>
      </c>
      <c r="I74" s="607" t="s">
        <v>102</v>
      </c>
      <c r="J74" s="596"/>
      <c r="K74" s="596"/>
      <c r="L74" s="604"/>
      <c r="M74" s="604"/>
      <c r="N74" s="604"/>
      <c r="O74" s="591"/>
      <c r="P74" s="591"/>
    </row>
    <row r="75" spans="1:28">
      <c r="A75" s="595" t="s">
        <v>274</v>
      </c>
      <c r="B75" s="608">
        <f t="shared" ref="B75:I75" si="2">$C$72*P56</f>
        <v>181563.22274148892</v>
      </c>
      <c r="C75" s="608">
        <f t="shared" si="2"/>
        <v>0</v>
      </c>
      <c r="D75" s="608">
        <f t="shared" si="2"/>
        <v>0</v>
      </c>
      <c r="E75" s="608">
        <f t="shared" si="2"/>
        <v>4846.4566612311219</v>
      </c>
      <c r="F75" s="608">
        <f t="shared" si="2"/>
        <v>14539.369983693367</v>
      </c>
      <c r="G75" s="608">
        <f t="shared" si="2"/>
        <v>0</v>
      </c>
      <c r="H75" s="608">
        <f t="shared" si="2"/>
        <v>48.303554763100891</v>
      </c>
      <c r="I75" s="609">
        <f t="shared" si="2"/>
        <v>0</v>
      </c>
      <c r="J75" s="566"/>
      <c r="K75" s="566"/>
      <c r="L75" s="604"/>
      <c r="M75" s="604"/>
      <c r="N75" s="604"/>
      <c r="O75" s="591"/>
      <c r="P75" s="591"/>
    </row>
    <row r="76" spans="1:28" ht="15.75" thickBot="1">
      <c r="A76" s="610" t="s">
        <v>275</v>
      </c>
      <c r="B76" s="611">
        <f t="shared" ref="B76:I76" si="3">$B$72*P56</f>
        <v>253383.2058299396</v>
      </c>
      <c r="C76" s="611">
        <f t="shared" si="3"/>
        <v>0</v>
      </c>
      <c r="D76" s="611">
        <f t="shared" si="3"/>
        <v>0</v>
      </c>
      <c r="E76" s="611">
        <f t="shared" si="3"/>
        <v>6763.5433387688781</v>
      </c>
      <c r="F76" s="611">
        <f t="shared" si="3"/>
        <v>20290.630016306633</v>
      </c>
      <c r="G76" s="611">
        <f t="shared" si="3"/>
        <v>0</v>
      </c>
      <c r="H76" s="611">
        <f t="shared" si="3"/>
        <v>67.410730951184831</v>
      </c>
      <c r="I76" s="612">
        <f t="shared" si="3"/>
        <v>0</v>
      </c>
      <c r="J76" s="566"/>
      <c r="K76" s="566"/>
      <c r="L76" s="604"/>
      <c r="M76" s="604"/>
      <c r="N76" s="604"/>
      <c r="O76" s="591"/>
      <c r="P76" s="591"/>
    </row>
    <row r="77" spans="1:28">
      <c r="J77" s="552"/>
      <c r="K77" s="552"/>
      <c r="L77" s="552"/>
      <c r="M77" s="552"/>
      <c r="N77" s="552"/>
    </row>
    <row r="78" spans="1:28">
      <c r="J78" s="552"/>
      <c r="K78" s="552"/>
      <c r="L78" s="552"/>
      <c r="M78" s="552"/>
      <c r="N78"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60662.174415879999</v>
      </c>
      <c r="D10" s="930">
        <f ca="1">tertiair!C16</f>
        <v>8051.7857142857147</v>
      </c>
      <c r="E10" s="930">
        <f ca="1">tertiair!D16</f>
        <v>31614.270927048281</v>
      </c>
      <c r="F10" s="930">
        <f>tertiair!E16</f>
        <v>1240.286381023556</v>
      </c>
      <c r="G10" s="930">
        <f ca="1">tertiair!F16</f>
        <v>10085.598195885577</v>
      </c>
      <c r="H10" s="930">
        <f>tertiair!G16</f>
        <v>0</v>
      </c>
      <c r="I10" s="930">
        <f>tertiair!H16</f>
        <v>0</v>
      </c>
      <c r="J10" s="930">
        <f>tertiair!I16</f>
        <v>0</v>
      </c>
      <c r="K10" s="930">
        <f>tertiair!J16</f>
        <v>3.7231772273119752E-2</v>
      </c>
      <c r="L10" s="930">
        <f>tertiair!K16</f>
        <v>0</v>
      </c>
      <c r="M10" s="930">
        <f ca="1">tertiair!L16</f>
        <v>0</v>
      </c>
      <c r="N10" s="930">
        <f>tertiair!M16</f>
        <v>0</v>
      </c>
      <c r="O10" s="930">
        <f ca="1">tertiair!N16</f>
        <v>1380.5364701356048</v>
      </c>
      <c r="P10" s="930">
        <f>tertiair!O16</f>
        <v>6.2533333333333339</v>
      </c>
      <c r="Q10" s="931">
        <f>tertiair!P16</f>
        <v>38.133333333333333</v>
      </c>
      <c r="R10" s="628">
        <f ca="1">SUM(C10:Q10)</f>
        <v>113079.07600269766</v>
      </c>
      <c r="S10" s="67"/>
    </row>
    <row r="11" spans="1:19" s="437" customFormat="1">
      <c r="A11" s="736" t="s">
        <v>214</v>
      </c>
      <c r="B11" s="741"/>
      <c r="C11" s="930">
        <f>huishoudens!B8</f>
        <v>34925.135083549998</v>
      </c>
      <c r="D11" s="930">
        <f>huishoudens!C8</f>
        <v>0</v>
      </c>
      <c r="E11" s="930">
        <f>huishoudens!D8</f>
        <v>78482.439602687999</v>
      </c>
      <c r="F11" s="930">
        <f>huishoudens!E8</f>
        <v>1572.2089640278307</v>
      </c>
      <c r="G11" s="930">
        <f>huishoudens!F8</f>
        <v>42745.249746076799</v>
      </c>
      <c r="H11" s="930">
        <f>huishoudens!G8</f>
        <v>0</v>
      </c>
      <c r="I11" s="930">
        <f>huishoudens!H8</f>
        <v>0</v>
      </c>
      <c r="J11" s="930">
        <f>huishoudens!I8</f>
        <v>0</v>
      </c>
      <c r="K11" s="930">
        <f>huishoudens!J8</f>
        <v>788.29875366511862</v>
      </c>
      <c r="L11" s="930">
        <f>huishoudens!K8</f>
        <v>0</v>
      </c>
      <c r="M11" s="930">
        <f>huishoudens!L8</f>
        <v>0</v>
      </c>
      <c r="N11" s="930">
        <f>huishoudens!M8</f>
        <v>0</v>
      </c>
      <c r="O11" s="930">
        <f>huishoudens!N8</f>
        <v>10329.596996941753</v>
      </c>
      <c r="P11" s="930">
        <f>huishoudens!O8</f>
        <v>339.2433333333334</v>
      </c>
      <c r="Q11" s="931">
        <f>huishoudens!P8</f>
        <v>1391.8666666666668</v>
      </c>
      <c r="R11" s="628">
        <f>SUM(C11:Q11)</f>
        <v>170574.03914694951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5339.3730893600004</v>
      </c>
      <c r="D13" s="930">
        <f>industrie!C18</f>
        <v>0</v>
      </c>
      <c r="E13" s="930">
        <f>industrie!D18</f>
        <v>6514.0329629566404</v>
      </c>
      <c r="F13" s="930">
        <f>industrie!E18</f>
        <v>541.78711000673388</v>
      </c>
      <c r="G13" s="930">
        <f>industrie!F18</f>
        <v>2165.172479287367</v>
      </c>
      <c r="H13" s="930">
        <f>industrie!G18</f>
        <v>0</v>
      </c>
      <c r="I13" s="930">
        <f>industrie!H18</f>
        <v>0</v>
      </c>
      <c r="J13" s="930">
        <f>industrie!I18</f>
        <v>0</v>
      </c>
      <c r="K13" s="930">
        <f>industrie!J18</f>
        <v>22.375197940844643</v>
      </c>
      <c r="L13" s="930">
        <f>industrie!K18</f>
        <v>0</v>
      </c>
      <c r="M13" s="930">
        <f>industrie!L18</f>
        <v>0</v>
      </c>
      <c r="N13" s="930">
        <f>industrie!M18</f>
        <v>0</v>
      </c>
      <c r="O13" s="930">
        <f>industrie!N18</f>
        <v>566.99868643573814</v>
      </c>
      <c r="P13" s="930">
        <f>industrie!O18</f>
        <v>0</v>
      </c>
      <c r="Q13" s="931">
        <f>industrie!P18</f>
        <v>0</v>
      </c>
      <c r="R13" s="628">
        <f>SUM(C13:Q13)</f>
        <v>15149.739525987323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100926.68258879</v>
      </c>
      <c r="D16" s="660">
        <f t="shared" ref="D16:R16" ca="1" si="0">SUM(D9:D15)</f>
        <v>8051.7857142857147</v>
      </c>
      <c r="E16" s="660">
        <f t="shared" ca="1" si="0"/>
        <v>116610.74349269291</v>
      </c>
      <c r="F16" s="660">
        <f t="shared" si="0"/>
        <v>3354.2824550581208</v>
      </c>
      <c r="G16" s="660">
        <f t="shared" ca="1" si="0"/>
        <v>54996.020421249741</v>
      </c>
      <c r="H16" s="660">
        <f t="shared" si="0"/>
        <v>0</v>
      </c>
      <c r="I16" s="660">
        <f t="shared" si="0"/>
        <v>0</v>
      </c>
      <c r="J16" s="660">
        <f t="shared" si="0"/>
        <v>0</v>
      </c>
      <c r="K16" s="660">
        <f t="shared" si="0"/>
        <v>810.71118337823634</v>
      </c>
      <c r="L16" s="660">
        <f t="shared" si="0"/>
        <v>0</v>
      </c>
      <c r="M16" s="660">
        <f t="shared" ca="1" si="0"/>
        <v>0</v>
      </c>
      <c r="N16" s="660">
        <f t="shared" si="0"/>
        <v>0</v>
      </c>
      <c r="O16" s="660">
        <f t="shared" ca="1" si="0"/>
        <v>12277.132153513096</v>
      </c>
      <c r="P16" s="660">
        <f t="shared" si="0"/>
        <v>345.49666666666673</v>
      </c>
      <c r="Q16" s="660">
        <f t="shared" si="0"/>
        <v>1430.0000000000002</v>
      </c>
      <c r="R16" s="660">
        <f t="shared" ca="1" si="0"/>
        <v>298802.85467563447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13.428051504207289</v>
      </c>
      <c r="D19" s="930">
        <f>transport!C54</f>
        <v>0</v>
      </c>
      <c r="E19" s="930">
        <f>transport!D54</f>
        <v>0</v>
      </c>
      <c r="F19" s="930">
        <f>transport!E54</f>
        <v>0</v>
      </c>
      <c r="G19" s="930">
        <f>transport!F54</f>
        <v>0</v>
      </c>
      <c r="H19" s="930">
        <f>transport!G54</f>
        <v>2394.2500121664148</v>
      </c>
      <c r="I19" s="930">
        <f>transport!H54</f>
        <v>0</v>
      </c>
      <c r="J19" s="930">
        <f>transport!I54</f>
        <v>0</v>
      </c>
      <c r="K19" s="930">
        <f>transport!J54</f>
        <v>0</v>
      </c>
      <c r="L19" s="930">
        <f>transport!K54</f>
        <v>0</v>
      </c>
      <c r="M19" s="930">
        <f>transport!L54</f>
        <v>0</v>
      </c>
      <c r="N19" s="930">
        <f>transport!M54</f>
        <v>74.739208537409681</v>
      </c>
      <c r="O19" s="930">
        <f>transport!N54</f>
        <v>0</v>
      </c>
      <c r="P19" s="930">
        <f>transport!O54</f>
        <v>0</v>
      </c>
      <c r="Q19" s="931">
        <f>transport!P54</f>
        <v>0</v>
      </c>
      <c r="R19" s="628">
        <f>SUM(C19:Q19)</f>
        <v>2482.4172722080316</v>
      </c>
      <c r="S19" s="67"/>
    </row>
    <row r="20" spans="1:19" s="437" customFormat="1">
      <c r="A20" s="736" t="s">
        <v>296</v>
      </c>
      <c r="B20" s="741"/>
      <c r="C20" s="930">
        <f>transport!B14</f>
        <v>20.309462050876952</v>
      </c>
      <c r="D20" s="930">
        <f>transport!C14</f>
        <v>0</v>
      </c>
      <c r="E20" s="930">
        <f>transport!D14</f>
        <v>34.237999266721644</v>
      </c>
      <c r="F20" s="930">
        <f>transport!E14</f>
        <v>154.21187681978859</v>
      </c>
      <c r="G20" s="930">
        <f>transport!F14</f>
        <v>0</v>
      </c>
      <c r="H20" s="930">
        <f>transport!G14</f>
        <v>55926.721873666829</v>
      </c>
      <c r="I20" s="930">
        <f>transport!H14</f>
        <v>11813.36491892742</v>
      </c>
      <c r="J20" s="930">
        <f>transport!I14</f>
        <v>0</v>
      </c>
      <c r="K20" s="930">
        <f>transport!J14</f>
        <v>0</v>
      </c>
      <c r="L20" s="930">
        <f>transport!K14</f>
        <v>0</v>
      </c>
      <c r="M20" s="930">
        <f>transport!L14</f>
        <v>0</v>
      </c>
      <c r="N20" s="930">
        <f>transport!M14</f>
        <v>2113.4999844148151</v>
      </c>
      <c r="O20" s="930">
        <f>transport!N14</f>
        <v>0</v>
      </c>
      <c r="P20" s="930">
        <f>transport!O14</f>
        <v>0</v>
      </c>
      <c r="Q20" s="931">
        <f>transport!P14</f>
        <v>0</v>
      </c>
      <c r="R20" s="628">
        <f>SUM(C20:Q20)</f>
        <v>70062.346115146443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33.737513555084242</v>
      </c>
      <c r="D22" s="739">
        <f t="shared" ref="D22:R22" si="1">SUM(D18:D21)</f>
        <v>0</v>
      </c>
      <c r="E22" s="739">
        <f t="shared" si="1"/>
        <v>34.237999266721644</v>
      </c>
      <c r="F22" s="739">
        <f t="shared" si="1"/>
        <v>154.21187681978859</v>
      </c>
      <c r="G22" s="739">
        <f t="shared" si="1"/>
        <v>0</v>
      </c>
      <c r="H22" s="739">
        <f t="shared" si="1"/>
        <v>58320.971885833242</v>
      </c>
      <c r="I22" s="739">
        <f t="shared" si="1"/>
        <v>11813.36491892742</v>
      </c>
      <c r="J22" s="739">
        <f t="shared" si="1"/>
        <v>0</v>
      </c>
      <c r="K22" s="739">
        <f t="shared" si="1"/>
        <v>0</v>
      </c>
      <c r="L22" s="739">
        <f t="shared" si="1"/>
        <v>0</v>
      </c>
      <c r="M22" s="739">
        <f t="shared" si="1"/>
        <v>0</v>
      </c>
      <c r="N22" s="739">
        <f t="shared" si="1"/>
        <v>2188.2391929522246</v>
      </c>
      <c r="O22" s="739">
        <f t="shared" si="1"/>
        <v>0</v>
      </c>
      <c r="P22" s="739">
        <f t="shared" si="1"/>
        <v>0</v>
      </c>
      <c r="Q22" s="739">
        <f t="shared" si="1"/>
        <v>0</v>
      </c>
      <c r="R22" s="739">
        <f t="shared" si="1"/>
        <v>72544.763387354469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6312.0143913899992</v>
      </c>
      <c r="D24" s="930">
        <f>+landbouw!C8</f>
        <v>230377.28571428562</v>
      </c>
      <c r="E24" s="930">
        <f>+landbouw!D8</f>
        <v>26739.470005688316</v>
      </c>
      <c r="F24" s="930">
        <f>+landbouw!E8</f>
        <v>125.04643347216272</v>
      </c>
      <c r="G24" s="930">
        <f>+landbouw!F8</f>
        <v>11408.136233989717</v>
      </c>
      <c r="H24" s="930">
        <f>+landbouw!G8</f>
        <v>0</v>
      </c>
      <c r="I24" s="930">
        <f>+landbouw!H8</f>
        <v>0</v>
      </c>
      <c r="J24" s="930">
        <f>+landbouw!I8</f>
        <v>0</v>
      </c>
      <c r="K24" s="930">
        <f>+landbouw!J8</f>
        <v>1498.7265218237919</v>
      </c>
      <c r="L24" s="930">
        <f>+landbouw!K8</f>
        <v>0</v>
      </c>
      <c r="M24" s="930">
        <f>+landbouw!L8</f>
        <v>0</v>
      </c>
      <c r="N24" s="930">
        <f>+landbouw!M8</f>
        <v>0</v>
      </c>
      <c r="O24" s="930">
        <f>+landbouw!N8</f>
        <v>0</v>
      </c>
      <c r="P24" s="930">
        <f>+landbouw!O8</f>
        <v>0</v>
      </c>
      <c r="Q24" s="931">
        <f>+landbouw!P8</f>
        <v>0</v>
      </c>
      <c r="R24" s="628">
        <f>SUM(C24:Q24)</f>
        <v>276460.67930064967</v>
      </c>
      <c r="S24" s="67"/>
    </row>
    <row r="25" spans="1:19" s="437" customFormat="1" ht="15" thickBot="1">
      <c r="A25" s="758" t="s">
        <v>788</v>
      </c>
      <c r="B25" s="933"/>
      <c r="C25" s="934">
        <f>IF(Onbekend_ele_kWh="---",0,Onbekend_ele_kWh)/1000+IF(REST_rest_ele_kWh="---",0,REST_rest_ele_kWh)/1000</f>
        <v>1047.7954642</v>
      </c>
      <c r="D25" s="934"/>
      <c r="E25" s="934">
        <f>IF(onbekend_gas_kWh="---",0,onbekend_gas_kWh)/1000+IF(REST_rest_gas_kWh="---",0,REST_rest_gas_kWh)/1000</f>
        <v>2893.3607422</v>
      </c>
      <c r="F25" s="934"/>
      <c r="G25" s="934"/>
      <c r="H25" s="934"/>
      <c r="I25" s="934"/>
      <c r="J25" s="934"/>
      <c r="K25" s="934"/>
      <c r="L25" s="934"/>
      <c r="M25" s="934"/>
      <c r="N25" s="934"/>
      <c r="O25" s="934"/>
      <c r="P25" s="934"/>
      <c r="Q25" s="935"/>
      <c r="R25" s="628">
        <f>SUM(C25:Q25)</f>
        <v>3941.1562064</v>
      </c>
      <c r="S25" s="67"/>
    </row>
    <row r="26" spans="1:19" s="437" customFormat="1" ht="15.75" thickBot="1">
      <c r="A26" s="633" t="s">
        <v>789</v>
      </c>
      <c r="B26" s="744"/>
      <c r="C26" s="739">
        <f>SUM(C24:C25)</f>
        <v>7359.8098555899996</v>
      </c>
      <c r="D26" s="739">
        <f t="shared" ref="D26:R26" si="2">SUM(D24:D25)</f>
        <v>230377.28571428562</v>
      </c>
      <c r="E26" s="739">
        <f t="shared" si="2"/>
        <v>29632.830747888314</v>
      </c>
      <c r="F26" s="739">
        <f t="shared" si="2"/>
        <v>125.04643347216272</v>
      </c>
      <c r="G26" s="739">
        <f t="shared" si="2"/>
        <v>11408.136233989717</v>
      </c>
      <c r="H26" s="739">
        <f t="shared" si="2"/>
        <v>0</v>
      </c>
      <c r="I26" s="739">
        <f t="shared" si="2"/>
        <v>0</v>
      </c>
      <c r="J26" s="739">
        <f t="shared" si="2"/>
        <v>0</v>
      </c>
      <c r="K26" s="739">
        <f t="shared" si="2"/>
        <v>1498.7265218237919</v>
      </c>
      <c r="L26" s="739">
        <f t="shared" si="2"/>
        <v>0</v>
      </c>
      <c r="M26" s="739">
        <f t="shared" si="2"/>
        <v>0</v>
      </c>
      <c r="N26" s="739">
        <f t="shared" si="2"/>
        <v>0</v>
      </c>
      <c r="O26" s="739">
        <f t="shared" si="2"/>
        <v>0</v>
      </c>
      <c r="P26" s="739">
        <f t="shared" si="2"/>
        <v>0</v>
      </c>
      <c r="Q26" s="739">
        <f t="shared" si="2"/>
        <v>0</v>
      </c>
      <c r="R26" s="739">
        <f t="shared" si="2"/>
        <v>280401.83550704969</v>
      </c>
      <c r="S26" s="67"/>
    </row>
    <row r="27" spans="1:19" s="437" customFormat="1" ht="17.25" thickTop="1" thickBot="1">
      <c r="A27" s="634" t="s">
        <v>109</v>
      </c>
      <c r="B27" s="732"/>
      <c r="C27" s="635">
        <f ca="1">C22+C16+C26</f>
        <v>108320.22995793508</v>
      </c>
      <c r="D27" s="635">
        <f t="shared" ref="D27:R27" ca="1" si="3">D22+D16+D26</f>
        <v>238429.07142857133</v>
      </c>
      <c r="E27" s="635">
        <f t="shared" ca="1" si="3"/>
        <v>146277.81223984796</v>
      </c>
      <c r="F27" s="635">
        <f t="shared" si="3"/>
        <v>3633.5407653500724</v>
      </c>
      <c r="G27" s="635">
        <f t="shared" ca="1" si="3"/>
        <v>66404.156655239465</v>
      </c>
      <c r="H27" s="635">
        <f t="shared" si="3"/>
        <v>58320.971885833242</v>
      </c>
      <c r="I27" s="635">
        <f t="shared" si="3"/>
        <v>11813.36491892742</v>
      </c>
      <c r="J27" s="635">
        <f t="shared" si="3"/>
        <v>0</v>
      </c>
      <c r="K27" s="635">
        <f t="shared" si="3"/>
        <v>2309.4377052020282</v>
      </c>
      <c r="L27" s="635">
        <f t="shared" si="3"/>
        <v>0</v>
      </c>
      <c r="M27" s="635">
        <f t="shared" ca="1" si="3"/>
        <v>0</v>
      </c>
      <c r="N27" s="635">
        <f t="shared" si="3"/>
        <v>2188.2391929522246</v>
      </c>
      <c r="O27" s="635">
        <f t="shared" ca="1" si="3"/>
        <v>12277.132153513096</v>
      </c>
      <c r="P27" s="635">
        <f t="shared" si="3"/>
        <v>345.49666666666673</v>
      </c>
      <c r="Q27" s="635">
        <f t="shared" si="3"/>
        <v>1430.0000000000002</v>
      </c>
      <c r="R27" s="635">
        <f t="shared" ca="1" si="3"/>
        <v>651749.45357003866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12742.883634838841</v>
      </c>
      <c r="D40" s="930">
        <f ca="1">tertiair!C20</f>
        <v>1789.4557656993222</v>
      </c>
      <c r="E40" s="930">
        <f ca="1">tertiair!D20</f>
        <v>6386.0827272637534</v>
      </c>
      <c r="F40" s="930">
        <f>tertiair!E20</f>
        <v>281.54500849234722</v>
      </c>
      <c r="G40" s="930">
        <f ca="1">tertiair!F20</f>
        <v>2692.8547183014493</v>
      </c>
      <c r="H40" s="930">
        <f>tertiair!G20</f>
        <v>0</v>
      </c>
      <c r="I40" s="930">
        <f>tertiair!H20</f>
        <v>0</v>
      </c>
      <c r="J40" s="930">
        <f>tertiair!I20</f>
        <v>0</v>
      </c>
      <c r="K40" s="930">
        <f>tertiair!J20</f>
        <v>1.3180047384684392E-2</v>
      </c>
      <c r="L40" s="930">
        <f>tertiair!K20</f>
        <v>0</v>
      </c>
      <c r="M40" s="930">
        <f ca="1">tertiair!L20</f>
        <v>0</v>
      </c>
      <c r="N40" s="930">
        <f>tertiair!M20</f>
        <v>0</v>
      </c>
      <c r="O40" s="930">
        <f ca="1">tertiair!N20</f>
        <v>0</v>
      </c>
      <c r="P40" s="930">
        <f>tertiair!O20</f>
        <v>0</v>
      </c>
      <c r="Q40" s="702">
        <f>tertiair!P20</f>
        <v>0</v>
      </c>
      <c r="R40" s="777">
        <f t="shared" ca="1" si="4"/>
        <v>23892.8350346431</v>
      </c>
    </row>
    <row r="41" spans="1:18">
      <c r="A41" s="749" t="s">
        <v>214</v>
      </c>
      <c r="B41" s="756"/>
      <c r="C41" s="930">
        <f ca="1">huishoudens!B12</f>
        <v>7336.4816969732919</v>
      </c>
      <c r="D41" s="930">
        <f ca="1">huishoudens!C12</f>
        <v>0</v>
      </c>
      <c r="E41" s="930">
        <f>huishoudens!D12</f>
        <v>15853.452799742976</v>
      </c>
      <c r="F41" s="930">
        <f>huishoudens!E12</f>
        <v>356.89143483431758</v>
      </c>
      <c r="G41" s="930">
        <f>huishoudens!F12</f>
        <v>11412.981682202506</v>
      </c>
      <c r="H41" s="930">
        <f>huishoudens!G12</f>
        <v>0</v>
      </c>
      <c r="I41" s="930">
        <f>huishoudens!H12</f>
        <v>0</v>
      </c>
      <c r="J41" s="930">
        <f>huishoudens!I12</f>
        <v>0</v>
      </c>
      <c r="K41" s="930">
        <f>huishoudens!J12</f>
        <v>279.05775879745198</v>
      </c>
      <c r="L41" s="930">
        <f>huishoudens!K12</f>
        <v>0</v>
      </c>
      <c r="M41" s="930">
        <f>huishoudens!L12</f>
        <v>0</v>
      </c>
      <c r="N41" s="930">
        <f>huishoudens!M12</f>
        <v>0</v>
      </c>
      <c r="O41" s="930">
        <f>huishoudens!N12</f>
        <v>0</v>
      </c>
      <c r="P41" s="930">
        <f>huishoudens!O12</f>
        <v>0</v>
      </c>
      <c r="Q41" s="702">
        <f>huishoudens!P12</f>
        <v>0</v>
      </c>
      <c r="R41" s="777">
        <f t="shared" ca="1" si="4"/>
        <v>35238.865372550543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1121.6051949317095</v>
      </c>
      <c r="D43" s="930">
        <f ca="1">industrie!C22</f>
        <v>0</v>
      </c>
      <c r="E43" s="930">
        <f>industrie!D22</f>
        <v>1315.8346585172415</v>
      </c>
      <c r="F43" s="930">
        <f>industrie!E22</f>
        <v>122.9856739715286</v>
      </c>
      <c r="G43" s="930">
        <f>industrie!F22</f>
        <v>578.101051969727</v>
      </c>
      <c r="H43" s="930">
        <f>industrie!G22</f>
        <v>0</v>
      </c>
      <c r="I43" s="930">
        <f>industrie!H22</f>
        <v>0</v>
      </c>
      <c r="J43" s="930">
        <f>industrie!I22</f>
        <v>0</v>
      </c>
      <c r="K43" s="930">
        <f>industrie!J22</f>
        <v>7.9208200710590031</v>
      </c>
      <c r="L43" s="930">
        <f>industrie!K22</f>
        <v>0</v>
      </c>
      <c r="M43" s="930">
        <f>industrie!L22</f>
        <v>0</v>
      </c>
      <c r="N43" s="930">
        <f>industrie!M22</f>
        <v>0</v>
      </c>
      <c r="O43" s="930">
        <f>industrie!N22</f>
        <v>0</v>
      </c>
      <c r="P43" s="930">
        <f>industrie!O22</f>
        <v>0</v>
      </c>
      <c r="Q43" s="702">
        <f>industrie!P22</f>
        <v>0</v>
      </c>
      <c r="R43" s="776">
        <f t="shared" ca="1" si="4"/>
        <v>3146.4473994612658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21200.97052674384</v>
      </c>
      <c r="D46" s="660">
        <f t="shared" ref="D46:Q46" ca="1" si="5">SUM(D39:D45)</f>
        <v>1789.4557656993222</v>
      </c>
      <c r="E46" s="660">
        <f t="shared" ca="1" si="5"/>
        <v>23555.370185523971</v>
      </c>
      <c r="F46" s="660">
        <f t="shared" si="5"/>
        <v>761.42211729819348</v>
      </c>
      <c r="G46" s="660">
        <f t="shared" ca="1" si="5"/>
        <v>14683.937452473681</v>
      </c>
      <c r="H46" s="660">
        <f t="shared" si="5"/>
        <v>0</v>
      </c>
      <c r="I46" s="660">
        <f t="shared" si="5"/>
        <v>0</v>
      </c>
      <c r="J46" s="660">
        <f t="shared" si="5"/>
        <v>0</v>
      </c>
      <c r="K46" s="660">
        <f t="shared" si="5"/>
        <v>286.99175891589567</v>
      </c>
      <c r="L46" s="660">
        <f t="shared" si="5"/>
        <v>0</v>
      </c>
      <c r="M46" s="660">
        <f t="shared" ca="1" si="5"/>
        <v>0</v>
      </c>
      <c r="N46" s="660">
        <f t="shared" si="5"/>
        <v>0</v>
      </c>
      <c r="O46" s="660">
        <f t="shared" ca="1" si="5"/>
        <v>0</v>
      </c>
      <c r="P46" s="660">
        <f t="shared" si="5"/>
        <v>0</v>
      </c>
      <c r="Q46" s="660">
        <f t="shared" si="5"/>
        <v>0</v>
      </c>
      <c r="R46" s="660">
        <f ca="1">SUM(R39:R45)</f>
        <v>62278.147806654903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2.8207379542257693</v>
      </c>
      <c r="D49" s="930">
        <f ca="1">transport!C58</f>
        <v>0</v>
      </c>
      <c r="E49" s="930">
        <f>transport!D58</f>
        <v>0</v>
      </c>
      <c r="F49" s="930">
        <f>transport!E58</f>
        <v>0</v>
      </c>
      <c r="G49" s="930">
        <f>transport!F58</f>
        <v>0</v>
      </c>
      <c r="H49" s="930">
        <f>transport!G58</f>
        <v>639.26475324843273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642.08549120265855</v>
      </c>
    </row>
    <row r="50" spans="1:18">
      <c r="A50" s="752" t="s">
        <v>296</v>
      </c>
      <c r="B50" s="762"/>
      <c r="C50" s="631">
        <f ca="1">transport!B18</f>
        <v>4.2662682980376658</v>
      </c>
      <c r="D50" s="631">
        <f>transport!C18</f>
        <v>0</v>
      </c>
      <c r="E50" s="631">
        <f>transport!D18</f>
        <v>6.916075851877773</v>
      </c>
      <c r="F50" s="631">
        <f>transport!E18</f>
        <v>35.006096038092011</v>
      </c>
      <c r="G50" s="631">
        <f>transport!F18</f>
        <v>0</v>
      </c>
      <c r="H50" s="631">
        <f>transport!G18</f>
        <v>14932.434740269044</v>
      </c>
      <c r="I50" s="631">
        <f>transport!H18</f>
        <v>2941.5278648129274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17920.151045269977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7.0870062522634356</v>
      </c>
      <c r="D52" s="660">
        <f t="shared" ref="D52:Q52" ca="1" si="6">SUM(D48:D51)</f>
        <v>0</v>
      </c>
      <c r="E52" s="660">
        <f t="shared" si="6"/>
        <v>6.916075851877773</v>
      </c>
      <c r="F52" s="660">
        <f t="shared" si="6"/>
        <v>35.006096038092011</v>
      </c>
      <c r="G52" s="660">
        <f t="shared" si="6"/>
        <v>0</v>
      </c>
      <c r="H52" s="660">
        <f t="shared" si="6"/>
        <v>15571.699493517477</v>
      </c>
      <c r="I52" s="660">
        <f t="shared" si="6"/>
        <v>2941.5278648129274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18562.236536472636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1325.9212295867726</v>
      </c>
      <c r="D54" s="631">
        <f ca="1">+landbouw!C12</f>
        <v>51199.817883399766</v>
      </c>
      <c r="E54" s="631">
        <f>+landbouw!D12</f>
        <v>5401.3729411490403</v>
      </c>
      <c r="F54" s="631">
        <f>+landbouw!E12</f>
        <v>28.38554039818094</v>
      </c>
      <c r="G54" s="631">
        <f>+landbouw!F12</f>
        <v>3045.9723744752546</v>
      </c>
      <c r="H54" s="631">
        <f>+landbouw!G12</f>
        <v>0</v>
      </c>
      <c r="I54" s="631">
        <f>+landbouw!H12</f>
        <v>0</v>
      </c>
      <c r="J54" s="631">
        <f>+landbouw!I12</f>
        <v>0</v>
      </c>
      <c r="K54" s="631">
        <f>+landbouw!J12</f>
        <v>530.54918872562234</v>
      </c>
      <c r="L54" s="631">
        <f>+landbouw!K12</f>
        <v>0</v>
      </c>
      <c r="M54" s="631">
        <f>+landbouw!L12</f>
        <v>0</v>
      </c>
      <c r="N54" s="631">
        <f>+landbouw!M12</f>
        <v>0</v>
      </c>
      <c r="O54" s="631">
        <f>+landbouw!N12</f>
        <v>0</v>
      </c>
      <c r="P54" s="631">
        <f>+landbouw!O12</f>
        <v>0</v>
      </c>
      <c r="Q54" s="632">
        <f>+landbouw!P12</f>
        <v>0</v>
      </c>
      <c r="R54" s="659">
        <f ca="1">SUM(C54:Q54)</f>
        <v>61532.019157734634</v>
      </c>
    </row>
    <row r="55" spans="1:18" ht="15" thickBot="1">
      <c r="A55" s="752" t="s">
        <v>788</v>
      </c>
      <c r="B55" s="762"/>
      <c r="C55" s="631">
        <f ca="1">C25*'EF ele_warmte'!B12</f>
        <v>220.10314997738209</v>
      </c>
      <c r="D55" s="631"/>
      <c r="E55" s="631">
        <f>E25*EF_CO2_aardgas</f>
        <v>584.45886992440001</v>
      </c>
      <c r="F55" s="631"/>
      <c r="G55" s="631"/>
      <c r="H55" s="631"/>
      <c r="I55" s="631"/>
      <c r="J55" s="631"/>
      <c r="K55" s="631"/>
      <c r="L55" s="631"/>
      <c r="M55" s="631"/>
      <c r="N55" s="631"/>
      <c r="O55" s="631"/>
      <c r="P55" s="631"/>
      <c r="Q55" s="632"/>
      <c r="R55" s="659">
        <f ca="1">SUM(C55:Q55)</f>
        <v>804.56201990178215</v>
      </c>
    </row>
    <row r="56" spans="1:18" ht="15.75" thickBot="1">
      <c r="A56" s="750" t="s">
        <v>789</v>
      </c>
      <c r="B56" s="763"/>
      <c r="C56" s="660">
        <f ca="1">SUM(C54:C55)</f>
        <v>1546.0243795641547</v>
      </c>
      <c r="D56" s="660">
        <f t="shared" ref="D56:Q56" ca="1" si="7">SUM(D54:D55)</f>
        <v>51199.817883399766</v>
      </c>
      <c r="E56" s="660">
        <f t="shared" si="7"/>
        <v>5985.8318110734399</v>
      </c>
      <c r="F56" s="660">
        <f t="shared" si="7"/>
        <v>28.38554039818094</v>
      </c>
      <c r="G56" s="660">
        <f t="shared" si="7"/>
        <v>3045.9723744752546</v>
      </c>
      <c r="H56" s="660">
        <f t="shared" si="7"/>
        <v>0</v>
      </c>
      <c r="I56" s="660">
        <f t="shared" si="7"/>
        <v>0</v>
      </c>
      <c r="J56" s="660">
        <f t="shared" si="7"/>
        <v>0</v>
      </c>
      <c r="K56" s="660">
        <f t="shared" si="7"/>
        <v>530.54918872562234</v>
      </c>
      <c r="L56" s="660">
        <f t="shared" si="7"/>
        <v>0</v>
      </c>
      <c r="M56" s="660">
        <f t="shared" si="7"/>
        <v>0</v>
      </c>
      <c r="N56" s="660">
        <f t="shared" si="7"/>
        <v>0</v>
      </c>
      <c r="O56" s="660">
        <f t="shared" si="7"/>
        <v>0</v>
      </c>
      <c r="P56" s="660">
        <f t="shared" si="7"/>
        <v>0</v>
      </c>
      <c r="Q56" s="661">
        <f t="shared" si="7"/>
        <v>0</v>
      </c>
      <c r="R56" s="662">
        <f ca="1">SUM(R54:R55)</f>
        <v>62336.581177636413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22754.081912560257</v>
      </c>
      <c r="D61" s="668">
        <f t="shared" ref="D61:Q61" ca="1" si="8">D46+D52+D56</f>
        <v>52989.273649099086</v>
      </c>
      <c r="E61" s="668">
        <f t="shared" ca="1" si="8"/>
        <v>29548.118072449288</v>
      </c>
      <c r="F61" s="668">
        <f t="shared" si="8"/>
        <v>824.81375373446645</v>
      </c>
      <c r="G61" s="668">
        <f t="shared" ca="1" si="8"/>
        <v>17729.909826948937</v>
      </c>
      <c r="H61" s="668">
        <f t="shared" si="8"/>
        <v>15571.699493517477</v>
      </c>
      <c r="I61" s="668">
        <f t="shared" si="8"/>
        <v>2941.5278648129274</v>
      </c>
      <c r="J61" s="668">
        <f t="shared" si="8"/>
        <v>0</v>
      </c>
      <c r="K61" s="668">
        <f t="shared" si="8"/>
        <v>817.54094764151796</v>
      </c>
      <c r="L61" s="668">
        <f t="shared" si="8"/>
        <v>0</v>
      </c>
      <c r="M61" s="668">
        <f t="shared" ca="1" si="8"/>
        <v>0</v>
      </c>
      <c r="N61" s="668">
        <f t="shared" si="8"/>
        <v>0</v>
      </c>
      <c r="O61" s="668">
        <f t="shared" ca="1" si="8"/>
        <v>0</v>
      </c>
      <c r="P61" s="668">
        <f t="shared" si="8"/>
        <v>0</v>
      </c>
      <c r="Q61" s="668">
        <f t="shared" si="8"/>
        <v>0</v>
      </c>
      <c r="R61" s="668">
        <f ca="1">R46+R52+R56</f>
        <v>143176.96552076394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0.21006308721276298</v>
      </c>
      <c r="D63" s="709">
        <f t="shared" ca="1" si="9"/>
        <v>0.22224334193648709</v>
      </c>
      <c r="E63" s="941">
        <f t="shared" ca="1" si="9"/>
        <v>0.20199999999999999</v>
      </c>
      <c r="F63" s="709">
        <f t="shared" si="9"/>
        <v>0.22700000000000001</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9906.4006988882702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12399.522507687994</v>
      </c>
      <c r="C76" s="678">
        <f>'lokale energieproductie'!B8*IFERROR(SUM(D76:H76)/SUM(D76:O76),0)</f>
        <v>158448.227492312</v>
      </c>
      <c r="D76" s="951">
        <f>'lokale energieproductie'!C8</f>
        <v>181563.22274148892</v>
      </c>
      <c r="E76" s="952">
        <f>'lokale energieproductie'!D8</f>
        <v>0</v>
      </c>
      <c r="F76" s="952">
        <f>'lokale energieproductie'!E8</f>
        <v>4846.4566612311219</v>
      </c>
      <c r="G76" s="952">
        <f>'lokale energieproductie'!F8</f>
        <v>0</v>
      </c>
      <c r="H76" s="952">
        <f>'lokale energieproductie'!G8</f>
        <v>0</v>
      </c>
      <c r="I76" s="952">
        <f>'lokale energieproductie'!I8</f>
        <v>14539.369983693367</v>
      </c>
      <c r="J76" s="952">
        <f>'lokale energieproductie'!J8</f>
        <v>48.303554763100891</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37969.774922329474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22305.923206576263</v>
      </c>
      <c r="C78" s="683">
        <f>SUM(C72:C77)</f>
        <v>158448.227492312</v>
      </c>
      <c r="D78" s="684">
        <f t="shared" ref="D78:H78" si="10">SUM(D76:D77)</f>
        <v>181563.22274148892</v>
      </c>
      <c r="E78" s="684">
        <f t="shared" si="10"/>
        <v>0</v>
      </c>
      <c r="F78" s="684">
        <f t="shared" si="10"/>
        <v>4846.4566612311219</v>
      </c>
      <c r="G78" s="684">
        <f t="shared" si="10"/>
        <v>0</v>
      </c>
      <c r="H78" s="684">
        <f t="shared" si="10"/>
        <v>0</v>
      </c>
      <c r="I78" s="684">
        <f>SUM(I76:I77)</f>
        <v>14539.369983693367</v>
      </c>
      <c r="J78" s="684">
        <f>SUM(J76:J77)</f>
        <v>48.303554763100891</v>
      </c>
      <c r="K78" s="684">
        <f t="shared" ref="K78:L78" si="11">SUM(K76:K77)</f>
        <v>0</v>
      </c>
      <c r="L78" s="684">
        <f t="shared" si="11"/>
        <v>0</v>
      </c>
      <c r="M78" s="684">
        <f>SUM(M76:M77)</f>
        <v>0</v>
      </c>
      <c r="N78" s="684">
        <f>SUM(N76:N77)</f>
        <v>0</v>
      </c>
      <c r="O78" s="787">
        <f>SUM(O76:O77)</f>
        <v>0</v>
      </c>
      <c r="P78" s="685">
        <v>0</v>
      </c>
      <c r="Q78" s="685">
        <f>SUM(Q76:Q77)</f>
        <v>37969.774922329474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17304.334635169147</v>
      </c>
      <c r="C87" s="694">
        <f>'lokale energieproductie'!B17*IFERROR(SUM(D87:H87)/SUM(D87:O87),0)</f>
        <v>221124.73679340223</v>
      </c>
      <c r="D87" s="705">
        <f>'lokale energieproductie'!C17</f>
        <v>253383.2058299396</v>
      </c>
      <c r="E87" s="705">
        <f>'lokale energieproductie'!D17</f>
        <v>0</v>
      </c>
      <c r="F87" s="705">
        <f>'lokale energieproductie'!E17</f>
        <v>6763.5433387688781</v>
      </c>
      <c r="G87" s="705">
        <f>'lokale energieproductie'!F17</f>
        <v>0</v>
      </c>
      <c r="H87" s="705">
        <f>'lokale energieproductie'!G17</f>
        <v>0</v>
      </c>
      <c r="I87" s="705">
        <f>'lokale energieproductie'!I17</f>
        <v>20290.630016306633</v>
      </c>
      <c r="J87" s="705">
        <f>'lokale energieproductie'!J17</f>
        <v>67.410730951184831</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52989.273649099094</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17304.334635169147</v>
      </c>
      <c r="C90" s="683">
        <f>SUM(C87:C89)</f>
        <v>221124.73679340223</v>
      </c>
      <c r="D90" s="683">
        <f t="shared" ref="D90:H90" si="12">SUM(D87:D89)</f>
        <v>253383.2058299396</v>
      </c>
      <c r="E90" s="683">
        <f t="shared" si="12"/>
        <v>0</v>
      </c>
      <c r="F90" s="683">
        <f t="shared" si="12"/>
        <v>6763.5433387688781</v>
      </c>
      <c r="G90" s="683">
        <f t="shared" si="12"/>
        <v>0</v>
      </c>
      <c r="H90" s="683">
        <f t="shared" si="12"/>
        <v>0</v>
      </c>
      <c r="I90" s="683">
        <f>SUM(I87:I89)</f>
        <v>20290.630016306633</v>
      </c>
      <c r="J90" s="683">
        <f>SUM(J87:J89)</f>
        <v>67.410730951184831</v>
      </c>
      <c r="K90" s="683">
        <f t="shared" ref="K90:L90" si="13">SUM(K87:K89)</f>
        <v>0</v>
      </c>
      <c r="L90" s="683">
        <f t="shared" si="13"/>
        <v>0</v>
      </c>
      <c r="M90" s="683">
        <f>SUM(M87:M89)</f>
        <v>0</v>
      </c>
      <c r="N90" s="683">
        <f>SUM(N87:N89)</f>
        <v>0</v>
      </c>
      <c r="O90" s="683">
        <f>SUM(O87:O89)</f>
        <v>0</v>
      </c>
      <c r="P90" s="683">
        <v>0</v>
      </c>
      <c r="Q90" s="683">
        <f>SUM(Q87:Q89)</f>
        <v>52989.273649099094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34925.135083549998</v>
      </c>
      <c r="C4" s="441">
        <f>huishoudens!C8</f>
        <v>0</v>
      </c>
      <c r="D4" s="441">
        <f>huishoudens!D8</f>
        <v>78482.439602687999</v>
      </c>
      <c r="E4" s="441">
        <f>huishoudens!E8</f>
        <v>1572.2089640278307</v>
      </c>
      <c r="F4" s="441">
        <f>huishoudens!F8</f>
        <v>42745.249746076799</v>
      </c>
      <c r="G4" s="441">
        <f>huishoudens!G8</f>
        <v>0</v>
      </c>
      <c r="H4" s="441">
        <f>huishoudens!H8</f>
        <v>0</v>
      </c>
      <c r="I4" s="441">
        <f>huishoudens!I8</f>
        <v>0</v>
      </c>
      <c r="J4" s="441">
        <f>huishoudens!J8</f>
        <v>788.29875366511862</v>
      </c>
      <c r="K4" s="441">
        <f>huishoudens!K8</f>
        <v>0</v>
      </c>
      <c r="L4" s="441">
        <f>huishoudens!L8</f>
        <v>0</v>
      </c>
      <c r="M4" s="441">
        <f>huishoudens!M8</f>
        <v>0</v>
      </c>
      <c r="N4" s="441">
        <f>huishoudens!N8</f>
        <v>10329.596996941753</v>
      </c>
      <c r="O4" s="441">
        <f>huishoudens!O8</f>
        <v>339.2433333333334</v>
      </c>
      <c r="P4" s="442">
        <f>huishoudens!P8</f>
        <v>1391.8666666666668</v>
      </c>
      <c r="Q4" s="443">
        <f>SUM(B4:P4)</f>
        <v>170574.03914694951</v>
      </c>
    </row>
    <row r="5" spans="1:17">
      <c r="A5" s="440" t="s">
        <v>149</v>
      </c>
      <c r="B5" s="441">
        <f ca="1">tertiair!B16</f>
        <v>59165.17641588</v>
      </c>
      <c r="C5" s="441">
        <f ca="1">tertiair!C16</f>
        <v>8051.7857142857147</v>
      </c>
      <c r="D5" s="441">
        <f ca="1">tertiair!D16</f>
        <v>31614.270927048281</v>
      </c>
      <c r="E5" s="441">
        <f>tertiair!E16</f>
        <v>1240.286381023556</v>
      </c>
      <c r="F5" s="441">
        <f ca="1">tertiair!F16</f>
        <v>10085.598195885577</v>
      </c>
      <c r="G5" s="441">
        <f>tertiair!G16</f>
        <v>0</v>
      </c>
      <c r="H5" s="441">
        <f>tertiair!H16</f>
        <v>0</v>
      </c>
      <c r="I5" s="441">
        <f>tertiair!I16</f>
        <v>0</v>
      </c>
      <c r="J5" s="441">
        <f>tertiair!J16</f>
        <v>3.7231772273119752E-2</v>
      </c>
      <c r="K5" s="441">
        <f>tertiair!K16</f>
        <v>0</v>
      </c>
      <c r="L5" s="441">
        <f ca="1">tertiair!L16</f>
        <v>0</v>
      </c>
      <c r="M5" s="441">
        <f>tertiair!M16</f>
        <v>0</v>
      </c>
      <c r="N5" s="441">
        <f ca="1">tertiair!N16</f>
        <v>1380.5364701356048</v>
      </c>
      <c r="O5" s="441">
        <f>tertiair!O16</f>
        <v>6.2533333333333339</v>
      </c>
      <c r="P5" s="442">
        <f>tertiair!P16</f>
        <v>38.133333333333333</v>
      </c>
      <c r="Q5" s="440">
        <f t="shared" ref="Q5:Q14" ca="1" si="0">SUM(B5:P5)</f>
        <v>111582.07800269767</v>
      </c>
    </row>
    <row r="6" spans="1:17">
      <c r="A6" s="440" t="s">
        <v>187</v>
      </c>
      <c r="B6" s="441">
        <f>'openbare verlichting'!B8</f>
        <v>1496.998</v>
      </c>
      <c r="C6" s="441"/>
      <c r="D6" s="441"/>
      <c r="E6" s="441"/>
      <c r="F6" s="441"/>
      <c r="G6" s="441"/>
      <c r="H6" s="441"/>
      <c r="I6" s="441"/>
      <c r="J6" s="441"/>
      <c r="K6" s="441"/>
      <c r="L6" s="441"/>
      <c r="M6" s="441"/>
      <c r="N6" s="441"/>
      <c r="O6" s="441"/>
      <c r="P6" s="442"/>
      <c r="Q6" s="440">
        <f t="shared" si="0"/>
        <v>1496.998</v>
      </c>
    </row>
    <row r="7" spans="1:17">
      <c r="A7" s="440" t="s">
        <v>105</v>
      </c>
      <c r="B7" s="441">
        <f>landbouw!B8</f>
        <v>6312.0143913899992</v>
      </c>
      <c r="C7" s="441">
        <f>landbouw!C8</f>
        <v>230377.28571428562</v>
      </c>
      <c r="D7" s="441">
        <f>landbouw!D8</f>
        <v>26739.470005688316</v>
      </c>
      <c r="E7" s="441">
        <f>landbouw!E8</f>
        <v>125.04643347216272</v>
      </c>
      <c r="F7" s="441">
        <f>landbouw!F8</f>
        <v>11408.136233989717</v>
      </c>
      <c r="G7" s="441">
        <f>landbouw!G8</f>
        <v>0</v>
      </c>
      <c r="H7" s="441">
        <f>landbouw!H8</f>
        <v>0</v>
      </c>
      <c r="I7" s="441">
        <f>landbouw!I8</f>
        <v>0</v>
      </c>
      <c r="J7" s="441">
        <f>landbouw!J8</f>
        <v>1498.7265218237919</v>
      </c>
      <c r="K7" s="441">
        <f>landbouw!K8</f>
        <v>0</v>
      </c>
      <c r="L7" s="441">
        <f>landbouw!L8</f>
        <v>0</v>
      </c>
      <c r="M7" s="441">
        <f>landbouw!M8</f>
        <v>0</v>
      </c>
      <c r="N7" s="441">
        <f>landbouw!N8</f>
        <v>0</v>
      </c>
      <c r="O7" s="441">
        <f>landbouw!O8</f>
        <v>0</v>
      </c>
      <c r="P7" s="442">
        <f>landbouw!P8</f>
        <v>0</v>
      </c>
      <c r="Q7" s="440">
        <f t="shared" si="0"/>
        <v>276460.67930064967</v>
      </c>
    </row>
    <row r="8" spans="1:17">
      <c r="A8" s="440" t="s">
        <v>600</v>
      </c>
      <c r="B8" s="441">
        <f>industrie!B18</f>
        <v>5339.3730893600004</v>
      </c>
      <c r="C8" s="441">
        <f>industrie!C18</f>
        <v>0</v>
      </c>
      <c r="D8" s="441">
        <f>industrie!D18</f>
        <v>6514.0329629566404</v>
      </c>
      <c r="E8" s="441">
        <f>industrie!E18</f>
        <v>541.78711000673388</v>
      </c>
      <c r="F8" s="441">
        <f>industrie!F18</f>
        <v>2165.172479287367</v>
      </c>
      <c r="G8" s="441">
        <f>industrie!G18</f>
        <v>0</v>
      </c>
      <c r="H8" s="441">
        <f>industrie!H18</f>
        <v>0</v>
      </c>
      <c r="I8" s="441">
        <f>industrie!I18</f>
        <v>0</v>
      </c>
      <c r="J8" s="441">
        <f>industrie!J18</f>
        <v>22.375197940844643</v>
      </c>
      <c r="K8" s="441">
        <f>industrie!K18</f>
        <v>0</v>
      </c>
      <c r="L8" s="441">
        <f>industrie!L18</f>
        <v>0</v>
      </c>
      <c r="M8" s="441">
        <f>industrie!M18</f>
        <v>0</v>
      </c>
      <c r="N8" s="441">
        <f>industrie!N18</f>
        <v>566.99868643573814</v>
      </c>
      <c r="O8" s="441">
        <f>industrie!O18</f>
        <v>0</v>
      </c>
      <c r="P8" s="442">
        <f>industrie!P18</f>
        <v>0</v>
      </c>
      <c r="Q8" s="440">
        <f t="shared" si="0"/>
        <v>15149.739525987323</v>
      </c>
    </row>
    <row r="9" spans="1:17" s="446" customFormat="1">
      <c r="A9" s="444" t="s">
        <v>549</v>
      </c>
      <c r="B9" s="445">
        <f>transport!B14</f>
        <v>20.309462050876952</v>
      </c>
      <c r="C9" s="445">
        <f>transport!C14</f>
        <v>0</v>
      </c>
      <c r="D9" s="445">
        <f>transport!D14</f>
        <v>34.237999266721644</v>
      </c>
      <c r="E9" s="445">
        <f>transport!E14</f>
        <v>154.21187681978859</v>
      </c>
      <c r="F9" s="445">
        <f>transport!F14</f>
        <v>0</v>
      </c>
      <c r="G9" s="445">
        <f>transport!G14</f>
        <v>55926.721873666829</v>
      </c>
      <c r="H9" s="445">
        <f>transport!H14</f>
        <v>11813.36491892742</v>
      </c>
      <c r="I9" s="445">
        <f>transport!I14</f>
        <v>0</v>
      </c>
      <c r="J9" s="445">
        <f>transport!J14</f>
        <v>0</v>
      </c>
      <c r="K9" s="445">
        <f>transport!K14</f>
        <v>0</v>
      </c>
      <c r="L9" s="445">
        <f>transport!L14</f>
        <v>0</v>
      </c>
      <c r="M9" s="445">
        <f>transport!M14</f>
        <v>2113.4999844148151</v>
      </c>
      <c r="N9" s="445">
        <f>transport!N14</f>
        <v>0</v>
      </c>
      <c r="O9" s="445">
        <f>transport!O14</f>
        <v>0</v>
      </c>
      <c r="P9" s="445">
        <f>transport!P14</f>
        <v>0</v>
      </c>
      <c r="Q9" s="444">
        <f>SUM(B9:P9)</f>
        <v>70062.346115146443</v>
      </c>
    </row>
    <row r="10" spans="1:17">
      <c r="A10" s="440" t="s">
        <v>539</v>
      </c>
      <c r="B10" s="441">
        <f>transport!B54</f>
        <v>13.428051504207289</v>
      </c>
      <c r="C10" s="441">
        <f>transport!C54</f>
        <v>0</v>
      </c>
      <c r="D10" s="441">
        <f>transport!D54</f>
        <v>0</v>
      </c>
      <c r="E10" s="441">
        <f>transport!E54</f>
        <v>0</v>
      </c>
      <c r="F10" s="441">
        <f>transport!F54</f>
        <v>0</v>
      </c>
      <c r="G10" s="441">
        <f>transport!G54</f>
        <v>2394.2500121664148</v>
      </c>
      <c r="H10" s="441">
        <f>transport!H54</f>
        <v>0</v>
      </c>
      <c r="I10" s="441">
        <f>transport!I54</f>
        <v>0</v>
      </c>
      <c r="J10" s="441">
        <f>transport!J54</f>
        <v>0</v>
      </c>
      <c r="K10" s="441">
        <f>transport!K54</f>
        <v>0</v>
      </c>
      <c r="L10" s="441">
        <f>transport!L54</f>
        <v>0</v>
      </c>
      <c r="M10" s="441">
        <f>transport!M54</f>
        <v>74.739208537409681</v>
      </c>
      <c r="N10" s="441">
        <f>transport!N54</f>
        <v>0</v>
      </c>
      <c r="O10" s="441">
        <f>transport!O54</f>
        <v>0</v>
      </c>
      <c r="P10" s="442">
        <f>transport!P54</f>
        <v>0</v>
      </c>
      <c r="Q10" s="440">
        <f t="shared" si="0"/>
        <v>2482.4172722080316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1047.7954642</v>
      </c>
      <c r="C14" s="448"/>
      <c r="D14" s="448">
        <f>'SEAP template'!E25</f>
        <v>2893.3607422</v>
      </c>
      <c r="E14" s="448"/>
      <c r="F14" s="448"/>
      <c r="G14" s="448"/>
      <c r="H14" s="448"/>
      <c r="I14" s="448"/>
      <c r="J14" s="448"/>
      <c r="K14" s="448"/>
      <c r="L14" s="448"/>
      <c r="M14" s="448"/>
      <c r="N14" s="448"/>
      <c r="O14" s="448"/>
      <c r="P14" s="449"/>
      <c r="Q14" s="440">
        <f t="shared" si="0"/>
        <v>3941.1562064</v>
      </c>
    </row>
    <row r="15" spans="1:17" s="450" customFormat="1">
      <c r="A15" s="956" t="s">
        <v>543</v>
      </c>
      <c r="B15" s="896">
        <f ca="1">SUM(B4:B14)</f>
        <v>108320.22995793508</v>
      </c>
      <c r="C15" s="896">
        <f t="shared" ref="C15:Q15" ca="1" si="1">SUM(C4:C14)</f>
        <v>238429.07142857133</v>
      </c>
      <c r="D15" s="896">
        <f t="shared" ca="1" si="1"/>
        <v>146277.81223984793</v>
      </c>
      <c r="E15" s="896">
        <f t="shared" si="1"/>
        <v>3633.5407653500724</v>
      </c>
      <c r="F15" s="896">
        <f t="shared" ca="1" si="1"/>
        <v>66404.156655239465</v>
      </c>
      <c r="G15" s="896">
        <f t="shared" si="1"/>
        <v>58320.971885833242</v>
      </c>
      <c r="H15" s="896">
        <f t="shared" si="1"/>
        <v>11813.36491892742</v>
      </c>
      <c r="I15" s="896">
        <f t="shared" si="1"/>
        <v>0</v>
      </c>
      <c r="J15" s="896">
        <f t="shared" si="1"/>
        <v>2309.4377052020286</v>
      </c>
      <c r="K15" s="896">
        <f t="shared" si="1"/>
        <v>0</v>
      </c>
      <c r="L15" s="896">
        <f t="shared" ca="1" si="1"/>
        <v>0</v>
      </c>
      <c r="M15" s="896">
        <f t="shared" si="1"/>
        <v>2188.2391929522246</v>
      </c>
      <c r="N15" s="896">
        <f t="shared" ca="1" si="1"/>
        <v>12277.132153513096</v>
      </c>
      <c r="O15" s="896">
        <f t="shared" si="1"/>
        <v>345.49666666666673</v>
      </c>
      <c r="P15" s="896">
        <f t="shared" si="1"/>
        <v>1430.0000000000002</v>
      </c>
      <c r="Q15" s="896">
        <f t="shared" ca="1" si="1"/>
        <v>651749.45357003866</v>
      </c>
    </row>
    <row r="17" spans="1:17">
      <c r="A17" s="451" t="s">
        <v>544</v>
      </c>
      <c r="B17" s="714">
        <f ca="1">huishoudens!B10</f>
        <v>0.21006308721276301</v>
      </c>
      <c r="C17" s="714">
        <f ca="1">huishoudens!C10</f>
        <v>0.22224334193648712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7336.4816969732919</v>
      </c>
      <c r="C22" s="441">
        <f t="shared" ref="C22:C32" ca="1" si="3">C4*$C$17</f>
        <v>0</v>
      </c>
      <c r="D22" s="441">
        <f t="shared" ref="D22:D32" si="4">D4*$D$17</f>
        <v>15853.452799742976</v>
      </c>
      <c r="E22" s="441">
        <f t="shared" ref="E22:E32" si="5">E4*$E$17</f>
        <v>356.89143483431758</v>
      </c>
      <c r="F22" s="441">
        <f t="shared" ref="F22:F32" si="6">F4*$F$17</f>
        <v>11412.981682202506</v>
      </c>
      <c r="G22" s="441">
        <f t="shared" ref="G22:G32" si="7">G4*$G$17</f>
        <v>0</v>
      </c>
      <c r="H22" s="441">
        <f t="shared" ref="H22:H32" si="8">H4*$H$17</f>
        <v>0</v>
      </c>
      <c r="I22" s="441">
        <f t="shared" ref="I22:I32" si="9">I4*$I$17</f>
        <v>0</v>
      </c>
      <c r="J22" s="441">
        <f t="shared" ref="J22:J32" si="10">J4*$J$17</f>
        <v>279.05775879745198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35238.865372550543</v>
      </c>
    </row>
    <row r="23" spans="1:17">
      <c r="A23" s="440" t="s">
        <v>149</v>
      </c>
      <c r="B23" s="441">
        <f t="shared" ca="1" si="2"/>
        <v>12428.41961340751</v>
      </c>
      <c r="C23" s="441">
        <f t="shared" ca="1" si="3"/>
        <v>1789.4557656993222</v>
      </c>
      <c r="D23" s="441">
        <f t="shared" ca="1" si="4"/>
        <v>6386.0827272637534</v>
      </c>
      <c r="E23" s="441">
        <f t="shared" si="5"/>
        <v>281.54500849234722</v>
      </c>
      <c r="F23" s="441">
        <f t="shared" ca="1" si="6"/>
        <v>2692.8547183014493</v>
      </c>
      <c r="G23" s="441">
        <f t="shared" si="7"/>
        <v>0</v>
      </c>
      <c r="H23" s="441">
        <f t="shared" si="8"/>
        <v>0</v>
      </c>
      <c r="I23" s="441">
        <f t="shared" si="9"/>
        <v>0</v>
      </c>
      <c r="J23" s="441">
        <f t="shared" si="10"/>
        <v>1.3180047384684392E-2</v>
      </c>
      <c r="K23" s="441">
        <f t="shared" si="11"/>
        <v>0</v>
      </c>
      <c r="L23" s="441">
        <f t="shared" ca="1" si="12"/>
        <v>0</v>
      </c>
      <c r="M23" s="441">
        <f t="shared" si="13"/>
        <v>0</v>
      </c>
      <c r="N23" s="441">
        <f t="shared" ca="1" si="14"/>
        <v>0</v>
      </c>
      <c r="O23" s="441">
        <f t="shared" si="15"/>
        <v>0</v>
      </c>
      <c r="P23" s="442">
        <f t="shared" si="16"/>
        <v>0</v>
      </c>
      <c r="Q23" s="440">
        <f t="shared" ref="Q23:Q32" ca="1" si="17">SUM(B23:P23)</f>
        <v>23578.371013211767</v>
      </c>
    </row>
    <row r="24" spans="1:17">
      <c r="A24" s="440" t="s">
        <v>187</v>
      </c>
      <c r="B24" s="441">
        <f t="shared" ca="1" si="2"/>
        <v>314.46402143133179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314.46402143133179</v>
      </c>
    </row>
    <row r="25" spans="1:17">
      <c r="A25" s="440" t="s">
        <v>105</v>
      </c>
      <c r="B25" s="441">
        <f t="shared" ca="1" si="2"/>
        <v>1325.9212295867726</v>
      </c>
      <c r="C25" s="441">
        <f t="shared" ca="1" si="3"/>
        <v>51199.817883399766</v>
      </c>
      <c r="D25" s="441">
        <f t="shared" si="4"/>
        <v>5401.3729411490403</v>
      </c>
      <c r="E25" s="441">
        <f t="shared" si="5"/>
        <v>28.38554039818094</v>
      </c>
      <c r="F25" s="441">
        <f t="shared" si="6"/>
        <v>3045.9723744752546</v>
      </c>
      <c r="G25" s="441">
        <f t="shared" si="7"/>
        <v>0</v>
      </c>
      <c r="H25" s="441">
        <f t="shared" si="8"/>
        <v>0</v>
      </c>
      <c r="I25" s="441">
        <f t="shared" si="9"/>
        <v>0</v>
      </c>
      <c r="J25" s="441">
        <f t="shared" si="10"/>
        <v>530.54918872562234</v>
      </c>
      <c r="K25" s="441">
        <f t="shared" si="11"/>
        <v>0</v>
      </c>
      <c r="L25" s="441">
        <f t="shared" si="12"/>
        <v>0</v>
      </c>
      <c r="M25" s="441">
        <f t="shared" si="13"/>
        <v>0</v>
      </c>
      <c r="N25" s="441">
        <f t="shared" si="14"/>
        <v>0</v>
      </c>
      <c r="O25" s="441">
        <f t="shared" si="15"/>
        <v>0</v>
      </c>
      <c r="P25" s="442">
        <f t="shared" si="16"/>
        <v>0</v>
      </c>
      <c r="Q25" s="440">
        <f t="shared" ca="1" si="17"/>
        <v>61532.019157734634</v>
      </c>
    </row>
    <row r="26" spans="1:17">
      <c r="A26" s="440" t="s">
        <v>600</v>
      </c>
      <c r="B26" s="441">
        <f t="shared" ca="1" si="2"/>
        <v>1121.6051949317095</v>
      </c>
      <c r="C26" s="441">
        <f t="shared" ca="1" si="3"/>
        <v>0</v>
      </c>
      <c r="D26" s="441">
        <f t="shared" si="4"/>
        <v>1315.8346585172415</v>
      </c>
      <c r="E26" s="441">
        <f t="shared" si="5"/>
        <v>122.9856739715286</v>
      </c>
      <c r="F26" s="441">
        <f t="shared" si="6"/>
        <v>578.101051969727</v>
      </c>
      <c r="G26" s="441">
        <f t="shared" si="7"/>
        <v>0</v>
      </c>
      <c r="H26" s="441">
        <f t="shared" si="8"/>
        <v>0</v>
      </c>
      <c r="I26" s="441">
        <f t="shared" si="9"/>
        <v>0</v>
      </c>
      <c r="J26" s="441">
        <f t="shared" si="10"/>
        <v>7.9208200710590031</v>
      </c>
      <c r="K26" s="441">
        <f t="shared" si="11"/>
        <v>0</v>
      </c>
      <c r="L26" s="441">
        <f t="shared" si="12"/>
        <v>0</v>
      </c>
      <c r="M26" s="441">
        <f t="shared" si="13"/>
        <v>0</v>
      </c>
      <c r="N26" s="441">
        <f t="shared" si="14"/>
        <v>0</v>
      </c>
      <c r="O26" s="441">
        <f t="shared" si="15"/>
        <v>0</v>
      </c>
      <c r="P26" s="442">
        <f t="shared" si="16"/>
        <v>0</v>
      </c>
      <c r="Q26" s="440">
        <f t="shared" ca="1" si="17"/>
        <v>3146.4473994612658</v>
      </c>
    </row>
    <row r="27" spans="1:17" s="446" customFormat="1">
      <c r="A27" s="444" t="s">
        <v>549</v>
      </c>
      <c r="B27" s="708">
        <f t="shared" ca="1" si="2"/>
        <v>4.2662682980376658</v>
      </c>
      <c r="C27" s="445">
        <f t="shared" ca="1" si="3"/>
        <v>0</v>
      </c>
      <c r="D27" s="445">
        <f t="shared" si="4"/>
        <v>6.916075851877773</v>
      </c>
      <c r="E27" s="445">
        <f t="shared" si="5"/>
        <v>35.006096038092011</v>
      </c>
      <c r="F27" s="445">
        <f t="shared" si="6"/>
        <v>0</v>
      </c>
      <c r="G27" s="445">
        <f t="shared" si="7"/>
        <v>14932.434740269044</v>
      </c>
      <c r="H27" s="445">
        <f t="shared" si="8"/>
        <v>2941.5278648129274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17920.151045269977</v>
      </c>
    </row>
    <row r="28" spans="1:17">
      <c r="A28" s="440" t="s">
        <v>539</v>
      </c>
      <c r="B28" s="441">
        <f t="shared" ca="1" si="2"/>
        <v>2.8207379542257693</v>
      </c>
      <c r="C28" s="441">
        <f t="shared" ca="1" si="3"/>
        <v>0</v>
      </c>
      <c r="D28" s="441">
        <f t="shared" si="4"/>
        <v>0</v>
      </c>
      <c r="E28" s="441">
        <f t="shared" si="5"/>
        <v>0</v>
      </c>
      <c r="F28" s="441">
        <f t="shared" si="6"/>
        <v>0</v>
      </c>
      <c r="G28" s="441">
        <f t="shared" si="7"/>
        <v>639.26475324843273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642.08549120265855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220.10314997738209</v>
      </c>
      <c r="C32" s="441">
        <f t="shared" ca="1" si="3"/>
        <v>0</v>
      </c>
      <c r="D32" s="441">
        <f t="shared" si="4"/>
        <v>584.45886992440001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804.56201990178215</v>
      </c>
    </row>
    <row r="33" spans="1:17" s="450" customFormat="1">
      <c r="A33" s="956" t="s">
        <v>543</v>
      </c>
      <c r="B33" s="896">
        <f ca="1">SUM(B22:B32)</f>
        <v>22754.081912560261</v>
      </c>
      <c r="C33" s="896">
        <f t="shared" ref="C33:Q33" ca="1" si="18">SUM(C22:C32)</f>
        <v>52989.273649099086</v>
      </c>
      <c r="D33" s="896">
        <f t="shared" ca="1" si="18"/>
        <v>29548.118072449292</v>
      </c>
      <c r="E33" s="896">
        <f t="shared" si="18"/>
        <v>824.81375373446645</v>
      </c>
      <c r="F33" s="896">
        <f t="shared" ca="1" si="18"/>
        <v>17729.909826948937</v>
      </c>
      <c r="G33" s="896">
        <f t="shared" si="18"/>
        <v>15571.699493517477</v>
      </c>
      <c r="H33" s="896">
        <f t="shared" si="18"/>
        <v>2941.5278648129274</v>
      </c>
      <c r="I33" s="896">
        <f t="shared" si="18"/>
        <v>0</v>
      </c>
      <c r="J33" s="896">
        <f t="shared" si="18"/>
        <v>817.54094764151807</v>
      </c>
      <c r="K33" s="896">
        <f t="shared" si="18"/>
        <v>0</v>
      </c>
      <c r="L33" s="896">
        <f t="shared" ca="1" si="18"/>
        <v>0</v>
      </c>
      <c r="M33" s="896">
        <f t="shared" si="18"/>
        <v>0</v>
      </c>
      <c r="N33" s="896">
        <f t="shared" ca="1" si="18"/>
        <v>0</v>
      </c>
      <c r="O33" s="896">
        <f t="shared" si="18"/>
        <v>0</v>
      </c>
      <c r="P33" s="896">
        <f t="shared" si="18"/>
        <v>0</v>
      </c>
      <c r="Q33" s="896">
        <f t="shared" ca="1" si="18"/>
        <v>143176.96552076397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9906.4006988882702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12399.522507687994</v>
      </c>
      <c r="C8" s="973">
        <f>'SEAP template'!C76</f>
        <v>158448.227492312</v>
      </c>
      <c r="D8" s="973">
        <f>'SEAP template'!D76</f>
        <v>181563.22274148892</v>
      </c>
      <c r="E8" s="973">
        <f>'SEAP template'!E76</f>
        <v>0</v>
      </c>
      <c r="F8" s="973">
        <f>'SEAP template'!F76</f>
        <v>4846.4566612311219</v>
      </c>
      <c r="G8" s="973">
        <f>'SEAP template'!G76</f>
        <v>0</v>
      </c>
      <c r="H8" s="973">
        <f>'SEAP template'!H76</f>
        <v>0</v>
      </c>
      <c r="I8" s="973">
        <f>'SEAP template'!I76</f>
        <v>14539.369983693367</v>
      </c>
      <c r="J8" s="973">
        <f>'SEAP template'!J76</f>
        <v>48.303554763100891</v>
      </c>
      <c r="K8" s="973">
        <f>'SEAP template'!K76</f>
        <v>0</v>
      </c>
      <c r="L8" s="973">
        <f>'SEAP template'!L76</f>
        <v>0</v>
      </c>
      <c r="M8" s="973">
        <f>'SEAP template'!M76</f>
        <v>0</v>
      </c>
      <c r="N8" s="973">
        <f>'SEAP template'!N76</f>
        <v>0</v>
      </c>
      <c r="O8" s="973">
        <f>'SEAP template'!O76</f>
        <v>0</v>
      </c>
      <c r="P8" s="974">
        <f>'SEAP template'!Q76</f>
        <v>37969.774922329474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22305.923206576263</v>
      </c>
      <c r="C10" s="977">
        <f>SUM(C4:C9)</f>
        <v>158448.227492312</v>
      </c>
      <c r="D10" s="977">
        <f t="shared" ref="D10:H10" si="0">SUM(D8:D9)</f>
        <v>181563.22274148892</v>
      </c>
      <c r="E10" s="977">
        <f t="shared" si="0"/>
        <v>0</v>
      </c>
      <c r="F10" s="977">
        <f t="shared" si="0"/>
        <v>4846.4566612311219</v>
      </c>
      <c r="G10" s="977">
        <f t="shared" si="0"/>
        <v>0</v>
      </c>
      <c r="H10" s="977">
        <f t="shared" si="0"/>
        <v>0</v>
      </c>
      <c r="I10" s="977">
        <f>SUM(I8:I9)</f>
        <v>14539.369983693367</v>
      </c>
      <c r="J10" s="977">
        <f>SUM(J8:J9)</f>
        <v>48.303554763100891</v>
      </c>
      <c r="K10" s="977">
        <f t="shared" ref="K10:L10" si="1">SUM(K8:K9)</f>
        <v>0</v>
      </c>
      <c r="L10" s="977">
        <f t="shared" si="1"/>
        <v>0</v>
      </c>
      <c r="M10" s="977">
        <f>SUM(M8:M9)</f>
        <v>0</v>
      </c>
      <c r="N10" s="977">
        <f>SUM(N8:N9)</f>
        <v>0</v>
      </c>
      <c r="O10" s="977">
        <f>SUM(O8:O9)</f>
        <v>0</v>
      </c>
      <c r="P10" s="977">
        <f>SUM(P8:P9)</f>
        <v>37969.774922329474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0.21006308721276301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17304.334635169147</v>
      </c>
      <c r="C17" s="979">
        <f>'SEAP template'!C87</f>
        <v>221124.73679340223</v>
      </c>
      <c r="D17" s="974">
        <f>'SEAP template'!D87</f>
        <v>253383.2058299396</v>
      </c>
      <c r="E17" s="974">
        <f>'SEAP template'!E87</f>
        <v>0</v>
      </c>
      <c r="F17" s="974">
        <f>'SEAP template'!F87</f>
        <v>6763.5433387688781</v>
      </c>
      <c r="G17" s="974">
        <f>'SEAP template'!G87</f>
        <v>0</v>
      </c>
      <c r="H17" s="974">
        <f>'SEAP template'!H87</f>
        <v>0</v>
      </c>
      <c r="I17" s="974">
        <f>'SEAP template'!I87</f>
        <v>20290.630016306633</v>
      </c>
      <c r="J17" s="974">
        <f>'SEAP template'!J87</f>
        <v>67.410730951184831</v>
      </c>
      <c r="K17" s="974">
        <f>'SEAP template'!K87</f>
        <v>0</v>
      </c>
      <c r="L17" s="974">
        <f>'SEAP template'!L87</f>
        <v>0</v>
      </c>
      <c r="M17" s="974">
        <f>'SEAP template'!M87</f>
        <v>0</v>
      </c>
      <c r="N17" s="974">
        <f>'SEAP template'!N87</f>
        <v>0</v>
      </c>
      <c r="O17" s="974">
        <f>'SEAP template'!O87</f>
        <v>0</v>
      </c>
      <c r="P17" s="974">
        <f>'SEAP template'!Q87</f>
        <v>52989.273649099094</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17304.334635169147</v>
      </c>
      <c r="C20" s="977">
        <f>SUM(C17:C19)</f>
        <v>221124.73679340223</v>
      </c>
      <c r="D20" s="977">
        <f t="shared" ref="D20:H20" si="2">SUM(D17:D19)</f>
        <v>253383.2058299396</v>
      </c>
      <c r="E20" s="977">
        <f t="shared" si="2"/>
        <v>0</v>
      </c>
      <c r="F20" s="977">
        <f t="shared" si="2"/>
        <v>6763.5433387688781</v>
      </c>
      <c r="G20" s="977">
        <f t="shared" si="2"/>
        <v>0</v>
      </c>
      <c r="H20" s="977">
        <f t="shared" si="2"/>
        <v>0</v>
      </c>
      <c r="I20" s="977">
        <f>SUM(I17:I19)</f>
        <v>20290.630016306633</v>
      </c>
      <c r="J20" s="977">
        <f>SUM(J17:J19)</f>
        <v>67.410730951184831</v>
      </c>
      <c r="K20" s="977">
        <f t="shared" ref="K20:L20" si="3">SUM(K17:K19)</f>
        <v>0</v>
      </c>
      <c r="L20" s="977">
        <f t="shared" si="3"/>
        <v>0</v>
      </c>
      <c r="M20" s="977">
        <f>SUM(M17:M19)</f>
        <v>0</v>
      </c>
      <c r="N20" s="977">
        <f>SUM(N17:N19)</f>
        <v>0</v>
      </c>
      <c r="O20" s="977">
        <f>SUM(O17:O19)</f>
        <v>0</v>
      </c>
      <c r="P20" s="977">
        <f>SUM(P17:P19)</f>
        <v>52989.273649099094</v>
      </c>
    </row>
    <row r="22" spans="1:16">
      <c r="A22" s="451" t="s">
        <v>811</v>
      </c>
      <c r="B22" s="714" t="s">
        <v>805</v>
      </c>
      <c r="C22" s="714">
        <f ca="1">'EF ele_warmte'!B22</f>
        <v>0.22224334193648712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0.21006308721276301</v>
      </c>
      <c r="C17" s="488">
        <f ca="1">'EF ele_warmte'!B22</f>
        <v>0.22224334193648712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2022-07-26T10:58:36Z</dcterms:modified>
</cp:coreProperties>
</file>